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13_ncr:1_{3CC8FFA6-28FB-4086-BB8A-4EF840D17523}" xr6:coauthVersionLast="47" xr6:coauthVersionMax="47" xr10:uidLastSave="{00000000-0000-0000-0000-000000000000}"/>
  <bookViews>
    <workbookView xWindow="-135" yWindow="-135" windowWidth="29070" windowHeight="15870" activeTab="6" xr2:uid="{071414EE-D145-41C9-AE04-224A7CE52B17}"/>
  </bookViews>
  <sheets>
    <sheet name="test" sheetId="1" r:id="rId1"/>
    <sheet name="test_wBL" sheetId="5" r:id="rId2"/>
    <sheet name="abbrev_inorg" sheetId="2" r:id="rId3"/>
    <sheet name="abbrev_inorg_wBL" sheetId="3" r:id="rId4"/>
    <sheet name="abbrev_inorg_wBL (DBH)" sheetId="4" r:id="rId5"/>
    <sheet name="abbrev_organic" sheetId="7" r:id="rId6"/>
    <sheet name="Sheet1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" i="8" l="1" a="1"/>
  <c r="C106" i="8" s="1"/>
  <c r="C114" i="8" a="1"/>
  <c r="C114" i="8" s="1"/>
  <c r="C8" i="8" l="1" a="1"/>
  <c r="C8" i="8" s="1"/>
  <c r="C105" i="8" a="1"/>
  <c r="C105" i="8" s="1"/>
  <c r="B419" i="8" a="1"/>
  <c r="B419" i="8" s="1"/>
  <c r="C418" i="8" a="1"/>
  <c r="C418" i="8" s="1"/>
  <c r="B363" i="8" a="1"/>
  <c r="B363" i="8" s="1"/>
  <c r="C362" i="8" a="1"/>
  <c r="C362" i="8" s="1"/>
  <c r="B307" i="8" a="1"/>
  <c r="B307" i="8" s="1"/>
  <c r="C306" i="8" a="1"/>
  <c r="C306" i="8" s="1"/>
  <c r="B251" i="8" a="1"/>
  <c r="B251" i="8" s="1"/>
  <c r="C250" i="8" a="1"/>
  <c r="C250" i="8" s="1"/>
  <c r="B203" i="8" a="1"/>
  <c r="B203" i="8" s="1"/>
  <c r="C202" i="8" a="1"/>
  <c r="C202" i="8" s="1"/>
  <c r="B155" i="8" a="1"/>
  <c r="B155" i="8" s="1"/>
  <c r="C154" i="8" a="1"/>
  <c r="C154" i="8" s="1"/>
  <c r="C56" i="8" a="1"/>
  <c r="C56" i="8" s="1"/>
  <c r="F13" i="8"/>
  <c r="E13" i="8"/>
  <c r="D13" i="8"/>
  <c r="C13" i="8"/>
  <c r="C79" i="8" a="1"/>
  <c r="C79" i="8" s="1"/>
  <c r="C78" i="8" a="1"/>
  <c r="C78" i="8" s="1"/>
  <c r="C80" i="8" a="1"/>
  <c r="C80" i="8" s="1"/>
  <c r="C5" i="8" a="1"/>
  <c r="C5" i="8" s="1"/>
  <c r="C4" i="8" a="1"/>
  <c r="C4" i="8" s="1"/>
  <c r="C3" i="8" a="1"/>
  <c r="C3" i="8" s="1"/>
  <c r="AI12" i="7"/>
  <c r="BU2" i="7" a="1"/>
  <c r="BU2" i="7" s="1"/>
  <c r="BT11" i="7"/>
  <c r="CB1" i="7" s="1"/>
  <c r="BS11" i="7"/>
  <c r="CA1" i="7" s="1"/>
  <c r="BR11" i="7"/>
  <c r="BZ1" i="7" s="1"/>
  <c r="BQ11" i="7"/>
  <c r="BY1" i="7" s="1"/>
  <c r="BP11" i="7"/>
  <c r="BX1" i="7" s="1"/>
  <c r="BO11" i="7"/>
  <c r="BW1" i="7" s="1"/>
  <c r="BN11" i="7"/>
  <c r="BV1" i="7" s="1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R12" i="7" s="1"/>
  <c r="Q4" i="7"/>
  <c r="P4" i="7"/>
  <c r="O4" i="7"/>
  <c r="N4" i="7"/>
  <c r="M4" i="7"/>
  <c r="K4" i="7"/>
  <c r="C13" i="7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B13" i="7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A13" i="7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L12" i="7"/>
  <c r="L13" i="7" s="1"/>
  <c r="L4" i="7"/>
  <c r="J4" i="7"/>
  <c r="I4" i="7"/>
  <c r="Z10" i="1"/>
  <c r="Z9" i="1"/>
  <c r="Z8" i="1"/>
  <c r="Y10" i="1"/>
  <c r="Y9" i="1"/>
  <c r="Y8" i="1"/>
  <c r="H11" i="3"/>
  <c r="I13" i="3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12" i="3"/>
  <c r="G13" i="5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12" i="5"/>
  <c r="F12" i="5"/>
  <c r="E12" i="5"/>
  <c r="U62" i="5"/>
  <c r="U61" i="5"/>
  <c r="U60" i="5"/>
  <c r="U59" i="5"/>
  <c r="U58" i="5"/>
  <c r="U57" i="5"/>
  <c r="U56" i="5"/>
  <c r="U55" i="5"/>
  <c r="U54" i="5"/>
  <c r="U53" i="5"/>
  <c r="U52" i="5"/>
  <c r="U51" i="5"/>
  <c r="U50" i="5"/>
  <c r="U49" i="5"/>
  <c r="U48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AB11" i="5" a="1"/>
  <c r="AB11" i="5" s="1"/>
  <c r="AA11" i="5"/>
  <c r="Z11" i="5"/>
  <c r="Y11" i="5"/>
  <c r="X11" i="5"/>
  <c r="W11" i="5"/>
  <c r="V11" i="5"/>
  <c r="S11" i="5"/>
  <c r="P11" i="5"/>
  <c r="O11" i="5"/>
  <c r="N11" i="5"/>
  <c r="M11" i="5"/>
  <c r="L11" i="5"/>
  <c r="K11" i="5"/>
  <c r="J11" i="5"/>
  <c r="I11" i="5"/>
  <c r="H11" i="5"/>
  <c r="B12" i="5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U11" i="5"/>
  <c r="E11" i="5"/>
  <c r="C11" i="5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K4" i="5"/>
  <c r="J4" i="5"/>
  <c r="I4" i="5"/>
  <c r="H4" i="5"/>
  <c r="G4" i="5"/>
  <c r="F4" i="5"/>
  <c r="E4" i="5"/>
  <c r="F12" i="4"/>
  <c r="BK12" i="4"/>
  <c r="G12" i="4"/>
  <c r="H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12" i="4"/>
  <c r="BJ11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C12" i="4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B12" i="4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J11" i="4"/>
  <c r="I11" i="4"/>
  <c r="G11" i="4"/>
  <c r="F11" i="4"/>
  <c r="D11" i="4"/>
  <c r="H11" i="4" s="1"/>
  <c r="O4" i="4"/>
  <c r="N4" i="4"/>
  <c r="M4" i="4"/>
  <c r="L4" i="4"/>
  <c r="K4" i="4"/>
  <c r="AQ11" i="4" s="1"/>
  <c r="J4" i="4"/>
  <c r="I4" i="4"/>
  <c r="H4" i="4"/>
  <c r="G4" i="4"/>
  <c r="F4" i="4"/>
  <c r="AF74" i="3"/>
  <c r="AF73" i="3"/>
  <c r="AF72" i="3"/>
  <c r="AF71" i="3"/>
  <c r="AF70" i="3"/>
  <c r="AF69" i="3"/>
  <c r="AF68" i="3"/>
  <c r="AF67" i="3"/>
  <c r="AF66" i="3"/>
  <c r="AF65" i="3"/>
  <c r="AF64" i="3"/>
  <c r="AF63" i="3"/>
  <c r="AF62" i="3"/>
  <c r="AF61" i="3"/>
  <c r="AF60" i="3"/>
  <c r="AF59" i="3"/>
  <c r="AF58" i="3"/>
  <c r="AF57" i="3"/>
  <c r="AF56" i="3"/>
  <c r="AF55" i="3"/>
  <c r="AF54" i="3"/>
  <c r="AF53" i="3"/>
  <c r="AF52" i="3"/>
  <c r="AF51" i="3"/>
  <c r="AF50" i="3"/>
  <c r="AF49" i="3"/>
  <c r="AF48" i="3"/>
  <c r="AF47" i="3"/>
  <c r="AF46" i="3"/>
  <c r="AF45" i="3"/>
  <c r="AF44" i="3"/>
  <c r="AF43" i="3"/>
  <c r="AF42" i="3"/>
  <c r="AF41" i="3"/>
  <c r="AF40" i="3"/>
  <c r="C40" i="3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B40" i="3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AF39" i="3"/>
  <c r="D39" i="3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C39" i="3"/>
  <c r="B39" i="3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F38" i="3"/>
  <c r="AF37" i="3"/>
  <c r="AF36" i="3"/>
  <c r="AF35" i="3"/>
  <c r="AF34" i="3"/>
  <c r="AF33" i="3"/>
  <c r="AF32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M12" i="3"/>
  <c r="AF12" i="3"/>
  <c r="AF11" i="3"/>
  <c r="I11" i="3"/>
  <c r="AM11" i="3" s="1"/>
  <c r="G11" i="3"/>
  <c r="F11" i="3"/>
  <c r="D11" i="3"/>
  <c r="AJ11" i="3" s="1"/>
  <c r="L4" i="3"/>
  <c r="K4" i="3"/>
  <c r="J4" i="3"/>
  <c r="H4" i="3"/>
  <c r="C12" i="3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B12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O4" i="3"/>
  <c r="N4" i="3"/>
  <c r="M4" i="3"/>
  <c r="I4" i="3"/>
  <c r="G4" i="3"/>
  <c r="F4" i="3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R8" i="2" a="1"/>
  <c r="R8" i="2" s="1"/>
  <c r="K8" i="2"/>
  <c r="L8" i="2" s="1"/>
  <c r="O8" i="2" s="1"/>
  <c r="H8" i="2"/>
  <c r="E8" i="2"/>
  <c r="T8" i="2" s="1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C9" i="2"/>
  <c r="G8" i="2"/>
  <c r="G9" i="2" s="1"/>
  <c r="F4" i="2"/>
  <c r="E4" i="2"/>
  <c r="K4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F8" i="2"/>
  <c r="J4" i="2"/>
  <c r="I4" i="2"/>
  <c r="H4" i="2"/>
  <c r="G4" i="2"/>
  <c r="H4" i="1"/>
  <c r="G4" i="1"/>
  <c r="F4" i="1"/>
  <c r="F8" i="1" s="1"/>
  <c r="E4" i="1"/>
  <c r="D4" i="1"/>
  <c r="E9" i="1"/>
  <c r="E10" i="1" s="1"/>
  <c r="A9" i="1"/>
  <c r="A10" i="1" s="1"/>
  <c r="D8" i="1"/>
  <c r="B107" i="8" l="1" a="1"/>
  <c r="B107" i="8" s="1"/>
  <c r="B115" i="8" a="1"/>
  <c r="B115" i="8" s="1"/>
  <c r="C434" i="8" a="1"/>
  <c r="C434" i="8" s="1"/>
  <c r="B435" i="8" s="1" a="1"/>
  <c r="B435" i="8" s="1"/>
  <c r="C378" i="8" a="1"/>
  <c r="C378" i="8" s="1"/>
  <c r="B379" i="8" s="1" a="1"/>
  <c r="C322" i="8" a="1"/>
  <c r="C322" i="8" s="1"/>
  <c r="B323" i="8" s="1" a="1"/>
  <c r="C266" i="8" a="1"/>
  <c r="C266" i="8" s="1"/>
  <c r="B267" i="8" s="1" a="1"/>
  <c r="C210" i="8" a="1"/>
  <c r="C210" i="8" s="1"/>
  <c r="B211" i="8" s="1" a="1"/>
  <c r="B211" i="8" s="1"/>
  <c r="C162" i="8" a="1"/>
  <c r="C162" i="8" s="1"/>
  <c r="B163" i="8" s="1" a="1"/>
  <c r="C53" i="8" a="1"/>
  <c r="C53" i="8" s="1"/>
  <c r="C58" i="8" s="1" a="1"/>
  <c r="C58" i="8" s="1"/>
  <c r="C81" i="8" a="1"/>
  <c r="C81" i="8" s="1"/>
  <c r="Z13" i="7"/>
  <c r="BV4" i="7"/>
  <c r="BV8" i="7"/>
  <c r="BV5" i="7"/>
  <c r="BV6" i="7"/>
  <c r="BV7" i="7"/>
  <c r="BV2" i="7"/>
  <c r="BV3" i="7"/>
  <c r="BW5" i="7"/>
  <c r="BW2" i="7"/>
  <c r="BW6" i="7"/>
  <c r="BW7" i="7"/>
  <c r="BW8" i="7"/>
  <c r="BW3" i="7"/>
  <c r="BW4" i="7"/>
  <c r="BY7" i="7"/>
  <c r="BY4" i="7"/>
  <c r="BY8" i="7"/>
  <c r="BY2" i="7"/>
  <c r="BY3" i="7"/>
  <c r="BY5" i="7"/>
  <c r="BY6" i="7"/>
  <c r="BX6" i="7"/>
  <c r="BX7" i="7"/>
  <c r="BX8" i="7"/>
  <c r="BX3" i="7"/>
  <c r="BX2" i="7"/>
  <c r="BX4" i="7"/>
  <c r="BX5" i="7"/>
  <c r="BZ2" i="7"/>
  <c r="BZ5" i="7"/>
  <c r="BZ3" i="7"/>
  <c r="BZ4" i="7"/>
  <c r="BZ6" i="7"/>
  <c r="CA8" i="7"/>
  <c r="CA2" i="7"/>
  <c r="CA3" i="7"/>
  <c r="CA4" i="7"/>
  <c r="CA5" i="7"/>
  <c r="CA6" i="7"/>
  <c r="CA7" i="7"/>
  <c r="CB8" i="7"/>
  <c r="CB2" i="7"/>
  <c r="CB3" i="7"/>
  <c r="CB4" i="7"/>
  <c r="CB5" i="7"/>
  <c r="CB6" i="7"/>
  <c r="CB7" i="7"/>
  <c r="AA13" i="7"/>
  <c r="Q12" i="7"/>
  <c r="Z12" i="7"/>
  <c r="P12" i="7"/>
  <c r="AA12" i="7"/>
  <c r="AD12" i="7"/>
  <c r="AE12" i="7"/>
  <c r="AB12" i="7"/>
  <c r="AC12" i="7"/>
  <c r="BZ12" i="7"/>
  <c r="CB12" i="7"/>
  <c r="L14" i="7"/>
  <c r="CA12" i="7"/>
  <c r="P13" i="7"/>
  <c r="CC12" i="7"/>
  <c r="BV12" i="7"/>
  <c r="CD12" i="7"/>
  <c r="BW12" i="7"/>
  <c r="BX12" i="7"/>
  <c r="BY12" i="7"/>
  <c r="F11" i="5"/>
  <c r="AY12" i="4"/>
  <c r="I12" i="4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K11" i="4"/>
  <c r="AK11" i="4"/>
  <c r="AP11" i="4"/>
  <c r="D12" i="4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AD11" i="4"/>
  <c r="AG11" i="4"/>
  <c r="L11" i="4"/>
  <c r="AC11" i="4"/>
  <c r="AI11" i="4"/>
  <c r="AR11" i="4"/>
  <c r="J11" i="4"/>
  <c r="M11" i="4"/>
  <c r="AM11" i="4"/>
  <c r="AN11" i="4"/>
  <c r="N11" i="4"/>
  <c r="AO11" i="4"/>
  <c r="O11" i="4"/>
  <c r="AE11" i="4"/>
  <c r="AL11" i="4"/>
  <c r="AF11" i="4"/>
  <c r="AN11" i="3"/>
  <c r="AG11" i="3"/>
  <c r="AE11" i="3"/>
  <c r="AA11" i="3"/>
  <c r="J11" i="3"/>
  <c r="K11" i="3"/>
  <c r="O11" i="3"/>
  <c r="Z11" i="3"/>
  <c r="L11" i="3"/>
  <c r="M11" i="3"/>
  <c r="N11" i="3"/>
  <c r="Y11" i="3"/>
  <c r="D12" i="3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AB11" i="3"/>
  <c r="AH11" i="3"/>
  <c r="AI11" i="3"/>
  <c r="AC11" i="3"/>
  <c r="AK11" i="3"/>
  <c r="AL11" i="3"/>
  <c r="I8" i="2"/>
  <c r="S8" i="2"/>
  <c r="X8" i="2"/>
  <c r="J8" i="2"/>
  <c r="AA8" i="2"/>
  <c r="W8" i="2"/>
  <c r="U8" i="2"/>
  <c r="Y8" i="2"/>
  <c r="Z8" i="2"/>
  <c r="V8" i="2"/>
  <c r="H9" i="2"/>
  <c r="G10" i="2"/>
  <c r="R8" i="1"/>
  <c r="P9" i="1"/>
  <c r="F9" i="1"/>
  <c r="R9" i="1"/>
  <c r="P10" i="1"/>
  <c r="F10" i="1"/>
  <c r="R10" i="1"/>
  <c r="S8" i="1"/>
  <c r="Q8" i="1"/>
  <c r="G8" i="1"/>
  <c r="P8" i="1"/>
  <c r="H8" i="1"/>
  <c r="C59" i="8" l="1" a="1"/>
  <c r="C59" i="8" s="1"/>
  <c r="B379" i="8"/>
  <c r="B323" i="8"/>
  <c r="B267" i="8"/>
  <c r="B163" i="8"/>
  <c r="BM12" i="7"/>
  <c r="BT12" i="7" s="1"/>
  <c r="BL12" i="7"/>
  <c r="BS12" i="7" s="1"/>
  <c r="AF12" i="7"/>
  <c r="Z14" i="7"/>
  <c r="AA14" i="7"/>
  <c r="P14" i="7"/>
  <c r="L15" i="7"/>
  <c r="CI12" i="7" a="1"/>
  <c r="CI12" i="7" s="1"/>
  <c r="R11" i="3"/>
  <c r="V11" i="3" s="1"/>
  <c r="AO11" i="3" a="1"/>
  <c r="S12" i="5"/>
  <c r="K12" i="5"/>
  <c r="Z12" i="5"/>
  <c r="J12" i="5"/>
  <c r="W12" i="5"/>
  <c r="Y12" i="5"/>
  <c r="I12" i="5"/>
  <c r="V12" i="5"/>
  <c r="D11" i="5"/>
  <c r="Q11" i="5" s="1"/>
  <c r="R11" i="5" s="1" a="1"/>
  <c r="R11" i="5" s="1"/>
  <c r="AQ12" i="4"/>
  <c r="S11" i="4"/>
  <c r="L12" i="4"/>
  <c r="Q11" i="4"/>
  <c r="U11" i="4" s="1"/>
  <c r="E11" i="4"/>
  <c r="W11" i="4" s="1"/>
  <c r="R11" i="4"/>
  <c r="P11" i="4"/>
  <c r="T11" i="4" s="1"/>
  <c r="L13" i="4"/>
  <c r="V11" i="4"/>
  <c r="AS11" i="4" s="1" a="1"/>
  <c r="AS11" i="4" s="1"/>
  <c r="BG11" i="4" s="1"/>
  <c r="AQ13" i="4"/>
  <c r="P11" i="3"/>
  <c r="T11" i="3" s="1"/>
  <c r="S11" i="3"/>
  <c r="Q11" i="3"/>
  <c r="U11" i="3" s="1"/>
  <c r="L12" i="3"/>
  <c r="E11" i="3"/>
  <c r="AM13" i="3"/>
  <c r="AF8" i="2" a="1"/>
  <c r="AF8" i="2" s="1"/>
  <c r="AB8" i="2" a="1"/>
  <c r="AB8" i="2" s="1"/>
  <c r="M8" i="2"/>
  <c r="P8" i="2" s="1"/>
  <c r="D8" i="2"/>
  <c r="N8" i="2"/>
  <c r="H10" i="2"/>
  <c r="G11" i="2"/>
  <c r="C8" i="1"/>
  <c r="J8" i="1"/>
  <c r="I8" i="1"/>
  <c r="D59" i="8" l="1" a="1"/>
  <c r="D59" i="8" s="1"/>
  <c r="C60" i="8" s="1" a="1"/>
  <c r="C60" i="8" s="1"/>
  <c r="C61" i="8" s="1" a="1"/>
  <c r="C61" i="8" s="1"/>
  <c r="C62" i="8" s="1" a="1"/>
  <c r="C62" i="8" s="1"/>
  <c r="F12" i="7"/>
  <c r="S12" i="7"/>
  <c r="Y12" i="7"/>
  <c r="X12" i="7"/>
  <c r="W12" i="7"/>
  <c r="V12" i="7"/>
  <c r="U12" i="7"/>
  <c r="T12" i="7"/>
  <c r="BH12" i="7" s="1"/>
  <c r="AA15" i="7"/>
  <c r="Z15" i="7"/>
  <c r="P15" i="7"/>
  <c r="L16" i="7"/>
  <c r="J13" i="7"/>
  <c r="AO11" i="3"/>
  <c r="F12" i="3" s="1"/>
  <c r="H12" i="3"/>
  <c r="G12" i="3"/>
  <c r="L12" i="5"/>
  <c r="O12" i="5" s="1"/>
  <c r="V13" i="5"/>
  <c r="Y13" i="5"/>
  <c r="S13" i="5"/>
  <c r="I13" i="5"/>
  <c r="Z13" i="5"/>
  <c r="BI11" i="4"/>
  <c r="X11" i="4" a="1"/>
  <c r="X11" i="4" s="1"/>
  <c r="AB11" i="4" s="1"/>
  <c r="L14" i="4"/>
  <c r="AQ14" i="4"/>
  <c r="L13" i="3"/>
  <c r="W11" i="3"/>
  <c r="X11" i="3" s="1" a="1"/>
  <c r="X11" i="3" s="1"/>
  <c r="AM14" i="3"/>
  <c r="Q8" i="2"/>
  <c r="E9" i="2"/>
  <c r="H11" i="2"/>
  <c r="G12" i="2"/>
  <c r="W8" i="1"/>
  <c r="K8" i="1"/>
  <c r="V8" i="1"/>
  <c r="L8" i="1"/>
  <c r="AG12" i="7" l="1"/>
  <c r="AH12" i="7" s="1"/>
  <c r="BO12" i="7"/>
  <c r="BJ12" i="7"/>
  <c r="BI12" i="7"/>
  <c r="BP12" i="7" s="1"/>
  <c r="Z16" i="7"/>
  <c r="AA16" i="7"/>
  <c r="BK12" i="7"/>
  <c r="BR12" i="7" s="1"/>
  <c r="BG12" i="7"/>
  <c r="BN12" i="7" s="1"/>
  <c r="CE12" i="7" s="1" a="1"/>
  <c r="CE12" i="7" s="1"/>
  <c r="I13" i="7" s="1"/>
  <c r="L17" i="7"/>
  <c r="P16" i="7"/>
  <c r="R13" i="7"/>
  <c r="CB13" i="7"/>
  <c r="BX13" i="7"/>
  <c r="Q13" i="7"/>
  <c r="BV13" i="7"/>
  <c r="T8" i="1" a="1"/>
  <c r="T8" i="1" s="1"/>
  <c r="D9" i="1" s="1"/>
  <c r="H9" i="1" s="1"/>
  <c r="M8" i="1" a="1"/>
  <c r="M8" i="1" s="1"/>
  <c r="AJ12" i="3"/>
  <c r="AE12" i="3"/>
  <c r="K12" i="3"/>
  <c r="X12" i="5"/>
  <c r="H12" i="5"/>
  <c r="M12" i="5"/>
  <c r="P12" i="5" s="1"/>
  <c r="AB12" i="5" s="1" a="1"/>
  <c r="F13" i="5" s="1"/>
  <c r="AA12" i="5"/>
  <c r="V14" i="5"/>
  <c r="S14" i="5"/>
  <c r="Z14" i="5"/>
  <c r="Y14" i="5"/>
  <c r="I14" i="5"/>
  <c r="BH11" i="4"/>
  <c r="L15" i="4"/>
  <c r="K12" i="4"/>
  <c r="AI12" i="4"/>
  <c r="AN12" i="4"/>
  <c r="AQ15" i="4"/>
  <c r="AL12" i="3"/>
  <c r="AC12" i="3"/>
  <c r="AA12" i="3"/>
  <c r="Z12" i="3"/>
  <c r="AG12" i="3"/>
  <c r="L14" i="3"/>
  <c r="J12" i="3"/>
  <c r="AH12" i="3"/>
  <c r="AM15" i="3"/>
  <c r="F9" i="2"/>
  <c r="K9" i="2" s="1"/>
  <c r="L9" i="2" s="1"/>
  <c r="O9" i="2" s="1"/>
  <c r="T9" i="2"/>
  <c r="V9" i="2"/>
  <c r="Z9" i="2"/>
  <c r="G13" i="2"/>
  <c r="H12" i="2"/>
  <c r="K51" i="8" l="1" a="1"/>
  <c r="K51" i="8" s="1"/>
  <c r="S51" i="8" s="1"/>
  <c r="K47" i="8" a="1"/>
  <c r="K47" i="8" s="1"/>
  <c r="S47" i="8" s="1"/>
  <c r="K43" i="8" a="1"/>
  <c r="K43" i="8" s="1"/>
  <c r="S43" i="8" s="1"/>
  <c r="K39" i="8" a="1"/>
  <c r="K39" i="8" s="1"/>
  <c r="S39" i="8" s="1"/>
  <c r="K35" i="8" a="1"/>
  <c r="K35" i="8" s="1"/>
  <c r="S35" i="8" s="1"/>
  <c r="K31" i="8" a="1"/>
  <c r="K31" i="8" s="1"/>
  <c r="S31" i="8" s="1"/>
  <c r="K40" i="8" a="1"/>
  <c r="K40" i="8" s="1"/>
  <c r="S40" i="8" s="1"/>
  <c r="K50" i="8" a="1"/>
  <c r="K50" i="8" s="1"/>
  <c r="S50" i="8" s="1"/>
  <c r="K46" i="8" a="1"/>
  <c r="K46" i="8" s="1"/>
  <c r="S46" i="8" s="1"/>
  <c r="K42" i="8" a="1"/>
  <c r="K42" i="8" s="1"/>
  <c r="S42" i="8" s="1"/>
  <c r="K38" i="8" a="1"/>
  <c r="K38" i="8" s="1"/>
  <c r="S38" i="8" s="1"/>
  <c r="K34" i="8" a="1"/>
  <c r="K34" i="8" s="1"/>
  <c r="S34" i="8" s="1"/>
  <c r="K30" i="8" a="1"/>
  <c r="K30" i="8" s="1"/>
  <c r="S30" i="8" s="1"/>
  <c r="K44" i="8" a="1"/>
  <c r="K44" i="8" s="1"/>
  <c r="S44" i="8" s="1"/>
  <c r="K32" i="8" a="1"/>
  <c r="K32" i="8" s="1"/>
  <c r="S32" i="8" s="1"/>
  <c r="K49" i="8" a="1"/>
  <c r="K49" i="8" s="1"/>
  <c r="S49" i="8" s="1"/>
  <c r="K45" i="8" a="1"/>
  <c r="K45" i="8" s="1"/>
  <c r="S45" i="8" s="1"/>
  <c r="K41" i="8" a="1"/>
  <c r="K41" i="8" s="1"/>
  <c r="S41" i="8" s="1"/>
  <c r="K37" i="8" a="1"/>
  <c r="K37" i="8" s="1"/>
  <c r="S37" i="8" s="1"/>
  <c r="K33" i="8" a="1"/>
  <c r="K33" i="8" s="1"/>
  <c r="S33" i="8" s="1"/>
  <c r="K48" i="8" a="1"/>
  <c r="K48" i="8" s="1"/>
  <c r="S48" i="8" s="1"/>
  <c r="K36" i="8" a="1"/>
  <c r="K36" i="8" s="1"/>
  <c r="S36" i="8" s="1"/>
  <c r="K29" i="8" a="1"/>
  <c r="K29" i="8" s="1"/>
  <c r="S29" i="8" s="1"/>
  <c r="C64" i="8" a="1"/>
  <c r="C64" i="8" s="1"/>
  <c r="BY13" i="7"/>
  <c r="AG13" i="7"/>
  <c r="AD13" i="7"/>
  <c r="BZ13" i="7"/>
  <c r="BG13" i="7"/>
  <c r="BN13" i="7" s="1"/>
  <c r="BW13" i="7"/>
  <c r="E12" i="7"/>
  <c r="BQ12" i="7" s="1"/>
  <c r="BU12" i="7" s="1" a="1"/>
  <c r="BU12" i="7" s="1"/>
  <c r="CA13" i="7"/>
  <c r="AC13" i="7"/>
  <c r="AE13" i="7"/>
  <c r="CC13" i="7"/>
  <c r="AB13" i="7"/>
  <c r="AF13" i="7" s="1"/>
  <c r="T13" i="7" s="1"/>
  <c r="CD13" i="7"/>
  <c r="Z17" i="7"/>
  <c r="AA17" i="7"/>
  <c r="L18" i="7"/>
  <c r="P17" i="7"/>
  <c r="BM13" i="7"/>
  <c r="E13" i="7"/>
  <c r="BH13" i="7"/>
  <c r="BO13" i="7" s="1"/>
  <c r="CE13" i="7" s="1" a="1"/>
  <c r="G9" i="1"/>
  <c r="Q9" i="1"/>
  <c r="S9" i="1"/>
  <c r="R12" i="3"/>
  <c r="V12" i="3" s="1"/>
  <c r="AB12" i="5"/>
  <c r="E13" i="5" s="1"/>
  <c r="N12" i="5"/>
  <c r="Q12" i="5" s="1"/>
  <c r="R12" i="5" s="1" a="1"/>
  <c r="R12" i="5" s="1"/>
  <c r="D12" i="5"/>
  <c r="Z15" i="5"/>
  <c r="Y15" i="5"/>
  <c r="I15" i="5"/>
  <c r="V15" i="5"/>
  <c r="S15" i="5"/>
  <c r="M12" i="4"/>
  <c r="L16" i="4"/>
  <c r="J12" i="4"/>
  <c r="R12" i="4" s="1"/>
  <c r="V12" i="4" s="1"/>
  <c r="AP12" i="4"/>
  <c r="AG12" i="4"/>
  <c r="AD12" i="4"/>
  <c r="AE12" i="4"/>
  <c r="AK12" i="4"/>
  <c r="AQ16" i="4"/>
  <c r="AK12" i="3"/>
  <c r="AB12" i="3"/>
  <c r="AI12" i="3"/>
  <c r="Y12" i="3"/>
  <c r="AN12" i="3"/>
  <c r="L15" i="3"/>
  <c r="O12" i="3"/>
  <c r="M12" i="3"/>
  <c r="N12" i="3"/>
  <c r="AM16" i="3"/>
  <c r="W9" i="2"/>
  <c r="AA9" i="2"/>
  <c r="I9" i="2"/>
  <c r="J9" i="2"/>
  <c r="Y9" i="2"/>
  <c r="S9" i="2"/>
  <c r="X9" i="2"/>
  <c r="U9" i="2"/>
  <c r="H13" i="2"/>
  <c r="G14" i="2"/>
  <c r="I9" i="1"/>
  <c r="V9" i="1" s="1"/>
  <c r="C9" i="1"/>
  <c r="J9" i="1"/>
  <c r="C65" i="8" l="1" a="1"/>
  <c r="C65" i="8" s="1"/>
  <c r="D65" i="8" a="1"/>
  <c r="D65" i="8" s="1"/>
  <c r="C66" i="8" s="1" a="1"/>
  <c r="C66" i="8" s="1"/>
  <c r="S13" i="7"/>
  <c r="U13" i="7"/>
  <c r="Y13" i="7"/>
  <c r="X13" i="7"/>
  <c r="V13" i="7"/>
  <c r="W13" i="7"/>
  <c r="Z18" i="7"/>
  <c r="AA18" i="7"/>
  <c r="P18" i="7"/>
  <c r="L19" i="7"/>
  <c r="CE13" i="7"/>
  <c r="I14" i="7" s="1"/>
  <c r="AG14" i="7" s="1"/>
  <c r="J14" i="7"/>
  <c r="BT13" i="7"/>
  <c r="BU13" i="7" s="1" a="1"/>
  <c r="BU13" i="7" s="1"/>
  <c r="K9" i="1"/>
  <c r="S16" i="5"/>
  <c r="Z16" i="5"/>
  <c r="Y16" i="5"/>
  <c r="I16" i="5"/>
  <c r="V16" i="5"/>
  <c r="O12" i="4"/>
  <c r="P12" i="4" s="1"/>
  <c r="T12" i="4" s="1"/>
  <c r="AL12" i="4"/>
  <c r="AM12" i="4"/>
  <c r="AR12" i="4"/>
  <c r="N12" i="4"/>
  <c r="AF12" i="4"/>
  <c r="AC12" i="4"/>
  <c r="AO12" i="4"/>
  <c r="L17" i="4"/>
  <c r="AQ17" i="4"/>
  <c r="AO12" i="3" a="1"/>
  <c r="L16" i="3"/>
  <c r="S12" i="3"/>
  <c r="Q12" i="3"/>
  <c r="U12" i="3" s="1"/>
  <c r="P12" i="3"/>
  <c r="T12" i="3" s="1"/>
  <c r="E12" i="3"/>
  <c r="AM17" i="3"/>
  <c r="M9" i="2"/>
  <c r="P9" i="2" s="1"/>
  <c r="N9" i="2"/>
  <c r="D9" i="2"/>
  <c r="G15" i="2"/>
  <c r="H14" i="2"/>
  <c r="L9" i="1"/>
  <c r="W9" i="1"/>
  <c r="C67" i="8" l="1" a="1"/>
  <c r="C67" i="8" s="1"/>
  <c r="C68" i="8" s="1" a="1"/>
  <c r="C68" i="8" s="1"/>
  <c r="AA19" i="7"/>
  <c r="Z19" i="7"/>
  <c r="AB14" i="7"/>
  <c r="AF14" i="7" s="1"/>
  <c r="AC14" i="7"/>
  <c r="AD14" i="7"/>
  <c r="AE14" i="7"/>
  <c r="BZ14" i="7"/>
  <c r="BW14" i="7"/>
  <c r="BG14" i="7"/>
  <c r="BN14" i="7" s="1"/>
  <c r="CC14" i="7"/>
  <c r="BY14" i="7"/>
  <c r="P19" i="7"/>
  <c r="L20" i="7"/>
  <c r="CA14" i="7"/>
  <c r="CD14" i="7"/>
  <c r="R14" i="7"/>
  <c r="BX14" i="7"/>
  <c r="Q14" i="7"/>
  <c r="CB14" i="7"/>
  <c r="BV14" i="7"/>
  <c r="T9" i="1" a="1"/>
  <c r="T9" i="1" s="1"/>
  <c r="D10" i="1" s="1"/>
  <c r="Q10" i="1" s="1"/>
  <c r="M9" i="1" a="1"/>
  <c r="M9" i="1" s="1"/>
  <c r="H13" i="3"/>
  <c r="G13" i="3"/>
  <c r="S10" i="1"/>
  <c r="G10" i="1"/>
  <c r="AA13" i="5"/>
  <c r="W13" i="5"/>
  <c r="J13" i="5"/>
  <c r="K13" i="5"/>
  <c r="X13" i="5"/>
  <c r="H13" i="5"/>
  <c r="M13" i="5" s="1"/>
  <c r="P13" i="5" s="1"/>
  <c r="Y17" i="5"/>
  <c r="Z17" i="5"/>
  <c r="S17" i="5"/>
  <c r="V17" i="5"/>
  <c r="I17" i="5"/>
  <c r="Q12" i="4"/>
  <c r="U12" i="4" s="1"/>
  <c r="AS12" i="4" s="1" a="1"/>
  <c r="S12" i="4"/>
  <c r="E12" i="4"/>
  <c r="L18" i="4"/>
  <c r="AQ18" i="4"/>
  <c r="AO12" i="3"/>
  <c r="F13" i="3" s="1"/>
  <c r="L17" i="3"/>
  <c r="W12" i="3"/>
  <c r="X12" i="3" s="1" a="1"/>
  <c r="X12" i="3" s="1"/>
  <c r="AM18" i="3"/>
  <c r="AB9" i="2" a="1"/>
  <c r="AB9" i="2" s="1"/>
  <c r="R9" i="2" a="1"/>
  <c r="R9" i="2" s="1"/>
  <c r="Q9" i="2"/>
  <c r="G16" i="2"/>
  <c r="H15" i="2"/>
  <c r="W14" i="7" l="1"/>
  <c r="X14" i="7"/>
  <c r="T14" i="7"/>
  <c r="Y14" i="7"/>
  <c r="S14" i="7"/>
  <c r="U14" i="7"/>
  <c r="V14" i="7"/>
  <c r="Z20" i="7"/>
  <c r="AA20" i="7"/>
  <c r="BH14" i="7"/>
  <c r="BO14" i="7" s="1"/>
  <c r="CE14" i="7" s="1" a="1"/>
  <c r="L21" i="7"/>
  <c r="P20" i="7"/>
  <c r="BM14" i="7"/>
  <c r="E14" i="7"/>
  <c r="H10" i="1"/>
  <c r="J10" i="1"/>
  <c r="I10" i="1"/>
  <c r="V10" i="1" s="1"/>
  <c r="C10" i="1"/>
  <c r="D13" i="5"/>
  <c r="N13" i="5"/>
  <c r="V19" i="5"/>
  <c r="Z19" i="5"/>
  <c r="Y19" i="5"/>
  <c r="I19" i="5"/>
  <c r="S19" i="5"/>
  <c r="Y18" i="5"/>
  <c r="I18" i="5"/>
  <c r="Z18" i="5"/>
  <c r="V18" i="5"/>
  <c r="S18" i="5"/>
  <c r="L13" i="5"/>
  <c r="O13" i="5" s="1"/>
  <c r="AS12" i="4"/>
  <c r="W12" i="4"/>
  <c r="AB12" i="4" s="1" a="1"/>
  <c r="AB12" i="4" s="1"/>
  <c r="AW12" i="4" s="1"/>
  <c r="BF12" i="4" s="1"/>
  <c r="L19" i="4"/>
  <c r="AQ19" i="4"/>
  <c r="AE13" i="3"/>
  <c r="AJ13" i="3"/>
  <c r="K13" i="3"/>
  <c r="AK13" i="3"/>
  <c r="AB13" i="3"/>
  <c r="AN13" i="3"/>
  <c r="AI13" i="3"/>
  <c r="Y13" i="3"/>
  <c r="AL13" i="3"/>
  <c r="AC13" i="3"/>
  <c r="AA13" i="3"/>
  <c r="Z13" i="3"/>
  <c r="AH13" i="3"/>
  <c r="AG13" i="3"/>
  <c r="L18" i="3"/>
  <c r="M13" i="3"/>
  <c r="N13" i="3"/>
  <c r="J13" i="3"/>
  <c r="O13" i="3"/>
  <c r="AM19" i="3"/>
  <c r="E10" i="2"/>
  <c r="F10" i="2"/>
  <c r="G17" i="2"/>
  <c r="H16" i="2"/>
  <c r="K10" i="1"/>
  <c r="C70" i="8" l="1" a="1"/>
  <c r="C70" i="8" s="1"/>
  <c r="D71" i="8" s="1" a="1"/>
  <c r="D71" i="8" s="1"/>
  <c r="C72" i="8" s="1" a="1"/>
  <c r="C72" i="8" s="1"/>
  <c r="C73" i="8" s="1" a="1"/>
  <c r="C73" i="8" s="1"/>
  <c r="C74" i="8" s="1" a="1"/>
  <c r="C74" i="8" s="1"/>
  <c r="Z21" i="7"/>
  <c r="AA21" i="7"/>
  <c r="CE14" i="7"/>
  <c r="I15" i="7" s="1"/>
  <c r="AG15" i="7" s="1"/>
  <c r="J15" i="7"/>
  <c r="BT14" i="7"/>
  <c r="BU14" i="7" s="1" a="1"/>
  <c r="BU14" i="7" s="1"/>
  <c r="P21" i="7"/>
  <c r="L22" i="7"/>
  <c r="T10" i="1" a="1"/>
  <c r="T10" i="1" s="1"/>
  <c r="L10" i="1"/>
  <c r="M10" i="1" s="1" a="1"/>
  <c r="M10" i="1" s="1"/>
  <c r="R13" i="3"/>
  <c r="V13" i="3" s="1"/>
  <c r="W10" i="1"/>
  <c r="S20" i="5"/>
  <c r="V20" i="5"/>
  <c r="Z20" i="5"/>
  <c r="I20" i="5"/>
  <c r="Y20" i="5"/>
  <c r="AB13" i="5" a="1"/>
  <c r="F14" i="5" s="1"/>
  <c r="Q13" i="5"/>
  <c r="R13" i="5" s="1" a="1"/>
  <c r="R13" i="5" s="1"/>
  <c r="BB12" i="4"/>
  <c r="BC12" i="4"/>
  <c r="AZ12" i="4"/>
  <c r="BA12" i="4"/>
  <c r="AX12" i="4"/>
  <c r="BD12" i="4" s="1"/>
  <c r="X12" i="4" a="1"/>
  <c r="X12" i="4" s="1"/>
  <c r="BE12" i="4"/>
  <c r="L20" i="4"/>
  <c r="AQ20" i="4"/>
  <c r="L19" i="3"/>
  <c r="Q13" i="3"/>
  <c r="U13" i="3" s="1"/>
  <c r="S13" i="3"/>
  <c r="P13" i="3"/>
  <c r="T13" i="3" s="1"/>
  <c r="AO13" i="3" s="1" a="1"/>
  <c r="E13" i="3"/>
  <c r="AM20" i="3"/>
  <c r="Z10" i="2"/>
  <c r="T10" i="2"/>
  <c r="V10" i="2"/>
  <c r="K10" i="2"/>
  <c r="L10" i="2" s="1"/>
  <c r="O10" i="2" s="1"/>
  <c r="W10" i="2"/>
  <c r="U10" i="2"/>
  <c r="S10" i="2"/>
  <c r="J10" i="2"/>
  <c r="AA10" i="2"/>
  <c r="Y10" i="2"/>
  <c r="I10" i="2"/>
  <c r="X10" i="2"/>
  <c r="G18" i="2"/>
  <c r="H17" i="2"/>
  <c r="C82" i="8" l="1" a="1"/>
  <c r="C82" i="8" s="1"/>
  <c r="C71" i="8" a="1"/>
  <c r="C71" i="8" s="1"/>
  <c r="Z22" i="7"/>
  <c r="AA22" i="7"/>
  <c r="AB15" i="7"/>
  <c r="AF15" i="7" s="1"/>
  <c r="AC15" i="7"/>
  <c r="AD15" i="7"/>
  <c r="AE15" i="7"/>
  <c r="CA15" i="7"/>
  <c r="CD15" i="7"/>
  <c r="R15" i="7"/>
  <c r="Q15" i="7"/>
  <c r="BV15" i="7"/>
  <c r="BX15" i="7"/>
  <c r="CB15" i="7"/>
  <c r="P22" i="7"/>
  <c r="L23" i="7"/>
  <c r="BG15" i="7"/>
  <c r="BN15" i="7" s="1"/>
  <c r="BZ15" i="7"/>
  <c r="BW15" i="7"/>
  <c r="CC15" i="7"/>
  <c r="BY15" i="7"/>
  <c r="H14" i="3"/>
  <c r="G14" i="3"/>
  <c r="AB13" i="5"/>
  <c r="E14" i="5" s="1"/>
  <c r="X14" i="5"/>
  <c r="Z21" i="5"/>
  <c r="Y21" i="5"/>
  <c r="I21" i="5"/>
  <c r="V21" i="5"/>
  <c r="S21" i="5"/>
  <c r="BG12" i="4"/>
  <c r="F13" i="4" s="1"/>
  <c r="BI12" i="4"/>
  <c r="H13" i="4" s="1"/>
  <c r="BH12" i="4"/>
  <c r="G13" i="4" s="1"/>
  <c r="BA13" i="4"/>
  <c r="AZ13" i="4"/>
  <c r="BF13" i="4"/>
  <c r="BC13" i="4"/>
  <c r="BE13" i="4"/>
  <c r="BD13" i="4"/>
  <c r="BB13" i="4"/>
  <c r="BK13" i="4"/>
  <c r="AY13" i="4"/>
  <c r="L21" i="4"/>
  <c r="AQ21" i="4"/>
  <c r="AO13" i="3"/>
  <c r="F14" i="3" s="1"/>
  <c r="L20" i="3"/>
  <c r="W13" i="3"/>
  <c r="X13" i="3" s="1" a="1"/>
  <c r="X13" i="3" s="1"/>
  <c r="AM21" i="3"/>
  <c r="AB10" i="2" a="1"/>
  <c r="AB10" i="2" s="1"/>
  <c r="M10" i="2"/>
  <c r="P10" i="2" s="1"/>
  <c r="D10" i="2"/>
  <c r="N10" i="2"/>
  <c r="H18" i="2"/>
  <c r="G19" i="2"/>
  <c r="C85" i="8" l="1" a="1"/>
  <c r="C85" i="8" s="1"/>
  <c r="C83" i="8" a="1"/>
  <c r="C83" i="8" s="1"/>
  <c r="C84" i="8" s="1" a="1"/>
  <c r="C84" i="8" s="1"/>
  <c r="C88" i="8" s="1" a="1"/>
  <c r="C88" i="8" s="1"/>
  <c r="Z23" i="7"/>
  <c r="AA23" i="7"/>
  <c r="X15" i="7"/>
  <c r="Y15" i="7"/>
  <c r="V15" i="7"/>
  <c r="S15" i="7"/>
  <c r="U15" i="7"/>
  <c r="W15" i="7"/>
  <c r="T15" i="7"/>
  <c r="E15" i="7"/>
  <c r="BM15" i="7"/>
  <c r="L24" i="7"/>
  <c r="P23" i="7"/>
  <c r="BH15" i="7"/>
  <c r="BO15" i="7" s="1"/>
  <c r="CE15" i="7" s="1" a="1"/>
  <c r="H14" i="5"/>
  <c r="M14" i="5" s="1"/>
  <c r="P14" i="5" s="1"/>
  <c r="K14" i="5"/>
  <c r="J14" i="5"/>
  <c r="AA14" i="5"/>
  <c r="W14" i="5"/>
  <c r="S22" i="5"/>
  <c r="Z22" i="5"/>
  <c r="Y22" i="5"/>
  <c r="I22" i="5"/>
  <c r="V22" i="5"/>
  <c r="BK14" i="4"/>
  <c r="O13" i="4"/>
  <c r="AL13" i="4"/>
  <c r="AG13" i="4"/>
  <c r="AD13" i="4"/>
  <c r="AP13" i="4"/>
  <c r="AE13" i="4"/>
  <c r="AK13" i="4"/>
  <c r="AO13" i="4"/>
  <c r="AC13" i="4"/>
  <c r="AF13" i="4"/>
  <c r="N13" i="4"/>
  <c r="M13" i="4"/>
  <c r="AR13" i="4"/>
  <c r="AM13" i="4"/>
  <c r="K13" i="4"/>
  <c r="AI13" i="4"/>
  <c r="AN13" i="4"/>
  <c r="J13" i="4"/>
  <c r="L22" i="4"/>
  <c r="AQ22" i="4"/>
  <c r="AJ14" i="3"/>
  <c r="AE14" i="3"/>
  <c r="K14" i="3"/>
  <c r="AN14" i="3"/>
  <c r="AK14" i="3"/>
  <c r="AB14" i="3"/>
  <c r="Y14" i="3"/>
  <c r="L21" i="3"/>
  <c r="M14" i="3"/>
  <c r="N14" i="3"/>
  <c r="AM22" i="3"/>
  <c r="Q10" i="2"/>
  <c r="R10" i="2" s="1" a="1"/>
  <c r="R10" i="2" s="1"/>
  <c r="H19" i="2"/>
  <c r="G20" i="2"/>
  <c r="C87" i="8" l="1" a="1"/>
  <c r="C87" i="8" s="1"/>
  <c r="C86" i="8" a="1"/>
  <c r="C86" i="8" s="1"/>
  <c r="D88" i="8" s="1" a="1"/>
  <c r="D88" i="8" s="1"/>
  <c r="C95" i="8" s="1" a="1"/>
  <c r="C95" i="8" s="1"/>
  <c r="AA24" i="7"/>
  <c r="Z24" i="7"/>
  <c r="CE15" i="7"/>
  <c r="I16" i="7" s="1"/>
  <c r="AG16" i="7" s="1"/>
  <c r="J16" i="7"/>
  <c r="L25" i="7"/>
  <c r="P24" i="7"/>
  <c r="BT15" i="7"/>
  <c r="BU15" i="7" s="1" a="1"/>
  <c r="BU15" i="7" s="1"/>
  <c r="L14" i="5"/>
  <c r="O14" i="5" s="1"/>
  <c r="AB14" i="5" s="1" a="1"/>
  <c r="F15" i="5" s="1"/>
  <c r="D14" i="5"/>
  <c r="N14" i="5"/>
  <c r="V23" i="5"/>
  <c r="S23" i="5"/>
  <c r="Z23" i="5"/>
  <c r="Y23" i="5"/>
  <c r="I23" i="5"/>
  <c r="S13" i="4"/>
  <c r="E13" i="4"/>
  <c r="R13" i="4"/>
  <c r="V13" i="4" s="1"/>
  <c r="P13" i="4"/>
  <c r="T13" i="4" s="1"/>
  <c r="Q13" i="4"/>
  <c r="U13" i="4" s="1"/>
  <c r="L23" i="4"/>
  <c r="AQ23" i="4"/>
  <c r="AL14" i="3"/>
  <c r="AC14" i="3"/>
  <c r="AA14" i="3"/>
  <c r="Z14" i="3"/>
  <c r="AH14" i="3"/>
  <c r="AG14" i="3"/>
  <c r="AI14" i="3"/>
  <c r="J14" i="3"/>
  <c r="R14" i="3" s="1"/>
  <c r="V14" i="3" s="1"/>
  <c r="O14" i="3"/>
  <c r="Q14" i="3" s="1"/>
  <c r="U14" i="3" s="1"/>
  <c r="L22" i="3"/>
  <c r="AM23" i="3"/>
  <c r="E11" i="2"/>
  <c r="F11" i="2"/>
  <c r="G21" i="2"/>
  <c r="H20" i="2"/>
  <c r="Z25" i="7" l="1"/>
  <c r="AA25" i="7"/>
  <c r="AD16" i="7"/>
  <c r="AE16" i="7"/>
  <c r="AC16" i="7"/>
  <c r="AB16" i="7"/>
  <c r="AF16" i="7" s="1"/>
  <c r="BW16" i="7"/>
  <c r="BZ16" i="7"/>
  <c r="BG16" i="7"/>
  <c r="BN16" i="7" s="1"/>
  <c r="BY16" i="7"/>
  <c r="CC16" i="7"/>
  <c r="L26" i="7"/>
  <c r="P25" i="7"/>
  <c r="CD16" i="7"/>
  <c r="CA16" i="7"/>
  <c r="BV16" i="7"/>
  <c r="BX16" i="7"/>
  <c r="CB16" i="7"/>
  <c r="R16" i="7"/>
  <c r="Q16" i="7"/>
  <c r="Q14" i="5"/>
  <c r="R14" i="5" s="1" a="1"/>
  <c r="R14" i="5" s="1"/>
  <c r="AB14" i="5"/>
  <c r="E15" i="5" s="1"/>
  <c r="X15" i="5"/>
  <c r="V24" i="5"/>
  <c r="S24" i="5"/>
  <c r="Z24" i="5"/>
  <c r="I24" i="5"/>
  <c r="Y24" i="5"/>
  <c r="AS13" i="4" a="1"/>
  <c r="W13" i="4"/>
  <c r="L24" i="4"/>
  <c r="AQ24" i="4"/>
  <c r="S14" i="3"/>
  <c r="L23" i="3"/>
  <c r="E14" i="3"/>
  <c r="P14" i="3"/>
  <c r="T14" i="3" s="1"/>
  <c r="AO14" i="3" s="1" a="1"/>
  <c r="AM24" i="3"/>
  <c r="I11" i="2"/>
  <c r="J11" i="2"/>
  <c r="U11" i="2"/>
  <c r="AA11" i="2"/>
  <c r="X11" i="2"/>
  <c r="S11" i="2"/>
  <c r="Y11" i="2"/>
  <c r="K11" i="2"/>
  <c r="L11" i="2" s="1"/>
  <c r="O11" i="2" s="1"/>
  <c r="T11" i="2"/>
  <c r="V11" i="2"/>
  <c r="Z11" i="2"/>
  <c r="W11" i="2"/>
  <c r="H21" i="2"/>
  <c r="G22" i="2"/>
  <c r="C89" i="8" l="1" a="1"/>
  <c r="C89" i="8" s="1"/>
  <c r="C90" i="8" a="1"/>
  <c r="C90" i="8" s="1"/>
  <c r="C91" i="8" s="1" a="1"/>
  <c r="C91" i="8" s="1"/>
  <c r="C92" i="8" s="1" a="1"/>
  <c r="C93" i="8" a="1"/>
  <c r="Y16" i="7"/>
  <c r="S16" i="7"/>
  <c r="X16" i="7"/>
  <c r="V16" i="7"/>
  <c r="T16" i="7"/>
  <c r="W16" i="7"/>
  <c r="U16" i="7"/>
  <c r="Z26" i="7"/>
  <c r="AA26" i="7"/>
  <c r="E16" i="7"/>
  <c r="BM16" i="7"/>
  <c r="BH16" i="7"/>
  <c r="BO16" i="7" s="1"/>
  <c r="CE16" i="7" s="1" a="1"/>
  <c r="P26" i="7"/>
  <c r="L27" i="7"/>
  <c r="G15" i="3"/>
  <c r="H15" i="3"/>
  <c r="H15" i="5"/>
  <c r="M15" i="5" s="1"/>
  <c r="P15" i="5" s="1"/>
  <c r="AA15" i="5"/>
  <c r="K15" i="5"/>
  <c r="J15" i="5"/>
  <c r="L15" i="5" s="1"/>
  <c r="O15" i="5" s="1"/>
  <c r="W15" i="5"/>
  <c r="Z25" i="5"/>
  <c r="Y25" i="5"/>
  <c r="I25" i="5"/>
  <c r="V25" i="5"/>
  <c r="S25" i="5"/>
  <c r="AS13" i="4"/>
  <c r="BG13" i="4" s="1"/>
  <c r="BH13" i="4"/>
  <c r="BI13" i="4"/>
  <c r="AB13" i="4" a="1"/>
  <c r="AB13" i="4" s="1"/>
  <c r="X13" i="4" a="1"/>
  <c r="X13" i="4" s="1"/>
  <c r="L25" i="4"/>
  <c r="AQ25" i="4"/>
  <c r="AO14" i="3"/>
  <c r="F15" i="3" s="1"/>
  <c r="W14" i="3"/>
  <c r="X14" i="3" s="1" a="1"/>
  <c r="X14" i="3" s="1"/>
  <c r="L24" i="3"/>
  <c r="AM25" i="3"/>
  <c r="M11" i="2"/>
  <c r="P11" i="2" s="1"/>
  <c r="AB11" i="2" s="1" a="1"/>
  <c r="AB11" i="2" s="1"/>
  <c r="N11" i="2"/>
  <c r="D11" i="2"/>
  <c r="G23" i="2"/>
  <c r="H22" i="2"/>
  <c r="C93" i="8" l="1"/>
  <c r="C92" i="8"/>
  <c r="Z27" i="7"/>
  <c r="AA27" i="7"/>
  <c r="CE16" i="7"/>
  <c r="I17" i="7" s="1"/>
  <c r="AG17" i="7" s="1"/>
  <c r="J17" i="7"/>
  <c r="L28" i="7"/>
  <c r="P27" i="7"/>
  <c r="BT16" i="7"/>
  <c r="BU16" i="7" s="1" a="1"/>
  <c r="BU16" i="7" s="1"/>
  <c r="D15" i="5"/>
  <c r="Q15" i="5" s="1"/>
  <c r="R15" i="5" s="1" a="1"/>
  <c r="R15" i="5" s="1"/>
  <c r="N15" i="5"/>
  <c r="S26" i="5"/>
  <c r="Z26" i="5"/>
  <c r="Y26" i="5"/>
  <c r="I26" i="5"/>
  <c r="V26" i="5"/>
  <c r="AB15" i="5" a="1"/>
  <c r="F16" i="5" s="1"/>
  <c r="AW13" i="4"/>
  <c r="AX13" i="4"/>
  <c r="L26" i="4"/>
  <c r="AQ26" i="4"/>
  <c r="AJ15" i="3"/>
  <c r="AE15" i="3"/>
  <c r="K15" i="3"/>
  <c r="N15" i="3"/>
  <c r="O15" i="3"/>
  <c r="AG15" i="3"/>
  <c r="AH15" i="3"/>
  <c r="AL15" i="3"/>
  <c r="AC15" i="3"/>
  <c r="AA15" i="3"/>
  <c r="Z15" i="3"/>
  <c r="AN15" i="3"/>
  <c r="Y15" i="3"/>
  <c r="AK15" i="3"/>
  <c r="AB15" i="3"/>
  <c r="AI15" i="3"/>
  <c r="M15" i="3"/>
  <c r="L25" i="3"/>
  <c r="J15" i="3"/>
  <c r="AM26" i="3"/>
  <c r="R11" i="2" a="1"/>
  <c r="R11" i="2" s="1"/>
  <c r="Q11" i="2"/>
  <c r="F12" i="2" s="1"/>
  <c r="U12" i="2" s="1"/>
  <c r="G24" i="2"/>
  <c r="H23" i="2"/>
  <c r="C107" i="8" l="1" a="1"/>
  <c r="C107" i="8" s="1"/>
  <c r="G104" i="8"/>
  <c r="C94" i="8" a="1"/>
  <c r="C94" i="8" s="1"/>
  <c r="C96" i="8" a="1"/>
  <c r="AA28" i="7"/>
  <c r="Z28" i="7"/>
  <c r="AE17" i="7"/>
  <c r="AD17" i="7"/>
  <c r="AB17" i="7"/>
  <c r="AF17" i="7" s="1"/>
  <c r="AC17" i="7"/>
  <c r="BZ17" i="7"/>
  <c r="BW17" i="7"/>
  <c r="BG17" i="7"/>
  <c r="BN17" i="7" s="1"/>
  <c r="BY17" i="7"/>
  <c r="CC17" i="7"/>
  <c r="P28" i="7"/>
  <c r="L29" i="7"/>
  <c r="CA17" i="7"/>
  <c r="CD17" i="7"/>
  <c r="R17" i="7"/>
  <c r="BX17" i="7"/>
  <c r="Q17" i="7"/>
  <c r="CB17" i="7"/>
  <c r="BV17" i="7"/>
  <c r="AB15" i="5"/>
  <c r="E16" i="5" s="1"/>
  <c r="K16" i="5" s="1"/>
  <c r="W16" i="5"/>
  <c r="J16" i="5"/>
  <c r="V27" i="5"/>
  <c r="S27" i="5"/>
  <c r="Z27" i="5"/>
  <c r="Y27" i="5"/>
  <c r="I27" i="5"/>
  <c r="L27" i="4"/>
  <c r="AQ27" i="4"/>
  <c r="R15" i="3"/>
  <c r="V15" i="3" s="1"/>
  <c r="Q15" i="3"/>
  <c r="U15" i="3" s="1"/>
  <c r="S15" i="3"/>
  <c r="AO15" i="3" a="1"/>
  <c r="E15" i="3"/>
  <c r="P15" i="3"/>
  <c r="T15" i="3" s="1"/>
  <c r="L26" i="3"/>
  <c r="AM27" i="3"/>
  <c r="J12" i="2"/>
  <c r="S12" i="2"/>
  <c r="Y12" i="2"/>
  <c r="I12" i="2"/>
  <c r="E12" i="2"/>
  <c r="G25" i="2"/>
  <c r="H24" i="2"/>
  <c r="C96" i="8" l="1"/>
  <c r="C115" i="8"/>
  <c r="C98" i="8" a="1"/>
  <c r="S17" i="7"/>
  <c r="T17" i="7"/>
  <c r="U17" i="7"/>
  <c r="X17" i="7"/>
  <c r="Y17" i="7"/>
  <c r="V17" i="7"/>
  <c r="W17" i="7"/>
  <c r="Z29" i="7"/>
  <c r="AA29" i="7"/>
  <c r="BH17" i="7"/>
  <c r="BO17" i="7" s="1"/>
  <c r="CE17" i="7" s="1" a="1"/>
  <c r="E17" i="7"/>
  <c r="BM17" i="7"/>
  <c r="L30" i="7"/>
  <c r="P29" i="7"/>
  <c r="H16" i="3"/>
  <c r="G16" i="3"/>
  <c r="AA16" i="5"/>
  <c r="H16" i="5"/>
  <c r="M16" i="5" s="1"/>
  <c r="P16" i="5" s="1"/>
  <c r="X16" i="5"/>
  <c r="N16" i="5"/>
  <c r="D16" i="5"/>
  <c r="V28" i="5"/>
  <c r="S28" i="5"/>
  <c r="I28" i="5"/>
  <c r="Y28" i="5"/>
  <c r="Z28" i="5"/>
  <c r="L16" i="5"/>
  <c r="O16" i="5" s="1"/>
  <c r="AY14" i="4"/>
  <c r="H14" i="4"/>
  <c r="G14" i="4"/>
  <c r="F14" i="4"/>
  <c r="L28" i="4"/>
  <c r="AQ28" i="4"/>
  <c r="N16" i="3"/>
  <c r="W15" i="3"/>
  <c r="X15" i="3" s="1" a="1"/>
  <c r="X15" i="3" s="1"/>
  <c r="AO15" i="3"/>
  <c r="F16" i="3" s="1"/>
  <c r="L27" i="3"/>
  <c r="AM28" i="3"/>
  <c r="W12" i="2"/>
  <c r="T12" i="2"/>
  <c r="K12" i="2"/>
  <c r="Z12" i="2"/>
  <c r="V12" i="2"/>
  <c r="X12" i="2"/>
  <c r="N12" i="2"/>
  <c r="AA12" i="2"/>
  <c r="G26" i="2"/>
  <c r="H25" i="2"/>
  <c r="H115" i="8" l="1"/>
  <c r="F120" i="8"/>
  <c r="F115" i="8"/>
  <c r="E120" i="8"/>
  <c r="E117" i="8"/>
  <c r="F119" i="8"/>
  <c r="D118" i="8"/>
  <c r="H120" i="8"/>
  <c r="C116" i="8"/>
  <c r="G116" i="8"/>
  <c r="G115" i="8"/>
  <c r="E116" i="8"/>
  <c r="H119" i="8"/>
  <c r="D115" i="8"/>
  <c r="G118" i="8"/>
  <c r="C119" i="8"/>
  <c r="E118" i="8"/>
  <c r="F117" i="8"/>
  <c r="F116" i="8"/>
  <c r="D120" i="8"/>
  <c r="E119" i="8"/>
  <c r="G120" i="8"/>
  <c r="C118" i="8"/>
  <c r="D117" i="8"/>
  <c r="H117" i="8"/>
  <c r="C120" i="8"/>
  <c r="H116" i="8"/>
  <c r="C98" i="8"/>
  <c r="C100" i="8" s="1" a="1"/>
  <c r="C100" i="8" s="1"/>
  <c r="C127" i="8" s="1" a="1"/>
  <c r="C127" i="8" s="1"/>
  <c r="F118" i="8"/>
  <c r="H118" i="8"/>
  <c r="E115" i="8"/>
  <c r="G117" i="8"/>
  <c r="C117" i="8"/>
  <c r="D116" i="8"/>
  <c r="G119" i="8"/>
  <c r="D119" i="8"/>
  <c r="C97" i="8" a="1"/>
  <c r="Z30" i="7"/>
  <c r="AA30" i="7"/>
  <c r="BT17" i="7"/>
  <c r="BU17" i="7" s="1" a="1"/>
  <c r="BU17" i="7" s="1"/>
  <c r="P30" i="7"/>
  <c r="L31" i="7"/>
  <c r="CE17" i="7"/>
  <c r="I18" i="7" s="1"/>
  <c r="AG18" i="7" s="1"/>
  <c r="J18" i="7"/>
  <c r="Q16" i="5"/>
  <c r="Z29" i="5"/>
  <c r="Y29" i="5"/>
  <c r="I29" i="5"/>
  <c r="V29" i="5"/>
  <c r="S29" i="5"/>
  <c r="R16" i="5" a="1"/>
  <c r="R16" i="5" s="1"/>
  <c r="AB16" i="5" a="1"/>
  <c r="F17" i="5" s="1"/>
  <c r="AD14" i="4"/>
  <c r="AE14" i="4"/>
  <c r="AL14" i="4"/>
  <c r="AK14" i="4"/>
  <c r="AP14" i="4"/>
  <c r="AG14" i="4"/>
  <c r="O14" i="4"/>
  <c r="M14" i="4"/>
  <c r="AC14" i="4"/>
  <c r="AO14" i="4"/>
  <c r="AF14" i="4"/>
  <c r="AR14" i="4"/>
  <c r="N14" i="4"/>
  <c r="AM14" i="4"/>
  <c r="K14" i="4"/>
  <c r="J14" i="4"/>
  <c r="AN14" i="4"/>
  <c r="AI14" i="4"/>
  <c r="L29" i="4"/>
  <c r="AQ29" i="4"/>
  <c r="Z16" i="3"/>
  <c r="AC16" i="3"/>
  <c r="AJ16" i="3"/>
  <c r="AE16" i="3"/>
  <c r="K16" i="3"/>
  <c r="Y16" i="3"/>
  <c r="AK16" i="3"/>
  <c r="AB16" i="3"/>
  <c r="M16" i="3"/>
  <c r="L28" i="3"/>
  <c r="AM29" i="3"/>
  <c r="L12" i="2"/>
  <c r="O12" i="2" s="1"/>
  <c r="M12" i="2"/>
  <c r="P12" i="2" s="1"/>
  <c r="D12" i="2"/>
  <c r="Q12" i="2" s="1"/>
  <c r="H26" i="2"/>
  <c r="G27" i="2"/>
  <c r="C121" i="8" l="1" a="1"/>
  <c r="C121" i="8" s="1"/>
  <c r="C128" i="8" s="1" a="1"/>
  <c r="C128" i="8" s="1"/>
  <c r="C129" i="8" s="1" a="1"/>
  <c r="C129" i="8" s="1"/>
  <c r="C130" i="8" s="1" a="1"/>
  <c r="C130" i="8" s="1"/>
  <c r="C131" i="8" s="1" a="1"/>
  <c r="C131" i="8" s="1"/>
  <c r="C132" i="8" s="1" a="1"/>
  <c r="C132" i="8" s="1"/>
  <c r="C133" i="8" s="1" a="1"/>
  <c r="C133" i="8" s="1"/>
  <c r="C137" i="8" s="1" a="1"/>
  <c r="C137" i="8" s="1"/>
  <c r="C99" i="8" a="1"/>
  <c r="C97" i="8"/>
  <c r="C101" i="8" a="1"/>
  <c r="C101" i="8" s="1"/>
  <c r="C102" i="8" s="1"/>
  <c r="AB18" i="7"/>
  <c r="AF18" i="7" s="1"/>
  <c r="AC18" i="7"/>
  <c r="AD18" i="7"/>
  <c r="AE18" i="7"/>
  <c r="CA18" i="7"/>
  <c r="CD18" i="7"/>
  <c r="Q18" i="7"/>
  <c r="BV18" i="7"/>
  <c r="R18" i="7"/>
  <c r="BX18" i="7"/>
  <c r="CB18" i="7"/>
  <c r="L32" i="7"/>
  <c r="P31" i="7"/>
  <c r="BZ18" i="7"/>
  <c r="BW18" i="7"/>
  <c r="BG18" i="7"/>
  <c r="BN18" i="7" s="1"/>
  <c r="BY18" i="7"/>
  <c r="CC18" i="7"/>
  <c r="AN16" i="3"/>
  <c r="AA16" i="3"/>
  <c r="J16" i="3"/>
  <c r="AL16" i="3"/>
  <c r="AH16" i="3"/>
  <c r="O16" i="3"/>
  <c r="P16" i="3" s="1"/>
  <c r="T16" i="3" s="1"/>
  <c r="AB16" i="5"/>
  <c r="E17" i="5" s="1"/>
  <c r="W17" i="5" s="1"/>
  <c r="AA17" i="5"/>
  <c r="J17" i="5"/>
  <c r="K17" i="5"/>
  <c r="S30" i="5"/>
  <c r="Z30" i="5"/>
  <c r="Y30" i="5"/>
  <c r="I30" i="5"/>
  <c r="V30" i="5"/>
  <c r="R14" i="4"/>
  <c r="V14" i="4" s="1"/>
  <c r="Q14" i="4"/>
  <c r="U14" i="4" s="1"/>
  <c r="P14" i="4"/>
  <c r="T14" i="4" s="1"/>
  <c r="E14" i="4"/>
  <c r="S14" i="4"/>
  <c r="L30" i="4"/>
  <c r="AQ30" i="4"/>
  <c r="AG16" i="3"/>
  <c r="AI16" i="3"/>
  <c r="R16" i="3"/>
  <c r="V16" i="3" s="1"/>
  <c r="L29" i="3"/>
  <c r="AM30" i="3"/>
  <c r="AB12" i="2" a="1"/>
  <c r="AB12" i="2" s="1"/>
  <c r="R12" i="2" a="1"/>
  <c r="R12" i="2" s="1"/>
  <c r="G28" i="2"/>
  <c r="H27" i="2"/>
  <c r="C99" i="8" l="1"/>
  <c r="C134" i="8" a="1"/>
  <c r="C134" i="8" s="1"/>
  <c r="C135" i="8" s="1" a="1"/>
  <c r="C135" i="8" s="1"/>
  <c r="D137" i="8" s="1" a="1"/>
  <c r="D137" i="8" s="1"/>
  <c r="C144" i="8" s="1" a="1"/>
  <c r="C144" i="8" s="1"/>
  <c r="V18" i="7"/>
  <c r="W18" i="7"/>
  <c r="X18" i="7"/>
  <c r="Y18" i="7"/>
  <c r="S18" i="7"/>
  <c r="T18" i="7"/>
  <c r="U18" i="7"/>
  <c r="AS14" i="4" a="1"/>
  <c r="AS14" i="4" s="1"/>
  <c r="P32" i="7"/>
  <c r="L33" i="7"/>
  <c r="E18" i="7"/>
  <c r="BM18" i="7"/>
  <c r="BH18" i="7"/>
  <c r="BO18" i="7" s="1"/>
  <c r="CE18" i="7" s="1" a="1"/>
  <c r="AO16" i="3" a="1"/>
  <c r="AO16" i="3" s="1"/>
  <c r="F17" i="3" s="1"/>
  <c r="S16" i="3"/>
  <c r="Q16" i="3"/>
  <c r="U16" i="3" s="1"/>
  <c r="E16" i="3"/>
  <c r="H17" i="5"/>
  <c r="M17" i="5" s="1"/>
  <c r="P17" i="5" s="1"/>
  <c r="X17" i="5"/>
  <c r="L17" i="5"/>
  <c r="O17" i="5" s="1"/>
  <c r="V31" i="5"/>
  <c r="S31" i="5"/>
  <c r="Z31" i="5"/>
  <c r="Y31" i="5"/>
  <c r="I31" i="5"/>
  <c r="W14" i="4"/>
  <c r="X14" i="4" s="1" a="1"/>
  <c r="X14" i="4" s="1"/>
  <c r="L31" i="4"/>
  <c r="AQ31" i="4"/>
  <c r="L30" i="3"/>
  <c r="AM31" i="3"/>
  <c r="F13" i="2"/>
  <c r="J13" i="2" s="1"/>
  <c r="E13" i="2"/>
  <c r="G29" i="2"/>
  <c r="H28" i="2"/>
  <c r="C136" i="8" l="1" a="1"/>
  <c r="C136" i="8" s="1"/>
  <c r="C138" i="8" s="1" a="1"/>
  <c r="C138" i="8" s="1"/>
  <c r="C142" i="8" a="1"/>
  <c r="C142" i="8" s="1"/>
  <c r="BT18" i="7"/>
  <c r="BU18" i="7" s="1" a="1"/>
  <c r="BU18" i="7" s="1"/>
  <c r="CE18" i="7"/>
  <c r="I19" i="7" s="1"/>
  <c r="AG19" i="7" s="1"/>
  <c r="J19" i="7"/>
  <c r="P33" i="7"/>
  <c r="L34" i="7"/>
  <c r="W16" i="3"/>
  <c r="X16" i="3" s="1" a="1"/>
  <c r="X16" i="3" s="1"/>
  <c r="H17" i="3"/>
  <c r="G17" i="3"/>
  <c r="AB17" i="3" s="1"/>
  <c r="N17" i="5"/>
  <c r="D17" i="5"/>
  <c r="AB17" i="5" a="1"/>
  <c r="F18" i="5" s="1"/>
  <c r="V32" i="5"/>
  <c r="S32" i="5"/>
  <c r="I32" i="5"/>
  <c r="Z32" i="5"/>
  <c r="Y32" i="5"/>
  <c r="AB14" i="4" a="1"/>
  <c r="AB14" i="4" s="1"/>
  <c r="AW14" i="4" s="1"/>
  <c r="L32" i="4"/>
  <c r="AQ32" i="4"/>
  <c r="AI17" i="3"/>
  <c r="AG17" i="3"/>
  <c r="AA17" i="3"/>
  <c r="AL17" i="3"/>
  <c r="L31" i="3"/>
  <c r="AM32" i="3"/>
  <c r="Y13" i="2"/>
  <c r="S13" i="2"/>
  <c r="I13" i="2"/>
  <c r="U13" i="2"/>
  <c r="W13" i="2"/>
  <c r="V13" i="2"/>
  <c r="Z13" i="2"/>
  <c r="T13" i="2"/>
  <c r="AA13" i="2"/>
  <c r="X13" i="2"/>
  <c r="K13" i="2"/>
  <c r="L13" i="2" s="1"/>
  <c r="O13" i="2" s="1"/>
  <c r="H29" i="2"/>
  <c r="G30" i="2"/>
  <c r="C139" i="8" l="1" a="1"/>
  <c r="C139" i="8" s="1"/>
  <c r="C140" i="8" s="1" a="1"/>
  <c r="C140" i="8" s="1"/>
  <c r="AB19" i="7"/>
  <c r="AF19" i="7" s="1"/>
  <c r="AC19" i="7"/>
  <c r="AD19" i="7"/>
  <c r="AE19" i="7"/>
  <c r="P34" i="7"/>
  <c r="L35" i="7"/>
  <c r="CD19" i="7"/>
  <c r="CA19" i="7"/>
  <c r="CB19" i="7"/>
  <c r="R19" i="7"/>
  <c r="BX19" i="7"/>
  <c r="Q19" i="7"/>
  <c r="BV19" i="7"/>
  <c r="BG19" i="7"/>
  <c r="BN19" i="7" s="1"/>
  <c r="BW19" i="7"/>
  <c r="BZ19" i="7"/>
  <c r="BY19" i="7"/>
  <c r="CC19" i="7"/>
  <c r="N17" i="3"/>
  <c r="M17" i="3"/>
  <c r="Y17" i="3"/>
  <c r="AE17" i="3"/>
  <c r="K17" i="3"/>
  <c r="AJ17" i="3"/>
  <c r="AK17" i="3"/>
  <c r="AN17" i="3"/>
  <c r="AC17" i="3"/>
  <c r="AH17" i="3"/>
  <c r="Q17" i="5"/>
  <c r="R17" i="5" s="1" a="1"/>
  <c r="R17" i="5" s="1"/>
  <c r="AB17" i="5"/>
  <c r="E18" i="5" s="1"/>
  <c r="AA18" i="5"/>
  <c r="W18" i="5"/>
  <c r="J18" i="5"/>
  <c r="K18" i="5"/>
  <c r="X18" i="5"/>
  <c r="H18" i="5"/>
  <c r="M18" i="5" s="1"/>
  <c r="P18" i="5" s="1"/>
  <c r="Z33" i="5"/>
  <c r="Y33" i="5"/>
  <c r="I33" i="5"/>
  <c r="V33" i="5"/>
  <c r="S33" i="5"/>
  <c r="BE14" i="4"/>
  <c r="BC14" i="4"/>
  <c r="AX14" i="4"/>
  <c r="BD14" i="4" s="1"/>
  <c r="L33" i="4"/>
  <c r="AQ33" i="4"/>
  <c r="J17" i="3"/>
  <c r="O17" i="3"/>
  <c r="Z17" i="3"/>
  <c r="E17" i="3"/>
  <c r="L32" i="3"/>
  <c r="AM33" i="3"/>
  <c r="R13" i="2" a="1"/>
  <c r="R13" i="2" s="1"/>
  <c r="D13" i="2"/>
  <c r="N13" i="2"/>
  <c r="Q13" i="2" s="1"/>
  <c r="M13" i="2"/>
  <c r="P13" i="2" s="1"/>
  <c r="AB13" i="2" s="1" a="1"/>
  <c r="AB13" i="2" s="1"/>
  <c r="G31" i="2"/>
  <c r="H30" i="2"/>
  <c r="C141" i="8" l="1" a="1"/>
  <c r="C141" i="8" s="1"/>
  <c r="U19" i="7"/>
  <c r="W19" i="7"/>
  <c r="X19" i="7"/>
  <c r="Y19" i="7"/>
  <c r="T19" i="7"/>
  <c r="V19" i="7"/>
  <c r="S19" i="7"/>
  <c r="BH19" i="7"/>
  <c r="BO19" i="7" s="1"/>
  <c r="CE19" i="7" s="1" a="1"/>
  <c r="BM19" i="7"/>
  <c r="E19" i="7"/>
  <c r="P35" i="7"/>
  <c r="L36" i="7"/>
  <c r="S17" i="3"/>
  <c r="R17" i="3"/>
  <c r="V17" i="3" s="1"/>
  <c r="P17" i="3"/>
  <c r="T17" i="3" s="1"/>
  <c r="Q17" i="3"/>
  <c r="U17" i="3" s="1"/>
  <c r="D18" i="5"/>
  <c r="N18" i="5"/>
  <c r="L18" i="5"/>
  <c r="O18" i="5" s="1"/>
  <c r="S34" i="5"/>
  <c r="Z34" i="5"/>
  <c r="Y34" i="5"/>
  <c r="I34" i="5"/>
  <c r="V34" i="5"/>
  <c r="BI14" i="4"/>
  <c r="BH14" i="4"/>
  <c r="BG14" i="4"/>
  <c r="BF14" i="4"/>
  <c r="BA14" i="4"/>
  <c r="BK15" i="4" s="1"/>
  <c r="BB14" i="4"/>
  <c r="AZ14" i="4"/>
  <c r="L34" i="4"/>
  <c r="AQ34" i="4"/>
  <c r="W17" i="3"/>
  <c r="L33" i="3"/>
  <c r="AM34" i="3"/>
  <c r="F14" i="2"/>
  <c r="J14" i="2" s="1"/>
  <c r="E14" i="2"/>
  <c r="Z14" i="2" s="1"/>
  <c r="G32" i="2"/>
  <c r="H31" i="2"/>
  <c r="C143" i="8" l="1" a="1"/>
  <c r="C143" i="8" s="1"/>
  <c r="BT19" i="7"/>
  <c r="BU19" i="7" s="1" a="1"/>
  <c r="BU19" i="7" s="1"/>
  <c r="P36" i="7"/>
  <c r="L37" i="7"/>
  <c r="CE19" i="7"/>
  <c r="I20" i="7" s="1"/>
  <c r="AG20" i="7" s="1"/>
  <c r="J20" i="7"/>
  <c r="X17" i="3" a="1"/>
  <c r="X17" i="3" s="1"/>
  <c r="AO17" i="3" a="1"/>
  <c r="AO17" i="3" s="1"/>
  <c r="F18" i="3" s="1"/>
  <c r="V35" i="5"/>
  <c r="S35" i="5"/>
  <c r="Z35" i="5"/>
  <c r="Y35" i="5"/>
  <c r="I35" i="5"/>
  <c r="AB18" i="5" a="1"/>
  <c r="F19" i="5" s="1"/>
  <c r="Q18" i="5"/>
  <c r="R18" i="5" s="1" a="1"/>
  <c r="R18" i="5" s="1"/>
  <c r="AY15" i="4"/>
  <c r="H15" i="4"/>
  <c r="AN15" i="4" s="1"/>
  <c r="G15" i="4"/>
  <c r="AF15" i="4" s="1"/>
  <c r="F15" i="4"/>
  <c r="AE15" i="4" s="1"/>
  <c r="L35" i="4"/>
  <c r="AQ35" i="4"/>
  <c r="L34" i="3"/>
  <c r="AM35" i="3"/>
  <c r="W14" i="2"/>
  <c r="U14" i="2"/>
  <c r="S14" i="2"/>
  <c r="X14" i="2"/>
  <c r="Y14" i="2"/>
  <c r="I14" i="2"/>
  <c r="M14" i="2" s="1"/>
  <c r="P14" i="2" s="1"/>
  <c r="K14" i="2"/>
  <c r="L14" i="2" s="1"/>
  <c r="O14" i="2" s="1"/>
  <c r="T14" i="2"/>
  <c r="V14" i="2"/>
  <c r="AA14" i="2"/>
  <c r="G33" i="2"/>
  <c r="H32" i="2"/>
  <c r="C147" i="8" l="1" a="1"/>
  <c r="C147" i="8" s="1"/>
  <c r="C148" i="8" s="1" a="1"/>
  <c r="C148" i="8" s="1"/>
  <c r="C145" i="8" a="1"/>
  <c r="C145" i="8" s="1"/>
  <c r="C155" i="8" a="1"/>
  <c r="H166" i="8" s="1"/>
  <c r="AC20" i="7"/>
  <c r="AD20" i="7"/>
  <c r="AE20" i="7"/>
  <c r="AB20" i="7"/>
  <c r="AF20" i="7" s="1"/>
  <c r="CD20" i="7"/>
  <c r="CA20" i="7"/>
  <c r="CB20" i="7"/>
  <c r="BV20" i="7"/>
  <c r="BX20" i="7"/>
  <c r="Q20" i="7"/>
  <c r="R20" i="7"/>
  <c r="BW20" i="7"/>
  <c r="BG20" i="7"/>
  <c r="BN20" i="7" s="1"/>
  <c r="BZ20" i="7"/>
  <c r="CC20" i="7"/>
  <c r="BY20" i="7"/>
  <c r="P37" i="7"/>
  <c r="L38" i="7"/>
  <c r="AL18" i="3"/>
  <c r="H18" i="3"/>
  <c r="K18" i="3" s="1"/>
  <c r="G18" i="3"/>
  <c r="AH18" i="3" s="1"/>
  <c r="AG18" i="3"/>
  <c r="O18" i="3"/>
  <c r="Z18" i="3"/>
  <c r="AI18" i="3"/>
  <c r="AE18" i="3"/>
  <c r="AA18" i="3"/>
  <c r="AC18" i="3"/>
  <c r="AJ18" i="3"/>
  <c r="Y18" i="3"/>
  <c r="AB18" i="5"/>
  <c r="E19" i="5" s="1"/>
  <c r="H19" i="5"/>
  <c r="M19" i="5" s="1"/>
  <c r="P19" i="5" s="1"/>
  <c r="X19" i="5"/>
  <c r="Y36" i="5"/>
  <c r="V36" i="5"/>
  <c r="S36" i="5"/>
  <c r="I36" i="5"/>
  <c r="Z36" i="5"/>
  <c r="N15" i="4"/>
  <c r="AG15" i="4"/>
  <c r="M15" i="4"/>
  <c r="O15" i="4"/>
  <c r="AR15" i="4"/>
  <c r="AO15" i="4"/>
  <c r="AC15" i="4"/>
  <c r="AP15" i="4"/>
  <c r="AI15" i="4"/>
  <c r="AK15" i="4"/>
  <c r="J15" i="4"/>
  <c r="K15" i="4"/>
  <c r="AD15" i="4"/>
  <c r="AM15" i="4"/>
  <c r="AL15" i="4"/>
  <c r="L36" i="4"/>
  <c r="AQ36" i="4"/>
  <c r="L35" i="3"/>
  <c r="AM36" i="3"/>
  <c r="D14" i="2"/>
  <c r="N14" i="2"/>
  <c r="AB14" i="2" a="1"/>
  <c r="AB14" i="2" s="1"/>
  <c r="Q14" i="2"/>
  <c r="R14" i="2" s="1" a="1"/>
  <c r="R14" i="2" s="1"/>
  <c r="G34" i="2"/>
  <c r="H33" i="2"/>
  <c r="C146" i="8" l="1" a="1"/>
  <c r="C146" i="8" s="1"/>
  <c r="C149" i="8" a="1"/>
  <c r="C149" i="8" s="1"/>
  <c r="D166" i="8"/>
  <c r="H164" i="8"/>
  <c r="H163" i="8"/>
  <c r="D168" i="8"/>
  <c r="G167" i="8"/>
  <c r="E163" i="8"/>
  <c r="F165" i="8"/>
  <c r="E165" i="8"/>
  <c r="C164" i="8"/>
  <c r="C167" i="8"/>
  <c r="D163" i="8"/>
  <c r="G166" i="8"/>
  <c r="D167" i="8"/>
  <c r="H167" i="8"/>
  <c r="H165" i="8"/>
  <c r="H168" i="8"/>
  <c r="G165" i="8"/>
  <c r="F167" i="8"/>
  <c r="C168" i="8"/>
  <c r="F166" i="8"/>
  <c r="D165" i="8"/>
  <c r="C166" i="8"/>
  <c r="G164" i="8"/>
  <c r="G163" i="8"/>
  <c r="F168" i="8"/>
  <c r="E166" i="8"/>
  <c r="F163" i="8"/>
  <c r="E164" i="8"/>
  <c r="G168" i="8"/>
  <c r="F164" i="8"/>
  <c r="E167" i="8"/>
  <c r="E168" i="8"/>
  <c r="C165" i="8"/>
  <c r="D164" i="8"/>
  <c r="C155" i="8"/>
  <c r="C163" i="8" s="1"/>
  <c r="Y20" i="7"/>
  <c r="S20" i="7"/>
  <c r="X20" i="7"/>
  <c r="V20" i="7"/>
  <c r="W20" i="7"/>
  <c r="T20" i="7"/>
  <c r="U20" i="7"/>
  <c r="P38" i="7"/>
  <c r="L39" i="7"/>
  <c r="E20" i="7"/>
  <c r="BM20" i="7"/>
  <c r="BH20" i="7"/>
  <c r="BO20" i="7" s="1"/>
  <c r="J18" i="3"/>
  <c r="P18" i="3" s="1"/>
  <c r="T18" i="3" s="1"/>
  <c r="AK18" i="3"/>
  <c r="AN18" i="3"/>
  <c r="AB18" i="3"/>
  <c r="R18" i="3"/>
  <c r="V18" i="3" s="1"/>
  <c r="N18" i="3"/>
  <c r="M18" i="3"/>
  <c r="AA19" i="5"/>
  <c r="K19" i="5"/>
  <c r="J19" i="5"/>
  <c r="L19" i="5" s="1"/>
  <c r="O19" i="5" s="1"/>
  <c r="W19" i="5"/>
  <c r="Z37" i="5"/>
  <c r="Y37" i="5"/>
  <c r="I37" i="5"/>
  <c r="V37" i="5"/>
  <c r="S37" i="5"/>
  <c r="P15" i="4"/>
  <c r="T15" i="4" s="1"/>
  <c r="E15" i="4"/>
  <c r="Q15" i="4"/>
  <c r="U15" i="4" s="1"/>
  <c r="S15" i="4"/>
  <c r="R15" i="4"/>
  <c r="V15" i="4" s="1"/>
  <c r="L37" i="4"/>
  <c r="AQ37" i="4"/>
  <c r="L36" i="3"/>
  <c r="AM37" i="3"/>
  <c r="E15" i="2"/>
  <c r="F15" i="2"/>
  <c r="H34" i="2"/>
  <c r="G35" i="2"/>
  <c r="C150" i="8" l="1" a="1"/>
  <c r="C150" i="8" s="1"/>
  <c r="C151" i="8" s="1"/>
  <c r="C175" i="8" a="1"/>
  <c r="C175" i="8" s="1"/>
  <c r="C169" i="8" a="1"/>
  <c r="C169" i="8" s="1"/>
  <c r="C176" i="8" s="1" a="1"/>
  <c r="C176" i="8" s="1"/>
  <c r="C177" i="8" s="1" a="1"/>
  <c r="C177" i="8" s="1"/>
  <c r="C178" i="8" s="1" a="1"/>
  <c r="C178" i="8" s="1"/>
  <c r="C179" i="8" s="1" a="1"/>
  <c r="C179" i="8" s="1"/>
  <c r="C180" i="8" s="1" a="1"/>
  <c r="C180" i="8" s="1"/>
  <c r="C181" i="8" s="1" a="1"/>
  <c r="C181" i="8" s="1"/>
  <c r="BT20" i="7"/>
  <c r="BU20" i="7" s="1" a="1"/>
  <c r="BU20" i="7" s="1"/>
  <c r="P39" i="7"/>
  <c r="CE20" i="7" a="1"/>
  <c r="S18" i="3"/>
  <c r="E18" i="3"/>
  <c r="Q18" i="3"/>
  <c r="U18" i="3" s="1"/>
  <c r="N19" i="5"/>
  <c r="Q19" i="5" s="1"/>
  <c r="R19" i="5" s="1" a="1"/>
  <c r="R19" i="5" s="1"/>
  <c r="D19" i="5"/>
  <c r="AB19" i="5" a="1"/>
  <c r="F20" i="5" s="1"/>
  <c r="S38" i="5"/>
  <c r="Z38" i="5"/>
  <c r="Y38" i="5"/>
  <c r="I38" i="5"/>
  <c r="V38" i="5"/>
  <c r="AS15" i="4" a="1"/>
  <c r="AS15" i="4" s="1"/>
  <c r="W15" i="4"/>
  <c r="X15" i="4" s="1" a="1"/>
  <c r="X15" i="4" s="1"/>
  <c r="BA15" i="4"/>
  <c r="AZ15" i="4"/>
  <c r="BB15" i="4"/>
  <c r="BF15" i="4"/>
  <c r="BC15" i="4"/>
  <c r="BE15" i="4"/>
  <c r="L38" i="4"/>
  <c r="AQ38" i="4"/>
  <c r="L37" i="3"/>
  <c r="Z15" i="2"/>
  <c r="V15" i="2"/>
  <c r="T15" i="2"/>
  <c r="U15" i="2"/>
  <c r="W15" i="2"/>
  <c r="X15" i="2"/>
  <c r="Y15" i="2"/>
  <c r="AA15" i="2"/>
  <c r="K15" i="2"/>
  <c r="L15" i="2" s="1"/>
  <c r="O15" i="2" s="1"/>
  <c r="S15" i="2"/>
  <c r="J15" i="2"/>
  <c r="I15" i="2"/>
  <c r="H35" i="2"/>
  <c r="C182" i="8" l="1" a="1"/>
  <c r="C182" i="8" s="1"/>
  <c r="C184" i="8" s="1" a="1"/>
  <c r="C184" i="8" s="1"/>
  <c r="CE20" i="7"/>
  <c r="I21" i="7" s="1"/>
  <c r="AG21" i="7" s="1"/>
  <c r="J21" i="7"/>
  <c r="W18" i="3"/>
  <c r="AO18" i="3" a="1"/>
  <c r="X18" i="3" a="1"/>
  <c r="X18" i="3" s="1"/>
  <c r="AB19" i="5"/>
  <c r="V39" i="5"/>
  <c r="S39" i="5"/>
  <c r="Z39" i="5"/>
  <c r="Y39" i="5"/>
  <c r="I39" i="5"/>
  <c r="AB15" i="4" a="1"/>
  <c r="AB15" i="4" s="1"/>
  <c r="AW15" i="4" s="1"/>
  <c r="BG15" i="4"/>
  <c r="F16" i="4" s="1"/>
  <c r="BI15" i="4"/>
  <c r="H16" i="4" s="1"/>
  <c r="BH15" i="4"/>
  <c r="G16" i="4" s="1"/>
  <c r="BK16" i="4"/>
  <c r="L39" i="4"/>
  <c r="AQ39" i="4"/>
  <c r="AM38" i="3"/>
  <c r="L38" i="3"/>
  <c r="D15" i="2"/>
  <c r="M15" i="2"/>
  <c r="N15" i="2"/>
  <c r="P15" i="2"/>
  <c r="AB15" i="2" s="1" a="1"/>
  <c r="AB15" i="2" s="1"/>
  <c r="C183" i="8" l="1" a="1"/>
  <c r="C183" i="8" s="1"/>
  <c r="D184" i="8" a="1"/>
  <c r="D184" i="8" s="1"/>
  <c r="C191" i="8" s="1" a="1"/>
  <c r="C191" i="8" s="1"/>
  <c r="AD21" i="7"/>
  <c r="AC21" i="7"/>
  <c r="AE21" i="7"/>
  <c r="AB21" i="7"/>
  <c r="AF21" i="7" s="1"/>
  <c r="CA21" i="7"/>
  <c r="CD21" i="7"/>
  <c r="BX21" i="7"/>
  <c r="CB21" i="7"/>
  <c r="Q21" i="7"/>
  <c r="BV21" i="7"/>
  <c r="R21" i="7"/>
  <c r="BZ21" i="7"/>
  <c r="BW21" i="7"/>
  <c r="BG21" i="7"/>
  <c r="BN21" i="7" s="1"/>
  <c r="BY21" i="7"/>
  <c r="CC21" i="7"/>
  <c r="AO18" i="3"/>
  <c r="F19" i="3" s="1"/>
  <c r="G19" i="3"/>
  <c r="H19" i="3"/>
  <c r="E20" i="5"/>
  <c r="J20" i="5" s="1"/>
  <c r="AA20" i="5"/>
  <c r="X20" i="5"/>
  <c r="H20" i="5"/>
  <c r="M20" i="5" s="1"/>
  <c r="P20" i="5" s="1"/>
  <c r="Y40" i="5"/>
  <c r="I40" i="5"/>
  <c r="V40" i="5"/>
  <c r="S40" i="5"/>
  <c r="Z40" i="5"/>
  <c r="AX15" i="4"/>
  <c r="BD15" i="4" s="1"/>
  <c r="AY16" i="4" s="1"/>
  <c r="M16" i="4"/>
  <c r="AF16" i="4"/>
  <c r="AC16" i="4"/>
  <c r="AM16" i="4"/>
  <c r="AO16" i="4"/>
  <c r="N16" i="4"/>
  <c r="AR16" i="4"/>
  <c r="K16" i="4"/>
  <c r="AI16" i="4"/>
  <c r="J16" i="4"/>
  <c r="AN16" i="4"/>
  <c r="AL16" i="4"/>
  <c r="O16" i="4"/>
  <c r="AD16" i="4"/>
  <c r="AK16" i="4"/>
  <c r="AP16" i="4"/>
  <c r="AG16" i="4"/>
  <c r="AE16" i="4"/>
  <c r="L40" i="4"/>
  <c r="AQ40" i="4"/>
  <c r="L39" i="3"/>
  <c r="AM39" i="3"/>
  <c r="AH19" i="3"/>
  <c r="O19" i="3"/>
  <c r="AN19" i="3"/>
  <c r="AG19" i="3"/>
  <c r="AI19" i="3"/>
  <c r="J19" i="3"/>
  <c r="Q15" i="2"/>
  <c r="R15" i="2" s="1" a="1"/>
  <c r="R15" i="2" s="1"/>
  <c r="C185" i="8" l="1" a="1"/>
  <c r="C185" i="8" s="1"/>
  <c r="C186" i="8" a="1"/>
  <c r="C186" i="8" s="1"/>
  <c r="C187" i="8" s="1" a="1"/>
  <c r="C187" i="8" s="1"/>
  <c r="C188" i="8" s="1" a="1"/>
  <c r="C188" i="8" s="1"/>
  <c r="C192" i="8" s="1" a="1"/>
  <c r="C192" i="8" s="1"/>
  <c r="C189" i="8" a="1"/>
  <c r="C189" i="8" s="1"/>
  <c r="W21" i="7"/>
  <c r="X21" i="7"/>
  <c r="Y21" i="7"/>
  <c r="T21" i="7"/>
  <c r="U21" i="7"/>
  <c r="S21" i="7"/>
  <c r="V21" i="7"/>
  <c r="E21" i="7"/>
  <c r="BM21" i="7"/>
  <c r="BH21" i="7"/>
  <c r="BO21" i="7" s="1"/>
  <c r="CE21" i="7" s="1" a="1"/>
  <c r="AJ19" i="3"/>
  <c r="AE19" i="3"/>
  <c r="K19" i="3"/>
  <c r="R19" i="3" s="1"/>
  <c r="V19" i="3" s="1"/>
  <c r="M19" i="3"/>
  <c r="AK19" i="3"/>
  <c r="N19" i="3"/>
  <c r="E19" i="3" s="1"/>
  <c r="AB19" i="3"/>
  <c r="Y19" i="3"/>
  <c r="AA19" i="3"/>
  <c r="Z19" i="3"/>
  <c r="AL19" i="3"/>
  <c r="AC19" i="3"/>
  <c r="L20" i="5"/>
  <c r="O20" i="5" s="1"/>
  <c r="W20" i="5"/>
  <c r="K20" i="5"/>
  <c r="D20" i="5" s="1"/>
  <c r="Q20" i="5" s="1"/>
  <c r="R20" i="5" s="1" a="1"/>
  <c r="R20" i="5" s="1"/>
  <c r="AB20" i="5" a="1"/>
  <c r="N20" i="5"/>
  <c r="Y41" i="5"/>
  <c r="Z41" i="5"/>
  <c r="V41" i="5"/>
  <c r="I41" i="5"/>
  <c r="S41" i="5"/>
  <c r="R16" i="4"/>
  <c r="V16" i="4" s="1"/>
  <c r="Q16" i="4"/>
  <c r="U16" i="4" s="1"/>
  <c r="P16" i="4"/>
  <c r="T16" i="4" s="1"/>
  <c r="S16" i="4"/>
  <c r="E16" i="4"/>
  <c r="L41" i="4"/>
  <c r="AQ41" i="4"/>
  <c r="AM40" i="3"/>
  <c r="L40" i="3"/>
  <c r="P19" i="3"/>
  <c r="T19" i="3" s="1"/>
  <c r="E16" i="2"/>
  <c r="F16" i="2"/>
  <c r="C193" i="8" l="1" a="1"/>
  <c r="C193" i="8" s="1"/>
  <c r="C194" i="8" s="1" a="1"/>
  <c r="C194" i="8" s="1"/>
  <c r="C190" i="8" a="1"/>
  <c r="C190" i="8" s="1"/>
  <c r="C203" i="8" s="1" a="1"/>
  <c r="C203" i="8" s="1"/>
  <c r="C211" i="8" s="1"/>
  <c r="C195" i="8" a="1"/>
  <c r="C195" i="8" s="1"/>
  <c r="C196" i="8" s="1" a="1"/>
  <c r="C196" i="8" s="1"/>
  <c r="BT21" i="7"/>
  <c r="BU21" i="7" s="1" a="1"/>
  <c r="BU21" i="7" s="1"/>
  <c r="CE21" i="7"/>
  <c r="I22" i="7" s="1"/>
  <c r="AG22" i="7" s="1"/>
  <c r="J22" i="7"/>
  <c r="S19" i="3"/>
  <c r="W19" i="3" s="1"/>
  <c r="X19" i="3" s="1" a="1"/>
  <c r="X19" i="3" s="1"/>
  <c r="Q19" i="3"/>
  <c r="U19" i="3" s="1"/>
  <c r="AO19" i="3" a="1"/>
  <c r="AO19" i="3" s="1"/>
  <c r="F20" i="3" s="1"/>
  <c r="AB20" i="5"/>
  <c r="F21" i="5"/>
  <c r="X21" i="5"/>
  <c r="H21" i="5"/>
  <c r="M21" i="5" s="1"/>
  <c r="P21" i="5" s="1"/>
  <c r="Y42" i="5"/>
  <c r="I42" i="5"/>
  <c r="S42" i="5"/>
  <c r="Z42" i="5"/>
  <c r="V42" i="5"/>
  <c r="AS16" i="4" a="1"/>
  <c r="AS16" i="4" s="1"/>
  <c r="W16" i="4"/>
  <c r="L42" i="4"/>
  <c r="AQ42" i="4"/>
  <c r="AM41" i="3"/>
  <c r="L41" i="3"/>
  <c r="T16" i="2"/>
  <c r="V16" i="2"/>
  <c r="Z16" i="2"/>
  <c r="U16" i="2"/>
  <c r="Y16" i="2"/>
  <c r="X16" i="2"/>
  <c r="S16" i="2"/>
  <c r="K16" i="2"/>
  <c r="L16" i="2" s="1"/>
  <c r="O16" i="2" s="1"/>
  <c r="I16" i="2"/>
  <c r="J16" i="2"/>
  <c r="AA16" i="2"/>
  <c r="W16" i="2"/>
  <c r="C197" i="8" l="1" a="1"/>
  <c r="C197" i="8" s="1"/>
  <c r="C198" i="8" s="1" a="1"/>
  <c r="C198" i="8" s="1"/>
  <c r="C199" i="8" s="1"/>
  <c r="G211" i="8"/>
  <c r="G213" i="8"/>
  <c r="H211" i="8"/>
  <c r="F211" i="8"/>
  <c r="D212" i="8"/>
  <c r="E212" i="8"/>
  <c r="E215" i="8"/>
  <c r="D211" i="8"/>
  <c r="C214" i="8"/>
  <c r="C216" i="8"/>
  <c r="H213" i="8"/>
  <c r="D213" i="8"/>
  <c r="D214" i="8"/>
  <c r="E216" i="8"/>
  <c r="H212" i="8"/>
  <c r="D216" i="8"/>
  <c r="F212" i="8"/>
  <c r="D215" i="8"/>
  <c r="E214" i="8"/>
  <c r="H214" i="8"/>
  <c r="C212" i="8"/>
  <c r="E211" i="8"/>
  <c r="G212" i="8"/>
  <c r="H215" i="8"/>
  <c r="H216" i="8"/>
  <c r="F216" i="8"/>
  <c r="C215" i="8"/>
  <c r="F214" i="8"/>
  <c r="G214" i="8"/>
  <c r="F213" i="8"/>
  <c r="F215" i="8"/>
  <c r="C213" i="8"/>
  <c r="G216" i="8"/>
  <c r="G215" i="8"/>
  <c r="E213" i="8"/>
  <c r="AB22" i="7"/>
  <c r="AF22" i="7" s="1"/>
  <c r="AC22" i="7"/>
  <c r="AD22" i="7"/>
  <c r="AE22" i="7"/>
  <c r="CA22" i="7"/>
  <c r="CD22" i="7"/>
  <c r="Q22" i="7"/>
  <c r="R22" i="7"/>
  <c r="BV22" i="7"/>
  <c r="BX22" i="7"/>
  <c r="CB22" i="7"/>
  <c r="BZ22" i="7"/>
  <c r="BW22" i="7"/>
  <c r="BG22" i="7"/>
  <c r="BN22" i="7" s="1"/>
  <c r="BY22" i="7"/>
  <c r="CC22" i="7"/>
  <c r="H20" i="3"/>
  <c r="K20" i="3" s="1"/>
  <c r="G20" i="3"/>
  <c r="W21" i="5"/>
  <c r="E21" i="5"/>
  <c r="Y43" i="5"/>
  <c r="I43" i="5"/>
  <c r="Z43" i="5"/>
  <c r="V43" i="5"/>
  <c r="S43" i="5"/>
  <c r="AB16" i="4" a="1"/>
  <c r="AB16" i="4" s="1"/>
  <c r="X16" i="4" a="1"/>
  <c r="X16" i="4" s="1"/>
  <c r="L43" i="4"/>
  <c r="AQ43" i="4"/>
  <c r="AE20" i="3"/>
  <c r="AJ20" i="3"/>
  <c r="L42" i="3"/>
  <c r="AM42" i="3"/>
  <c r="M20" i="3"/>
  <c r="Y20" i="3"/>
  <c r="AG20" i="3"/>
  <c r="O20" i="3"/>
  <c r="AL20" i="3"/>
  <c r="AC20" i="3"/>
  <c r="Z20" i="3"/>
  <c r="AA20" i="3"/>
  <c r="AI20" i="3"/>
  <c r="J20" i="3"/>
  <c r="R20" i="3" s="1"/>
  <c r="V20" i="3" s="1"/>
  <c r="AN20" i="3"/>
  <c r="AH20" i="3"/>
  <c r="M16" i="2"/>
  <c r="P16" i="2" s="1"/>
  <c r="AB16" i="2" s="1" a="1"/>
  <c r="AB16" i="2" s="1"/>
  <c r="D16" i="2"/>
  <c r="N16" i="2"/>
  <c r="C223" i="8" l="1" a="1"/>
  <c r="C223" i="8" s="1"/>
  <c r="C217" i="8" a="1"/>
  <c r="C217" i="8" s="1"/>
  <c r="W22" i="7"/>
  <c r="X22" i="7"/>
  <c r="V22" i="7"/>
  <c r="Y22" i="7"/>
  <c r="U22" i="7"/>
  <c r="T22" i="7"/>
  <c r="S22" i="7"/>
  <c r="E22" i="7"/>
  <c r="BM22" i="7"/>
  <c r="BH22" i="7"/>
  <c r="BO22" i="7" s="1"/>
  <c r="CE22" i="7" s="1" a="1"/>
  <c r="N20" i="3"/>
  <c r="AK20" i="3"/>
  <c r="AB20" i="3"/>
  <c r="AO20" i="3" s="1" a="1"/>
  <c r="J21" i="5"/>
  <c r="AA21" i="5"/>
  <c r="K21" i="5"/>
  <c r="Y44" i="5"/>
  <c r="I44" i="5"/>
  <c r="S44" i="5"/>
  <c r="Z44" i="5"/>
  <c r="V44" i="5"/>
  <c r="AW16" i="4"/>
  <c r="AX16" i="4"/>
  <c r="BD16" i="4" s="1"/>
  <c r="L44" i="4"/>
  <c r="AQ44" i="4"/>
  <c r="AM43" i="3"/>
  <c r="L43" i="3"/>
  <c r="P20" i="3"/>
  <c r="T20" i="3" s="1"/>
  <c r="E20" i="3"/>
  <c r="S20" i="3"/>
  <c r="Q20" i="3"/>
  <c r="U20" i="3" s="1"/>
  <c r="Q16" i="2"/>
  <c r="R16" i="2" s="1" a="1"/>
  <c r="R16" i="2" s="1"/>
  <c r="C224" i="8" l="1" a="1"/>
  <c r="C224" i="8" s="1"/>
  <c r="C225" i="8" s="1" a="1"/>
  <c r="C225" i="8" s="1"/>
  <c r="C226" i="8" s="1" a="1"/>
  <c r="C226" i="8" s="1"/>
  <c r="C227" i="8" s="1" a="1"/>
  <c r="C227" i="8" s="1"/>
  <c r="C230" i="8" s="1" a="1"/>
  <c r="C230" i="8" s="1"/>
  <c r="C232" i="8" s="1" a="1"/>
  <c r="C232" i="8" s="1"/>
  <c r="BT22" i="7"/>
  <c r="BU22" i="7" s="1" a="1"/>
  <c r="BU22" i="7" s="1"/>
  <c r="CE22" i="7"/>
  <c r="I23" i="7" s="1"/>
  <c r="AG23" i="7" s="1"/>
  <c r="J23" i="7"/>
  <c r="G21" i="3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N21" i="5"/>
  <c r="D21" i="5"/>
  <c r="L21" i="5"/>
  <c r="O21" i="5" s="1"/>
  <c r="AB21" i="5" s="1" a="1"/>
  <c r="Y45" i="5"/>
  <c r="I45" i="5"/>
  <c r="Z45" i="5"/>
  <c r="V45" i="5"/>
  <c r="S45" i="5"/>
  <c r="BF16" i="4"/>
  <c r="AZ16" i="4"/>
  <c r="BC16" i="4"/>
  <c r="BB16" i="4"/>
  <c r="BA16" i="4"/>
  <c r="BE16" i="4"/>
  <c r="L45" i="4"/>
  <c r="AQ45" i="4"/>
  <c r="AO20" i="3"/>
  <c r="L44" i="3"/>
  <c r="AM44" i="3"/>
  <c r="W20" i="3"/>
  <c r="X20" i="3" s="1" a="1"/>
  <c r="X20" i="3" s="1"/>
  <c r="E17" i="2"/>
  <c r="F17" i="2"/>
  <c r="D232" i="8" l="1" a="1"/>
  <c r="D232" i="8" s="1"/>
  <c r="C239" i="8" s="1" a="1"/>
  <c r="C239" i="8" s="1"/>
  <c r="C231" i="8" a="1"/>
  <c r="C231" i="8" s="1"/>
  <c r="C228" i="8" a="1"/>
  <c r="C228" i="8" s="1"/>
  <c r="C229" i="8" s="1" a="1"/>
  <c r="C229" i="8" s="1"/>
  <c r="AB23" i="7"/>
  <c r="AF23" i="7" s="1"/>
  <c r="AC23" i="7"/>
  <c r="AD23" i="7"/>
  <c r="AE23" i="7"/>
  <c r="BG23" i="7"/>
  <c r="BN23" i="7" s="1"/>
  <c r="BZ23" i="7"/>
  <c r="BW23" i="7"/>
  <c r="BY23" i="7"/>
  <c r="CC23" i="7"/>
  <c r="CD23" i="7"/>
  <c r="CA23" i="7"/>
  <c r="BX23" i="7"/>
  <c r="Q23" i="7"/>
  <c r="CB23" i="7"/>
  <c r="BV23" i="7"/>
  <c r="R23" i="7"/>
  <c r="F21" i="3"/>
  <c r="AA21" i="3" s="1"/>
  <c r="AC21" i="3"/>
  <c r="K21" i="3"/>
  <c r="AE21" i="3"/>
  <c r="O21" i="3"/>
  <c r="AJ21" i="3"/>
  <c r="AG21" i="3"/>
  <c r="AH21" i="3"/>
  <c r="AB21" i="5"/>
  <c r="F22" i="5"/>
  <c r="Q21" i="5"/>
  <c r="R21" i="5" s="1" a="1"/>
  <c r="R21" i="5" s="1"/>
  <c r="Y46" i="5"/>
  <c r="I46" i="5"/>
  <c r="S46" i="5"/>
  <c r="Z46" i="5"/>
  <c r="V46" i="5"/>
  <c r="BG16" i="4"/>
  <c r="F17" i="4" s="1"/>
  <c r="BI16" i="4"/>
  <c r="H17" i="4" s="1"/>
  <c r="BH16" i="4"/>
  <c r="G17" i="4" s="1"/>
  <c r="BK17" i="4"/>
  <c r="AY17" i="4"/>
  <c r="L46" i="4"/>
  <c r="AQ46" i="4"/>
  <c r="L45" i="3"/>
  <c r="AM45" i="3"/>
  <c r="AB21" i="3"/>
  <c r="M21" i="3"/>
  <c r="AK21" i="3"/>
  <c r="N21" i="3"/>
  <c r="Y21" i="3"/>
  <c r="T17" i="2"/>
  <c r="Z17" i="2"/>
  <c r="V17" i="2"/>
  <c r="X17" i="2"/>
  <c r="W17" i="2"/>
  <c r="U17" i="2"/>
  <c r="S17" i="2"/>
  <c r="Y17" i="2"/>
  <c r="J17" i="2"/>
  <c r="I17" i="2"/>
  <c r="AA17" i="2"/>
  <c r="K17" i="2"/>
  <c r="L17" i="2" s="1"/>
  <c r="O17" i="2" s="1"/>
  <c r="C233" i="8" l="1" a="1"/>
  <c r="C233" i="8" s="1"/>
  <c r="C237" i="8" a="1"/>
  <c r="C237" i="8" s="1"/>
  <c r="C234" i="8" a="1"/>
  <c r="C234" i="8" s="1"/>
  <c r="C235" i="8" s="1" a="1"/>
  <c r="C235" i="8" s="1"/>
  <c r="C236" i="8" s="1" a="1"/>
  <c r="C236" i="8" s="1"/>
  <c r="C240" i="8" s="1" a="1"/>
  <c r="C240" i="8" s="1"/>
  <c r="Y23" i="7"/>
  <c r="V23" i="7"/>
  <c r="S23" i="7"/>
  <c r="X23" i="7"/>
  <c r="T23" i="7"/>
  <c r="U23" i="7"/>
  <c r="W23" i="7"/>
  <c r="BH23" i="7"/>
  <c r="BO23" i="7" s="1"/>
  <c r="CE23" i="7" s="1" a="1"/>
  <c r="E23" i="7"/>
  <c r="BM23" i="7"/>
  <c r="AI21" i="3"/>
  <c r="Z21" i="3"/>
  <c r="AL21" i="3"/>
  <c r="J21" i="3"/>
  <c r="R21" i="3" s="1"/>
  <c r="V21" i="3" s="1"/>
  <c r="S21" i="3"/>
  <c r="AN21" i="3"/>
  <c r="H22" i="5"/>
  <c r="M22" i="5" s="1"/>
  <c r="P22" i="5" s="1"/>
  <c r="X22" i="5"/>
  <c r="E22" i="5"/>
  <c r="Y47" i="5"/>
  <c r="I47" i="5"/>
  <c r="Z47" i="5"/>
  <c r="V47" i="5"/>
  <c r="S47" i="5"/>
  <c r="AC17" i="4"/>
  <c r="M17" i="4"/>
  <c r="AM17" i="4"/>
  <c r="N17" i="4"/>
  <c r="AR17" i="4"/>
  <c r="AF17" i="4"/>
  <c r="AO17" i="4"/>
  <c r="AE17" i="4"/>
  <c r="AL17" i="4"/>
  <c r="AK17" i="4"/>
  <c r="O17" i="4"/>
  <c r="AG17" i="4"/>
  <c r="AD17" i="4"/>
  <c r="AP17" i="4"/>
  <c r="J17" i="4"/>
  <c r="K17" i="4"/>
  <c r="AN17" i="4"/>
  <c r="AI17" i="4"/>
  <c r="L47" i="4"/>
  <c r="AQ47" i="4"/>
  <c r="E21" i="3"/>
  <c r="Q21" i="3"/>
  <c r="U21" i="3" s="1"/>
  <c r="AO21" i="3" a="1"/>
  <c r="L46" i="3"/>
  <c r="AM46" i="3"/>
  <c r="M17" i="2"/>
  <c r="P17" i="2" s="1"/>
  <c r="AB17" i="2" s="1" a="1"/>
  <c r="AB17" i="2" s="1"/>
  <c r="D17" i="2"/>
  <c r="N17" i="2"/>
  <c r="C243" i="8" l="1" a="1"/>
  <c r="C243" i="8" s="1"/>
  <c r="C238" i="8" a="1"/>
  <c r="C238" i="8" s="1"/>
  <c r="C251" i="8" s="1" a="1"/>
  <c r="C241" i="8" a="1"/>
  <c r="C241" i="8" s="1"/>
  <c r="C242" i="8" s="1" a="1"/>
  <c r="C242" i="8" s="1"/>
  <c r="BT23" i="7"/>
  <c r="BU23" i="7" s="1" a="1"/>
  <c r="BU23" i="7" s="1"/>
  <c r="CE23" i="7"/>
  <c r="I24" i="7" s="1"/>
  <c r="AG24" i="7" s="1"/>
  <c r="J24" i="7"/>
  <c r="P21" i="3"/>
  <c r="T21" i="3" s="1"/>
  <c r="W21" i="3"/>
  <c r="X21" i="3" s="1" a="1"/>
  <c r="X21" i="3" s="1"/>
  <c r="K22" i="5"/>
  <c r="W22" i="5"/>
  <c r="AA22" i="5"/>
  <c r="J22" i="5"/>
  <c r="Y48" i="5"/>
  <c r="I48" i="5"/>
  <c r="S48" i="5"/>
  <c r="Z48" i="5"/>
  <c r="V48" i="5"/>
  <c r="R17" i="4"/>
  <c r="V17" i="4" s="1"/>
  <c r="Q17" i="4"/>
  <c r="U17" i="4" s="1"/>
  <c r="P17" i="4"/>
  <c r="T17" i="4" s="1"/>
  <c r="E17" i="4"/>
  <c r="S17" i="4"/>
  <c r="L48" i="4"/>
  <c r="AQ48" i="4"/>
  <c r="AO21" i="3"/>
  <c r="AM47" i="3"/>
  <c r="L47" i="3"/>
  <c r="Q17" i="2"/>
  <c r="R17" i="2" s="1" a="1"/>
  <c r="R17" i="2" s="1"/>
  <c r="E272" i="8" l="1"/>
  <c r="F271" i="8"/>
  <c r="G269" i="8"/>
  <c r="G267" i="8"/>
  <c r="C251" i="8"/>
  <c r="H268" i="8"/>
  <c r="D268" i="8"/>
  <c r="C271" i="8"/>
  <c r="F268" i="8"/>
  <c r="D270" i="8"/>
  <c r="H267" i="8"/>
  <c r="G270" i="8"/>
  <c r="H272" i="8"/>
  <c r="E270" i="8"/>
  <c r="F270" i="8"/>
  <c r="F267" i="8"/>
  <c r="D271" i="8"/>
  <c r="G272" i="8"/>
  <c r="H270" i="8"/>
  <c r="E267" i="8"/>
  <c r="C270" i="8"/>
  <c r="F272" i="8"/>
  <c r="E269" i="8"/>
  <c r="D267" i="8"/>
  <c r="C268" i="8"/>
  <c r="D269" i="8"/>
  <c r="E268" i="8"/>
  <c r="H271" i="8"/>
  <c r="D272" i="8"/>
  <c r="F269" i="8"/>
  <c r="C269" i="8"/>
  <c r="E271" i="8"/>
  <c r="H269" i="8"/>
  <c r="G268" i="8"/>
  <c r="G271" i="8"/>
  <c r="C272" i="8"/>
  <c r="C245" i="8" a="1"/>
  <c r="C245" i="8" s="1"/>
  <c r="C244" i="8" a="1"/>
  <c r="C244" i="8" s="1"/>
  <c r="AB24" i="7"/>
  <c r="AF24" i="7" s="1"/>
  <c r="AC24" i="7"/>
  <c r="AD24" i="7"/>
  <c r="AE24" i="7"/>
  <c r="CD24" i="7"/>
  <c r="CA24" i="7"/>
  <c r="CB24" i="7"/>
  <c r="BV24" i="7"/>
  <c r="R24" i="7"/>
  <c r="BX24" i="7"/>
  <c r="Q24" i="7"/>
  <c r="BW24" i="7"/>
  <c r="BZ24" i="7"/>
  <c r="BG24" i="7"/>
  <c r="BN24" i="7" s="1"/>
  <c r="BY24" i="7"/>
  <c r="CC24" i="7"/>
  <c r="F22" i="3"/>
  <c r="M22" i="3"/>
  <c r="J22" i="3"/>
  <c r="K22" i="3"/>
  <c r="AJ22" i="3"/>
  <c r="N22" i="5"/>
  <c r="Q22" i="5" s="1"/>
  <c r="R22" i="5" s="1" a="1"/>
  <c r="R22" i="5" s="1"/>
  <c r="D22" i="5"/>
  <c r="L22" i="5"/>
  <c r="O22" i="5" s="1"/>
  <c r="AB22" i="5" s="1" a="1"/>
  <c r="Y49" i="5"/>
  <c r="I49" i="5"/>
  <c r="Z49" i="5"/>
  <c r="V49" i="5"/>
  <c r="S49" i="5"/>
  <c r="AS17" i="4" a="1"/>
  <c r="AS17" i="4" s="1"/>
  <c r="W17" i="4"/>
  <c r="X17" i="4" s="1" a="1"/>
  <c r="X17" i="4" s="1"/>
  <c r="L49" i="4"/>
  <c r="AQ49" i="4"/>
  <c r="N22" i="3"/>
  <c r="AE22" i="3"/>
  <c r="Y22" i="3"/>
  <c r="AM48" i="3"/>
  <c r="L48" i="3"/>
  <c r="AB22" i="3"/>
  <c r="AK22" i="3"/>
  <c r="E18" i="2"/>
  <c r="F18" i="2"/>
  <c r="C279" i="8" l="1" a="1"/>
  <c r="C279" i="8" s="1"/>
  <c r="C246" i="8" a="1"/>
  <c r="C246" i="8" s="1"/>
  <c r="C247" i="8" s="1"/>
  <c r="C267" i="8"/>
  <c r="C273" i="8" s="1" a="1"/>
  <c r="C273" i="8" s="1"/>
  <c r="C258" i="8" a="1"/>
  <c r="C258" i="8" s="1"/>
  <c r="C265" i="8" s="1" a="1"/>
  <c r="C265" i="8" s="1"/>
  <c r="Y24" i="7"/>
  <c r="V24" i="7"/>
  <c r="T24" i="7"/>
  <c r="U24" i="7"/>
  <c r="S24" i="7"/>
  <c r="W24" i="7"/>
  <c r="X24" i="7"/>
  <c r="BM24" i="7"/>
  <c r="E24" i="7"/>
  <c r="BH24" i="7"/>
  <c r="BO24" i="7" s="1"/>
  <c r="CE24" i="7" s="1" a="1"/>
  <c r="AL22" i="3"/>
  <c r="AH22" i="3"/>
  <c r="AI22" i="3"/>
  <c r="O22" i="3"/>
  <c r="S22" i="3" s="1"/>
  <c r="AA22" i="3"/>
  <c r="AG22" i="3"/>
  <c r="P22" i="3"/>
  <c r="T22" i="3" s="1"/>
  <c r="Z22" i="3"/>
  <c r="AO22" i="3" s="1" a="1"/>
  <c r="AN22" i="3"/>
  <c r="AC22" i="3"/>
  <c r="R22" i="3"/>
  <c r="V22" i="3" s="1"/>
  <c r="AB22" i="5"/>
  <c r="F23" i="5"/>
  <c r="Z50" i="5"/>
  <c r="Y50" i="5"/>
  <c r="I50" i="5"/>
  <c r="S50" i="5"/>
  <c r="V50" i="5"/>
  <c r="AB17" i="4" a="1"/>
  <c r="AB17" i="4" s="1"/>
  <c r="AW17" i="4" s="1"/>
  <c r="L50" i="4"/>
  <c r="AQ50" i="4"/>
  <c r="L49" i="3"/>
  <c r="AM49" i="3"/>
  <c r="V18" i="2"/>
  <c r="T18" i="2"/>
  <c r="Z18" i="2"/>
  <c r="Y18" i="2"/>
  <c r="K18" i="2"/>
  <c r="L18" i="2" s="1"/>
  <c r="O18" i="2" s="1"/>
  <c r="I18" i="2"/>
  <c r="S18" i="2"/>
  <c r="AA18" i="2"/>
  <c r="W18" i="2"/>
  <c r="U18" i="2"/>
  <c r="X18" i="2"/>
  <c r="J18" i="2"/>
  <c r="C280" i="8" l="1" a="1"/>
  <c r="C280" i="8" s="1"/>
  <c r="C281" i="8" s="1" a="1"/>
  <c r="C281" i="8" s="1"/>
  <c r="C282" i="8" s="1" a="1"/>
  <c r="C282" i="8" s="1"/>
  <c r="C283" i="8" s="1" a="1"/>
  <c r="C283" i="8" s="1"/>
  <c r="C284" i="8" s="1" a="1"/>
  <c r="C284" i="8" s="1"/>
  <c r="C285" i="8" s="1" a="1"/>
  <c r="C285" i="8" s="1"/>
  <c r="CE24" i="7"/>
  <c r="I25" i="7" s="1"/>
  <c r="AG25" i="7" s="1"/>
  <c r="J25" i="7"/>
  <c r="BT24" i="7"/>
  <c r="BU24" i="7" s="1" a="1"/>
  <c r="BU24" i="7" s="1"/>
  <c r="Q22" i="3"/>
  <c r="U22" i="3" s="1"/>
  <c r="E22" i="3"/>
  <c r="W22" i="3" s="1"/>
  <c r="X22" i="3" s="1" a="1"/>
  <c r="X22" i="3" s="1"/>
  <c r="H23" i="5"/>
  <c r="M23" i="5" s="1"/>
  <c r="P23" i="5" s="1"/>
  <c r="X23" i="5"/>
  <c r="E23" i="5"/>
  <c r="J23" i="5" s="1"/>
  <c r="S51" i="5"/>
  <c r="Y51" i="5"/>
  <c r="I51" i="5"/>
  <c r="Z51" i="5"/>
  <c r="V51" i="5"/>
  <c r="BE17" i="4"/>
  <c r="BC17" i="4"/>
  <c r="AX17" i="4"/>
  <c r="BD17" i="4" s="1"/>
  <c r="L51" i="4"/>
  <c r="AQ51" i="4"/>
  <c r="L50" i="3"/>
  <c r="AM50" i="3"/>
  <c r="AO22" i="3"/>
  <c r="F23" i="3" s="1"/>
  <c r="M23" i="3"/>
  <c r="N23" i="3"/>
  <c r="AB18" i="2" a="1"/>
  <c r="AB18" i="2" s="1"/>
  <c r="M18" i="2"/>
  <c r="P18" i="2" s="1"/>
  <c r="N18" i="2"/>
  <c r="D18" i="2"/>
  <c r="C286" i="8" l="1" a="1"/>
  <c r="C286" i="8" s="1"/>
  <c r="C287" i="8" s="1" a="1"/>
  <c r="C287" i="8" s="1"/>
  <c r="AC25" i="7"/>
  <c r="AD25" i="7"/>
  <c r="AE25" i="7"/>
  <c r="AB25" i="7"/>
  <c r="AF25" i="7" s="1"/>
  <c r="CD25" i="7"/>
  <c r="CA25" i="7"/>
  <c r="CB25" i="7"/>
  <c r="BX25" i="7"/>
  <c r="BV25" i="7"/>
  <c r="R25" i="7"/>
  <c r="Q25" i="7"/>
  <c r="BW25" i="7"/>
  <c r="BG25" i="7"/>
  <c r="BN25" i="7" s="1"/>
  <c r="BZ25" i="7"/>
  <c r="CC25" i="7"/>
  <c r="BY25" i="7"/>
  <c r="N23" i="5"/>
  <c r="W23" i="5"/>
  <c r="K23" i="5"/>
  <c r="L23" i="5" s="1"/>
  <c r="O23" i="5" s="1"/>
  <c r="AB23" i="5" s="1" a="1"/>
  <c r="AA23" i="5"/>
  <c r="Y52" i="5"/>
  <c r="I52" i="5"/>
  <c r="V52" i="5"/>
  <c r="Z52" i="5"/>
  <c r="S52" i="5"/>
  <c r="AZ17" i="4"/>
  <c r="BF17" i="4"/>
  <c r="BI17" i="4" s="1"/>
  <c r="BB17" i="4"/>
  <c r="BA17" i="4"/>
  <c r="BK18" i="4" s="1"/>
  <c r="L52" i="4"/>
  <c r="AQ52" i="4"/>
  <c r="O23" i="3"/>
  <c r="Q23" i="3" s="1"/>
  <c r="U23" i="3" s="1"/>
  <c r="AM51" i="3"/>
  <c r="L51" i="3"/>
  <c r="AE23" i="3"/>
  <c r="AJ23" i="3"/>
  <c r="K23" i="3"/>
  <c r="AK23" i="3"/>
  <c r="AB23" i="3"/>
  <c r="Y23" i="3"/>
  <c r="Q18" i="2"/>
  <c r="R18" i="2" s="1" a="1"/>
  <c r="R18" i="2" s="1"/>
  <c r="C288" i="8" l="1" a="1"/>
  <c r="C288" i="8" s="1"/>
  <c r="D288" i="8" a="1"/>
  <c r="D288" i="8" s="1"/>
  <c r="U25" i="7"/>
  <c r="V25" i="7"/>
  <c r="W25" i="7"/>
  <c r="X25" i="7"/>
  <c r="S25" i="7"/>
  <c r="T25" i="7"/>
  <c r="Y25" i="7"/>
  <c r="BH25" i="7"/>
  <c r="BO25" i="7" s="1"/>
  <c r="CE25" i="7" s="1" a="1"/>
  <c r="BM25" i="7"/>
  <c r="E25" i="7"/>
  <c r="AN23" i="3"/>
  <c r="AH23" i="3"/>
  <c r="J23" i="3"/>
  <c r="AI23" i="3"/>
  <c r="AC23" i="3"/>
  <c r="Z23" i="3"/>
  <c r="AA23" i="3"/>
  <c r="AB23" i="5"/>
  <c r="F24" i="5"/>
  <c r="D23" i="5"/>
  <c r="Q23" i="5" s="1"/>
  <c r="R23" i="5" s="1" a="1"/>
  <c r="R23" i="5" s="1"/>
  <c r="Z53" i="5"/>
  <c r="Y53" i="5"/>
  <c r="I53" i="5"/>
  <c r="V53" i="5"/>
  <c r="S53" i="5"/>
  <c r="AY18" i="4"/>
  <c r="BH17" i="4"/>
  <c r="G18" i="4" s="1"/>
  <c r="BG17" i="4"/>
  <c r="F18" i="4" s="1"/>
  <c r="AG18" i="4" s="1"/>
  <c r="H18" i="4"/>
  <c r="AI18" i="4" s="1"/>
  <c r="L53" i="4"/>
  <c r="AQ53" i="4"/>
  <c r="S23" i="3"/>
  <c r="AL23" i="3"/>
  <c r="AG23" i="3"/>
  <c r="AM52" i="3"/>
  <c r="L52" i="3"/>
  <c r="P23" i="3"/>
  <c r="T23" i="3" s="1"/>
  <c r="R23" i="3"/>
  <c r="V23" i="3" s="1"/>
  <c r="AO23" i="3" a="1"/>
  <c r="E23" i="3"/>
  <c r="W23" i="3" s="1"/>
  <c r="E19" i="2"/>
  <c r="F19" i="2"/>
  <c r="C290" i="8" l="1" a="1"/>
  <c r="C290" i="8" s="1"/>
  <c r="C291" i="8" s="1" a="1"/>
  <c r="C291" i="8" s="1"/>
  <c r="C292" i="8" s="1" a="1"/>
  <c r="C292" i="8" s="1"/>
  <c r="C289" i="8" a="1"/>
  <c r="C289" i="8" s="1"/>
  <c r="C295" i="8" a="1"/>
  <c r="C295" i="8" s="1"/>
  <c r="C293" i="8" a="1"/>
  <c r="C293" i="8" s="1"/>
  <c r="BT25" i="7"/>
  <c r="BU25" i="7" s="1" a="1"/>
  <c r="BU25" i="7" s="1"/>
  <c r="CE25" i="7"/>
  <c r="I26" i="7" s="1"/>
  <c r="AG26" i="7" s="1"/>
  <c r="J26" i="7"/>
  <c r="H24" i="5"/>
  <c r="M24" i="5" s="1"/>
  <c r="P24" i="5" s="1"/>
  <c r="X24" i="5"/>
  <c r="E24" i="5"/>
  <c r="S54" i="5"/>
  <c r="Z54" i="5"/>
  <c r="Y54" i="5"/>
  <c r="I54" i="5"/>
  <c r="V54" i="5"/>
  <c r="N18" i="4"/>
  <c r="M18" i="4"/>
  <c r="AE18" i="4"/>
  <c r="AD18" i="4"/>
  <c r="AC18" i="4"/>
  <c r="AO18" i="4"/>
  <c r="AM18" i="4"/>
  <c r="AF18" i="4"/>
  <c r="AN18" i="4"/>
  <c r="AP18" i="4"/>
  <c r="K18" i="4"/>
  <c r="AK18" i="4"/>
  <c r="J18" i="4"/>
  <c r="AL18" i="4"/>
  <c r="O18" i="4"/>
  <c r="AR18" i="4"/>
  <c r="L54" i="4"/>
  <c r="AQ54" i="4"/>
  <c r="L53" i="3"/>
  <c r="AM53" i="3"/>
  <c r="X23" i="3" a="1"/>
  <c r="X23" i="3" s="1"/>
  <c r="AO23" i="3"/>
  <c r="F24" i="3" s="1"/>
  <c r="Y24" i="3"/>
  <c r="N24" i="3"/>
  <c r="V19" i="2"/>
  <c r="Z19" i="2"/>
  <c r="T19" i="2"/>
  <c r="W19" i="2"/>
  <c r="X19" i="2"/>
  <c r="J19" i="2"/>
  <c r="K19" i="2"/>
  <c r="L19" i="2" s="1"/>
  <c r="O19" i="2" s="1"/>
  <c r="I19" i="2"/>
  <c r="M19" i="2" s="1"/>
  <c r="Y19" i="2"/>
  <c r="U19" i="2"/>
  <c r="S19" i="2"/>
  <c r="AA19" i="2"/>
  <c r="C299" i="8" l="1" a="1"/>
  <c r="C299" i="8" s="1"/>
  <c r="C300" i="8" s="1" a="1"/>
  <c r="C300" i="8" s="1"/>
  <c r="C296" i="8" a="1"/>
  <c r="C296" i="8" s="1"/>
  <c r="C297" i="8" a="1"/>
  <c r="C297" i="8" s="1"/>
  <c r="C298" i="8" s="1" a="1"/>
  <c r="C298" i="8" s="1"/>
  <c r="C294" i="8" a="1"/>
  <c r="C294" i="8" s="1"/>
  <c r="C307" i="8" s="1" a="1"/>
  <c r="D328" i="8" s="1"/>
  <c r="AE26" i="7"/>
  <c r="AD26" i="7"/>
  <c r="AB26" i="7"/>
  <c r="AF26" i="7" s="1"/>
  <c r="AC26" i="7"/>
  <c r="CD26" i="7"/>
  <c r="CA26" i="7"/>
  <c r="R26" i="7"/>
  <c r="CB26" i="7"/>
  <c r="BV26" i="7"/>
  <c r="BX26" i="7"/>
  <c r="Q26" i="7"/>
  <c r="BZ26" i="7"/>
  <c r="BG26" i="7"/>
  <c r="BN26" i="7" s="1"/>
  <c r="BW26" i="7"/>
  <c r="CC26" i="7"/>
  <c r="BY26" i="7"/>
  <c r="J24" i="5"/>
  <c r="AA24" i="5"/>
  <c r="W24" i="5"/>
  <c r="K24" i="5"/>
  <c r="V55" i="5"/>
  <c r="S55" i="5"/>
  <c r="Z55" i="5"/>
  <c r="Y55" i="5"/>
  <c r="I55" i="5"/>
  <c r="E18" i="4"/>
  <c r="R18" i="4"/>
  <c r="V18" i="4" s="1"/>
  <c r="S18" i="4"/>
  <c r="P18" i="4"/>
  <c r="T18" i="4" s="1"/>
  <c r="AS18" i="4" s="1" a="1"/>
  <c r="Q18" i="4"/>
  <c r="U18" i="4" s="1"/>
  <c r="L55" i="4"/>
  <c r="AQ55" i="4"/>
  <c r="AG24" i="3"/>
  <c r="AM54" i="3"/>
  <c r="L54" i="3"/>
  <c r="AB24" i="3"/>
  <c r="AK24" i="3"/>
  <c r="AJ24" i="3"/>
  <c r="AE24" i="3"/>
  <c r="K24" i="3"/>
  <c r="M24" i="3"/>
  <c r="N19" i="2"/>
  <c r="D19" i="2"/>
  <c r="P19" i="2"/>
  <c r="AB19" i="2" s="1" a="1"/>
  <c r="AB19" i="2" s="1"/>
  <c r="C301" i="8" l="1" a="1"/>
  <c r="C301" i="8" s="1"/>
  <c r="C302" i="8" s="1" a="1"/>
  <c r="C302" i="8" s="1"/>
  <c r="C303" i="8" s="1"/>
  <c r="F326" i="8"/>
  <c r="C307" i="8"/>
  <c r="C314" i="8" s="1" a="1"/>
  <c r="C314" i="8" s="1"/>
  <c r="C321" i="8" s="1" a="1"/>
  <c r="C321" i="8" s="1"/>
  <c r="F327" i="8"/>
  <c r="G323" i="8"/>
  <c r="D324" i="8"/>
  <c r="D323" i="8"/>
  <c r="G325" i="8"/>
  <c r="F328" i="8"/>
  <c r="C327" i="8"/>
  <c r="H323" i="8"/>
  <c r="H324" i="8"/>
  <c r="E327" i="8"/>
  <c r="G326" i="8"/>
  <c r="C326" i="8"/>
  <c r="E324" i="8"/>
  <c r="E325" i="8"/>
  <c r="D327" i="8"/>
  <c r="E328" i="8"/>
  <c r="G328" i="8"/>
  <c r="F324" i="8"/>
  <c r="D326" i="8"/>
  <c r="C328" i="8"/>
  <c r="F325" i="8"/>
  <c r="F323" i="8"/>
  <c r="C324" i="8"/>
  <c r="E323" i="8"/>
  <c r="D325" i="8"/>
  <c r="C325" i="8"/>
  <c r="H327" i="8"/>
  <c r="H326" i="8"/>
  <c r="G327" i="8"/>
  <c r="H325" i="8"/>
  <c r="E326" i="8"/>
  <c r="H328" i="8"/>
  <c r="G324" i="8"/>
  <c r="S26" i="7"/>
  <c r="U26" i="7"/>
  <c r="V26" i="7"/>
  <c r="T26" i="7"/>
  <c r="X26" i="7"/>
  <c r="Y26" i="7"/>
  <c r="W26" i="7"/>
  <c r="BH26" i="7"/>
  <c r="BO26" i="7" s="1"/>
  <c r="CE26" i="7" s="1" a="1"/>
  <c r="BM26" i="7"/>
  <c r="E26" i="7"/>
  <c r="L24" i="5"/>
  <c r="O24" i="5" s="1"/>
  <c r="AB24" i="5" s="1" a="1"/>
  <c r="N24" i="5"/>
  <c r="Q24" i="5" s="1"/>
  <c r="R24" i="5" s="1" a="1"/>
  <c r="R24" i="5" s="1"/>
  <c r="D24" i="5"/>
  <c r="Y56" i="5"/>
  <c r="I56" i="5"/>
  <c r="V56" i="5"/>
  <c r="S56" i="5"/>
  <c r="Z56" i="5"/>
  <c r="W18" i="4"/>
  <c r="X18" i="4" s="1" a="1"/>
  <c r="X18" i="4" s="1"/>
  <c r="AS18" i="4"/>
  <c r="L56" i="4"/>
  <c r="AQ56" i="4"/>
  <c r="AC24" i="3"/>
  <c r="Z24" i="3"/>
  <c r="AO24" i="3" s="1" a="1"/>
  <c r="AO24" i="3" s="1"/>
  <c r="F25" i="3" s="1"/>
  <c r="AA24" i="3"/>
  <c r="AL24" i="3"/>
  <c r="J24" i="3"/>
  <c r="R24" i="3" s="1"/>
  <c r="V24" i="3" s="1"/>
  <c r="AH24" i="3"/>
  <c r="O24" i="3"/>
  <c r="E24" i="3" s="1"/>
  <c r="AN24" i="3"/>
  <c r="AI24" i="3"/>
  <c r="AM55" i="3"/>
  <c r="L55" i="3"/>
  <c r="N25" i="3"/>
  <c r="Q19" i="2"/>
  <c r="R19" i="2" s="1" a="1"/>
  <c r="R19" i="2" s="1"/>
  <c r="C323" i="8" l="1"/>
  <c r="C329" i="8" s="1" a="1"/>
  <c r="C329" i="8" s="1"/>
  <c r="C335" i="8" a="1"/>
  <c r="C335" i="8" s="1"/>
  <c r="BT26" i="7"/>
  <c r="BU26" i="7" s="1" a="1"/>
  <c r="BU26" i="7" s="1"/>
  <c r="CE26" i="7"/>
  <c r="I27" i="7" s="1"/>
  <c r="AG27" i="7" s="1"/>
  <c r="J27" i="7"/>
  <c r="AB24" i="5"/>
  <c r="F25" i="5"/>
  <c r="Z57" i="5"/>
  <c r="Y57" i="5"/>
  <c r="I57" i="5"/>
  <c r="V57" i="5"/>
  <c r="S57" i="5"/>
  <c r="AB18" i="4" a="1"/>
  <c r="AB18" i="4" s="1"/>
  <c r="AW18" i="4" s="1"/>
  <c r="AZ18" i="4" s="1"/>
  <c r="L57" i="4"/>
  <c r="AQ57" i="4"/>
  <c r="P24" i="3"/>
  <c r="T24" i="3" s="1"/>
  <c r="Q24" i="3"/>
  <c r="U24" i="3" s="1"/>
  <c r="S24" i="3"/>
  <c r="L56" i="3"/>
  <c r="AM56" i="3"/>
  <c r="W24" i="3"/>
  <c r="X24" i="3" s="1" a="1"/>
  <c r="X24" i="3" s="1"/>
  <c r="AJ25" i="3"/>
  <c r="AE25" i="3"/>
  <c r="K25" i="3"/>
  <c r="M25" i="3"/>
  <c r="Z25" i="3"/>
  <c r="AH25" i="3"/>
  <c r="AG25" i="3"/>
  <c r="AA25" i="3"/>
  <c r="AL25" i="3"/>
  <c r="AC25" i="3"/>
  <c r="AI25" i="3"/>
  <c r="Y25" i="3"/>
  <c r="AN25" i="3"/>
  <c r="AK25" i="3"/>
  <c r="AB25" i="3"/>
  <c r="J25" i="3"/>
  <c r="O25" i="3"/>
  <c r="E20" i="2"/>
  <c r="F20" i="2"/>
  <c r="C336" i="8" l="1" a="1"/>
  <c r="C336" i="8" s="1"/>
  <c r="C337" i="8" s="1" a="1"/>
  <c r="C337" i="8" s="1"/>
  <c r="C338" i="8" s="1" a="1"/>
  <c r="C338" i="8" s="1"/>
  <c r="C339" i="8" s="1" a="1"/>
  <c r="C339" i="8" s="1"/>
  <c r="C340" i="8" s="1" a="1"/>
  <c r="C340" i="8" s="1"/>
  <c r="C341" i="8" s="1" a="1"/>
  <c r="C341" i="8" s="1"/>
  <c r="AB27" i="7"/>
  <c r="AF27" i="7" s="1"/>
  <c r="AC27" i="7"/>
  <c r="AD27" i="7"/>
  <c r="AE27" i="7"/>
  <c r="BG27" i="7"/>
  <c r="BN27" i="7" s="1"/>
  <c r="BZ27" i="7"/>
  <c r="BW27" i="7"/>
  <c r="CC27" i="7"/>
  <c r="BY27" i="7"/>
  <c r="CD27" i="7"/>
  <c r="CA27" i="7"/>
  <c r="Q27" i="7"/>
  <c r="BX27" i="7"/>
  <c r="BV27" i="7"/>
  <c r="R27" i="7"/>
  <c r="CB27" i="7"/>
  <c r="H25" i="5"/>
  <c r="X25" i="5"/>
  <c r="M25" i="5"/>
  <c r="P25" i="5" s="1"/>
  <c r="E25" i="5"/>
  <c r="S58" i="5"/>
  <c r="Z58" i="5"/>
  <c r="Y58" i="5"/>
  <c r="I58" i="5"/>
  <c r="V58" i="5"/>
  <c r="AX18" i="4"/>
  <c r="BD18" i="4" s="1"/>
  <c r="BC18" i="4"/>
  <c r="BE18" i="4"/>
  <c r="BI18" i="4" s="1"/>
  <c r="BB18" i="4"/>
  <c r="BA18" i="4"/>
  <c r="BF18" i="4"/>
  <c r="L58" i="4"/>
  <c r="AQ58" i="4"/>
  <c r="L57" i="3"/>
  <c r="AM57" i="3"/>
  <c r="R25" i="3"/>
  <c r="V25" i="3" s="1"/>
  <c r="AO25" i="3" a="1"/>
  <c r="P25" i="3"/>
  <c r="T25" i="3" s="1"/>
  <c r="E25" i="3"/>
  <c r="S25" i="3"/>
  <c r="Q25" i="3"/>
  <c r="U25" i="3" s="1"/>
  <c r="Z20" i="2"/>
  <c r="T20" i="2"/>
  <c r="V20" i="2"/>
  <c r="AA20" i="2"/>
  <c r="U20" i="2"/>
  <c r="J20" i="2"/>
  <c r="K20" i="2"/>
  <c r="L20" i="2" s="1"/>
  <c r="O20" i="2" s="1"/>
  <c r="X20" i="2"/>
  <c r="W20" i="2"/>
  <c r="I20" i="2"/>
  <c r="S20" i="2"/>
  <c r="Y20" i="2"/>
  <c r="C342" i="8" l="1" a="1"/>
  <c r="C342" i="8" s="1"/>
  <c r="C344" i="8" s="1" a="1"/>
  <c r="C344" i="8" s="1"/>
  <c r="U27" i="7"/>
  <c r="W27" i="7"/>
  <c r="V27" i="7"/>
  <c r="S27" i="7"/>
  <c r="T27" i="7"/>
  <c r="X27" i="7"/>
  <c r="Y27" i="7"/>
  <c r="BH27" i="7"/>
  <c r="BO27" i="7" s="1"/>
  <c r="CE27" i="7" s="1" a="1"/>
  <c r="BM27" i="7"/>
  <c r="E27" i="7"/>
  <c r="J25" i="5"/>
  <c r="W25" i="5"/>
  <c r="AA25" i="5"/>
  <c r="K25" i="5"/>
  <c r="V59" i="5"/>
  <c r="S59" i="5"/>
  <c r="Z59" i="5"/>
  <c r="Y59" i="5"/>
  <c r="I59" i="5"/>
  <c r="AY19" i="4"/>
  <c r="BH18" i="4"/>
  <c r="G19" i="4" s="1"/>
  <c r="M19" i="4" s="1"/>
  <c r="BG18" i="4"/>
  <c r="F19" i="4" s="1"/>
  <c r="AD19" i="4" s="1"/>
  <c r="BK19" i="4"/>
  <c r="H19" i="4"/>
  <c r="AI19" i="4" s="1"/>
  <c r="L59" i="4"/>
  <c r="AQ59" i="4"/>
  <c r="W25" i="3"/>
  <c r="L58" i="3"/>
  <c r="AM58" i="3"/>
  <c r="AO25" i="3"/>
  <c r="F26" i="3" s="1"/>
  <c r="X25" i="3" a="1"/>
  <c r="X25" i="3" s="1"/>
  <c r="M20" i="2"/>
  <c r="P20" i="2" s="1"/>
  <c r="AB20" i="2" s="1" a="1"/>
  <c r="AB20" i="2" s="1"/>
  <c r="D20" i="2"/>
  <c r="N20" i="2"/>
  <c r="C343" i="8" l="1" a="1"/>
  <c r="C343" i="8" s="1"/>
  <c r="D344" i="8" a="1"/>
  <c r="D344" i="8" s="1"/>
  <c r="C351" i="8" s="1" a="1"/>
  <c r="C351" i="8" s="1"/>
  <c r="BT27" i="7"/>
  <c r="BU27" i="7" s="1" a="1"/>
  <c r="BU27" i="7" s="1"/>
  <c r="CE27" i="7"/>
  <c r="I28" i="7" s="1"/>
  <c r="AG28" i="7" s="1"/>
  <c r="J28" i="7"/>
  <c r="L25" i="5"/>
  <c r="O25" i="5" s="1"/>
  <c r="AB25" i="5" s="1" a="1"/>
  <c r="N25" i="5"/>
  <c r="D25" i="5"/>
  <c r="Y60" i="5"/>
  <c r="I60" i="5"/>
  <c r="V60" i="5"/>
  <c r="S60" i="5"/>
  <c r="Z60" i="5"/>
  <c r="AP19" i="4"/>
  <c r="AE19" i="4"/>
  <c r="AK19" i="4"/>
  <c r="AG19" i="4"/>
  <c r="N19" i="4"/>
  <c r="AM19" i="4"/>
  <c r="AR19" i="4"/>
  <c r="AC19" i="4"/>
  <c r="O19" i="4"/>
  <c r="AL19" i="4"/>
  <c r="AF19" i="4"/>
  <c r="AO19" i="4"/>
  <c r="AN19" i="4"/>
  <c r="K19" i="4"/>
  <c r="J19" i="4"/>
  <c r="L60" i="4"/>
  <c r="AQ60" i="4"/>
  <c r="O26" i="3"/>
  <c r="AM59" i="3"/>
  <c r="L59" i="3"/>
  <c r="Z26" i="3"/>
  <c r="AA26" i="3"/>
  <c r="AC26" i="3"/>
  <c r="AE26" i="3"/>
  <c r="AJ26" i="3"/>
  <c r="K26" i="3"/>
  <c r="AI26" i="3"/>
  <c r="AB26" i="3"/>
  <c r="Y26" i="3"/>
  <c r="AN26" i="3"/>
  <c r="AK26" i="3"/>
  <c r="M26" i="3"/>
  <c r="N26" i="3"/>
  <c r="R20" i="2" a="1"/>
  <c r="R20" i="2" s="1"/>
  <c r="Q20" i="2"/>
  <c r="C346" i="8" l="1" a="1"/>
  <c r="C346" i="8" s="1"/>
  <c r="C347" i="8" s="1" a="1"/>
  <c r="C347" i="8" s="1"/>
  <c r="C348" i="8" s="1" a="1"/>
  <c r="C348" i="8" s="1"/>
  <c r="C352" i="8" s="1" a="1"/>
  <c r="C352" i="8" s="1"/>
  <c r="C349" i="8" a="1"/>
  <c r="C349" i="8" s="1"/>
  <c r="C345" i="8" a="1"/>
  <c r="C345" i="8" s="1"/>
  <c r="AB28" i="7"/>
  <c r="AF28" i="7" s="1"/>
  <c r="AC28" i="7"/>
  <c r="AD28" i="7"/>
  <c r="AE28" i="7"/>
  <c r="CD28" i="7"/>
  <c r="CA28" i="7"/>
  <c r="BX28" i="7"/>
  <c r="BV28" i="7"/>
  <c r="Q28" i="7"/>
  <c r="R28" i="7"/>
  <c r="CB28" i="7"/>
  <c r="BZ28" i="7"/>
  <c r="BW28" i="7"/>
  <c r="BG28" i="7"/>
  <c r="BN28" i="7" s="1"/>
  <c r="CC28" i="7"/>
  <c r="BY28" i="7"/>
  <c r="AL26" i="3"/>
  <c r="Q25" i="5"/>
  <c r="R25" i="5" s="1" a="1"/>
  <c r="R25" i="5" s="1"/>
  <c r="AB25" i="5"/>
  <c r="E26" i="5" s="1"/>
  <c r="F26" i="5"/>
  <c r="R19" i="4"/>
  <c r="V19" i="4" s="1"/>
  <c r="Z61" i="5"/>
  <c r="Y61" i="5"/>
  <c r="I61" i="5"/>
  <c r="V61" i="5"/>
  <c r="S61" i="5"/>
  <c r="S19" i="4"/>
  <c r="Q19" i="4"/>
  <c r="U19" i="4" s="1"/>
  <c r="E19" i="4"/>
  <c r="P19" i="4"/>
  <c r="T19" i="4" s="1"/>
  <c r="L61" i="4"/>
  <c r="AQ61" i="4"/>
  <c r="J26" i="3"/>
  <c r="R26" i="3" s="1"/>
  <c r="V26" i="3" s="1"/>
  <c r="AH26" i="3"/>
  <c r="AG26" i="3"/>
  <c r="L60" i="3"/>
  <c r="AM60" i="3"/>
  <c r="AO26" i="3" a="1"/>
  <c r="S26" i="3"/>
  <c r="Q26" i="3"/>
  <c r="U26" i="3" s="1"/>
  <c r="E26" i="3"/>
  <c r="E21" i="2"/>
  <c r="F21" i="2"/>
  <c r="C350" i="8" l="1" a="1"/>
  <c r="C350" i="8" s="1"/>
  <c r="C363" i="8" s="1" a="1"/>
  <c r="E384" i="8" s="1"/>
  <c r="C353" i="8" a="1"/>
  <c r="C353" i="8" s="1"/>
  <c r="C354" i="8" s="1" a="1"/>
  <c r="C354" i="8" s="1"/>
  <c r="C355" i="8" a="1"/>
  <c r="C355" i="8" s="1"/>
  <c r="C356" i="8" s="1" a="1"/>
  <c r="C356" i="8" s="1"/>
  <c r="AS19" i="4" a="1"/>
  <c r="AS19" i="4" s="1"/>
  <c r="Y28" i="7"/>
  <c r="T28" i="7"/>
  <c r="W28" i="7"/>
  <c r="S28" i="7"/>
  <c r="X28" i="7"/>
  <c r="U28" i="7"/>
  <c r="V28" i="7"/>
  <c r="E28" i="7"/>
  <c r="BM28" i="7"/>
  <c r="BH28" i="7"/>
  <c r="BO28" i="7" s="1"/>
  <c r="CE28" i="7" s="1" a="1"/>
  <c r="P26" i="3"/>
  <c r="T26" i="3" s="1"/>
  <c r="X26" i="5"/>
  <c r="H26" i="5"/>
  <c r="M26" i="5" s="1"/>
  <c r="P26" i="5" s="1"/>
  <c r="J26" i="5"/>
  <c r="W26" i="5"/>
  <c r="AA26" i="5"/>
  <c r="K26" i="5"/>
  <c r="S62" i="5"/>
  <c r="Z62" i="5"/>
  <c r="Y62" i="5"/>
  <c r="I62" i="5"/>
  <c r="V62" i="5"/>
  <c r="W19" i="4"/>
  <c r="X19" i="4" s="1" a="1"/>
  <c r="X19" i="4" s="1"/>
  <c r="L62" i="4"/>
  <c r="AQ62" i="4"/>
  <c r="L61" i="3"/>
  <c r="AM61" i="3"/>
  <c r="AO26" i="3"/>
  <c r="F27" i="3" s="1"/>
  <c r="W26" i="3"/>
  <c r="V21" i="2"/>
  <c r="T21" i="2"/>
  <c r="Z21" i="2"/>
  <c r="U21" i="2"/>
  <c r="I21" i="2"/>
  <c r="K21" i="2"/>
  <c r="L21" i="2" s="1"/>
  <c r="O21" i="2" s="1"/>
  <c r="J21" i="2"/>
  <c r="X21" i="2"/>
  <c r="Y21" i="2"/>
  <c r="S21" i="2"/>
  <c r="AA21" i="2"/>
  <c r="W21" i="2"/>
  <c r="C383" i="8" l="1"/>
  <c r="D382" i="8"/>
  <c r="H383" i="8"/>
  <c r="E380" i="8"/>
  <c r="D383" i="8"/>
  <c r="H382" i="8"/>
  <c r="C382" i="8"/>
  <c r="D381" i="8"/>
  <c r="H384" i="8"/>
  <c r="D380" i="8"/>
  <c r="E379" i="8"/>
  <c r="G384" i="8"/>
  <c r="F381" i="8"/>
  <c r="H380" i="8"/>
  <c r="C384" i="8"/>
  <c r="G380" i="8"/>
  <c r="G379" i="8"/>
  <c r="H379" i="8"/>
  <c r="C380" i="8"/>
  <c r="E382" i="8"/>
  <c r="E381" i="8"/>
  <c r="D379" i="8"/>
  <c r="E383" i="8"/>
  <c r="C381" i="8"/>
  <c r="H381" i="8"/>
  <c r="G381" i="8"/>
  <c r="F383" i="8"/>
  <c r="C363" i="8"/>
  <c r="C379" i="8" s="1"/>
  <c r="G383" i="8"/>
  <c r="F382" i="8"/>
  <c r="F379" i="8"/>
  <c r="G382" i="8"/>
  <c r="D384" i="8"/>
  <c r="F380" i="8"/>
  <c r="F384" i="8"/>
  <c r="C357" i="8" a="1"/>
  <c r="C357" i="8" s="1"/>
  <c r="C358" i="8" s="1" a="1"/>
  <c r="C358" i="8" s="1"/>
  <c r="C359" i="8" s="1"/>
  <c r="BT28" i="7"/>
  <c r="BU28" i="7" s="1" a="1"/>
  <c r="BU28" i="7" s="1"/>
  <c r="CE28" i="7"/>
  <c r="I29" i="7" s="1"/>
  <c r="AG29" i="7" s="1"/>
  <c r="J29" i="7"/>
  <c r="X26" i="3" a="1"/>
  <c r="X26" i="3" s="1"/>
  <c r="N26" i="5"/>
  <c r="D26" i="5"/>
  <c r="L26" i="5"/>
  <c r="O26" i="5" s="1"/>
  <c r="AB19" i="4" a="1"/>
  <c r="AB19" i="4" s="1"/>
  <c r="AX19" i="4" s="1"/>
  <c r="BD19" i="4" s="1"/>
  <c r="L63" i="4"/>
  <c r="AQ63" i="4"/>
  <c r="L62" i="3"/>
  <c r="AM62" i="3"/>
  <c r="AE27" i="3"/>
  <c r="AJ27" i="3"/>
  <c r="K27" i="3"/>
  <c r="AK27" i="3"/>
  <c r="AB27" i="3"/>
  <c r="AI27" i="3"/>
  <c r="Y27" i="3"/>
  <c r="AN27" i="3"/>
  <c r="J27" i="3"/>
  <c r="AA27" i="3"/>
  <c r="Z27" i="3"/>
  <c r="AC27" i="3"/>
  <c r="AH27" i="3"/>
  <c r="AG27" i="3"/>
  <c r="AL27" i="3"/>
  <c r="M27" i="3"/>
  <c r="N27" i="3"/>
  <c r="O27" i="3"/>
  <c r="M21" i="2"/>
  <c r="P21" i="2" s="1"/>
  <c r="AB21" i="2" s="1" a="1"/>
  <c r="AB21" i="2" s="1"/>
  <c r="N21" i="2"/>
  <c r="D21" i="2"/>
  <c r="C370" i="8" l="1" a="1"/>
  <c r="C370" i="8" s="1"/>
  <c r="C377" i="8" s="1" a="1"/>
  <c r="C377" i="8" s="1"/>
  <c r="C385" i="8" a="1"/>
  <c r="C385" i="8" s="1"/>
  <c r="C391" i="8" a="1"/>
  <c r="C391" i="8" s="1"/>
  <c r="AB29" i="7"/>
  <c r="AF29" i="7" s="1"/>
  <c r="AC29" i="7"/>
  <c r="AD29" i="7"/>
  <c r="AE29" i="7"/>
  <c r="CD29" i="7"/>
  <c r="CA29" i="7"/>
  <c r="BV29" i="7"/>
  <c r="CB29" i="7"/>
  <c r="Q29" i="7"/>
  <c r="R29" i="7"/>
  <c r="BX29" i="7"/>
  <c r="BZ29" i="7"/>
  <c r="BG29" i="7"/>
  <c r="BN29" i="7" s="1"/>
  <c r="BW29" i="7"/>
  <c r="CC29" i="7"/>
  <c r="BY29" i="7"/>
  <c r="AB26" i="5" a="1"/>
  <c r="Q26" i="5"/>
  <c r="R26" i="5" s="1" a="1"/>
  <c r="R26" i="5" s="1"/>
  <c r="AW19" i="4"/>
  <c r="BB19" i="4"/>
  <c r="BC19" i="4"/>
  <c r="BE19" i="4"/>
  <c r="BA19" i="4"/>
  <c r="AZ19" i="4"/>
  <c r="BF19" i="4"/>
  <c r="L64" i="4"/>
  <c r="AQ64" i="4"/>
  <c r="L63" i="3"/>
  <c r="AM63" i="3"/>
  <c r="Q27" i="3"/>
  <c r="U27" i="3" s="1"/>
  <c r="S27" i="3"/>
  <c r="R27" i="3"/>
  <c r="V27" i="3" s="1"/>
  <c r="P27" i="3"/>
  <c r="T27" i="3" s="1"/>
  <c r="AO27" i="3" s="1" a="1"/>
  <c r="E27" i="3"/>
  <c r="Q21" i="2"/>
  <c r="R21" i="2" s="1" a="1"/>
  <c r="R21" i="2" s="1"/>
  <c r="C392" i="8" l="1" a="1"/>
  <c r="C392" i="8" s="1"/>
  <c r="C393" i="8" s="1" a="1"/>
  <c r="C393" i="8" s="1"/>
  <c r="C394" i="8" s="1" a="1"/>
  <c r="C394" i="8" s="1"/>
  <c r="C395" i="8" s="1" a="1"/>
  <c r="C395" i="8" s="1"/>
  <c r="C396" i="8" s="1" a="1"/>
  <c r="C396" i="8" s="1"/>
  <c r="C397" i="8" s="1" a="1"/>
  <c r="C397" i="8" s="1"/>
  <c r="S29" i="7"/>
  <c r="T29" i="7"/>
  <c r="U29" i="7"/>
  <c r="V29" i="7"/>
  <c r="X29" i="7"/>
  <c r="Y29" i="7"/>
  <c r="W29" i="7"/>
  <c r="E29" i="7"/>
  <c r="BM29" i="7"/>
  <c r="BH29" i="7"/>
  <c r="BO29" i="7" s="1"/>
  <c r="AB26" i="5"/>
  <c r="E27" i="5" s="1"/>
  <c r="F27" i="5"/>
  <c r="BK20" i="4"/>
  <c r="BI19" i="4"/>
  <c r="H20" i="4" s="1"/>
  <c r="K20" i="4" s="1"/>
  <c r="BH19" i="4"/>
  <c r="G20" i="4" s="1"/>
  <c r="N20" i="4" s="1"/>
  <c r="BG19" i="4"/>
  <c r="F20" i="4" s="1"/>
  <c r="AY20" i="4"/>
  <c r="L65" i="4"/>
  <c r="AQ65" i="4"/>
  <c r="L64" i="3"/>
  <c r="AM64" i="3"/>
  <c r="W27" i="3"/>
  <c r="X27" i="3" s="1" a="1"/>
  <c r="X27" i="3" s="1"/>
  <c r="AO27" i="3"/>
  <c r="F28" i="3" s="1"/>
  <c r="M28" i="3"/>
  <c r="E22" i="2"/>
  <c r="F22" i="2"/>
  <c r="C398" i="8" l="1" a="1"/>
  <c r="C398" i="8" s="1"/>
  <c r="D400" i="8" s="1" a="1"/>
  <c r="D400" i="8" s="1"/>
  <c r="C405" i="8" s="1" a="1"/>
  <c r="C405" i="8" s="1"/>
  <c r="BT29" i="7"/>
  <c r="BU29" i="7" s="1" a="1"/>
  <c r="BU29" i="7" s="1"/>
  <c r="CE29" i="7" a="1"/>
  <c r="X27" i="5"/>
  <c r="H27" i="5"/>
  <c r="M27" i="5" s="1"/>
  <c r="P27" i="5" s="1"/>
  <c r="W27" i="5"/>
  <c r="J27" i="5"/>
  <c r="K27" i="5"/>
  <c r="AA27" i="5"/>
  <c r="AM20" i="4"/>
  <c r="AC20" i="4"/>
  <c r="AR20" i="4"/>
  <c r="AF20" i="4"/>
  <c r="AN20" i="4"/>
  <c r="AI20" i="4"/>
  <c r="AO20" i="4"/>
  <c r="M20" i="4"/>
  <c r="AK20" i="4"/>
  <c r="AP20" i="4"/>
  <c r="AE20" i="4"/>
  <c r="AG20" i="4"/>
  <c r="AL20" i="4"/>
  <c r="J20" i="4"/>
  <c r="AD20" i="4"/>
  <c r="O20" i="4"/>
  <c r="L66" i="4"/>
  <c r="AQ66" i="4"/>
  <c r="L65" i="3"/>
  <c r="AM65" i="3"/>
  <c r="AJ28" i="3"/>
  <c r="AE28" i="3"/>
  <c r="K28" i="3"/>
  <c r="N28" i="3"/>
  <c r="AK28" i="3"/>
  <c r="AB28" i="3"/>
  <c r="Y28" i="3"/>
  <c r="V22" i="2"/>
  <c r="Z22" i="2"/>
  <c r="T22" i="2"/>
  <c r="W22" i="2"/>
  <c r="K22" i="2"/>
  <c r="L22" i="2" s="1"/>
  <c r="O22" i="2" s="1"/>
  <c r="I22" i="2"/>
  <c r="M22" i="2" s="1"/>
  <c r="U22" i="2"/>
  <c r="S22" i="2"/>
  <c r="X22" i="2"/>
  <c r="Y22" i="2"/>
  <c r="J22" i="2"/>
  <c r="AA22" i="2"/>
  <c r="C400" i="8" l="1" a="1"/>
  <c r="C400" i="8" s="1"/>
  <c r="C399" i="8" a="1"/>
  <c r="C399" i="8" s="1"/>
  <c r="C407" i="8" a="1"/>
  <c r="C407" i="8" s="1"/>
  <c r="CE29" i="7"/>
  <c r="I30" i="7" s="1"/>
  <c r="AG30" i="7" s="1"/>
  <c r="J30" i="7"/>
  <c r="N27" i="5"/>
  <c r="D27" i="5"/>
  <c r="L27" i="5"/>
  <c r="O27" i="5" s="1"/>
  <c r="AB27" i="5" s="1" a="1"/>
  <c r="Q20" i="4"/>
  <c r="U20" i="4" s="1"/>
  <c r="P20" i="4"/>
  <c r="T20" i="4" s="1"/>
  <c r="R20" i="4"/>
  <c r="V20" i="4" s="1"/>
  <c r="E20" i="4"/>
  <c r="S20" i="4"/>
  <c r="L67" i="4"/>
  <c r="AQ67" i="4"/>
  <c r="L66" i="3"/>
  <c r="AM66" i="3"/>
  <c r="AC28" i="3"/>
  <c r="AA28" i="3"/>
  <c r="Z28" i="3"/>
  <c r="AG28" i="3"/>
  <c r="AL28" i="3"/>
  <c r="J28" i="3"/>
  <c r="R28" i="3" s="1"/>
  <c r="V28" i="3" s="1"/>
  <c r="O28" i="3"/>
  <c r="AN28" i="3"/>
  <c r="AH28" i="3"/>
  <c r="AI28" i="3"/>
  <c r="N22" i="2"/>
  <c r="D22" i="2"/>
  <c r="P22" i="2"/>
  <c r="AB22" i="2" s="1" a="1"/>
  <c r="AB22" i="2" s="1"/>
  <c r="C402" i="8" l="1" a="1"/>
  <c r="C402" i="8" s="1"/>
  <c r="C403" i="8" s="1" a="1"/>
  <c r="C403" i="8" s="1"/>
  <c r="C401" i="8" a="1"/>
  <c r="C401" i="8" s="1"/>
  <c r="AD30" i="7"/>
  <c r="AC30" i="7"/>
  <c r="AE30" i="7"/>
  <c r="AB30" i="7"/>
  <c r="AF30" i="7" s="1"/>
  <c r="AS20" i="4" a="1"/>
  <c r="AS20" i="4" s="1"/>
  <c r="BG30" i="7"/>
  <c r="BN30" i="7" s="1"/>
  <c r="CD30" i="7"/>
  <c r="CA30" i="7"/>
  <c r="R30" i="7"/>
  <c r="BV30" i="7"/>
  <c r="BX30" i="7"/>
  <c r="CB30" i="7"/>
  <c r="Q30" i="7"/>
  <c r="BZ30" i="7"/>
  <c r="BW30" i="7"/>
  <c r="CC30" i="7"/>
  <c r="BY30" i="7"/>
  <c r="AB27" i="5"/>
  <c r="F28" i="5"/>
  <c r="Q27" i="5"/>
  <c r="R27" i="5" s="1" a="1"/>
  <c r="R27" i="5" s="1"/>
  <c r="W20" i="4"/>
  <c r="X20" i="4" s="1" a="1"/>
  <c r="X20" i="4" s="1"/>
  <c r="L68" i="4"/>
  <c r="AQ68" i="4"/>
  <c r="AM67" i="3"/>
  <c r="L67" i="3"/>
  <c r="M29" i="3"/>
  <c r="S28" i="3"/>
  <c r="E28" i="3"/>
  <c r="Q28" i="3"/>
  <c r="U28" i="3" s="1"/>
  <c r="P28" i="3"/>
  <c r="T28" i="3" s="1"/>
  <c r="AO28" i="3" s="1" a="1"/>
  <c r="AO28" i="3" s="1"/>
  <c r="F29" i="3" s="1"/>
  <c r="Q22" i="2"/>
  <c r="R22" i="2" s="1" a="1"/>
  <c r="R22" i="2" s="1"/>
  <c r="C404" i="8" l="1" a="1"/>
  <c r="C404" i="8" s="1"/>
  <c r="C408" i="8" s="1" a="1"/>
  <c r="C408" i="8" s="1"/>
  <c r="Y30" i="7"/>
  <c r="T30" i="7"/>
  <c r="S30" i="7"/>
  <c r="V30" i="7"/>
  <c r="W30" i="7"/>
  <c r="U30" i="7"/>
  <c r="X30" i="7"/>
  <c r="BH30" i="7"/>
  <c r="BO30" i="7" s="1"/>
  <c r="CE30" i="7" s="1" a="1"/>
  <c r="BM30" i="7"/>
  <c r="E30" i="7"/>
  <c r="H28" i="5"/>
  <c r="M28" i="5" s="1"/>
  <c r="P28" i="5" s="1"/>
  <c r="X28" i="5"/>
  <c r="W28" i="5"/>
  <c r="E28" i="5"/>
  <c r="AB20" i="4" a="1"/>
  <c r="AB20" i="4" s="1"/>
  <c r="AW20" i="4" s="1"/>
  <c r="L69" i="4"/>
  <c r="AQ69" i="4"/>
  <c r="L68" i="3"/>
  <c r="AM68" i="3"/>
  <c r="W28" i="3"/>
  <c r="X28" i="3" a="1"/>
  <c r="X28" i="3" s="1"/>
  <c r="AJ29" i="3"/>
  <c r="AE29" i="3"/>
  <c r="K29" i="3"/>
  <c r="AK29" i="3"/>
  <c r="AB29" i="3"/>
  <c r="Y29" i="3"/>
  <c r="N29" i="3"/>
  <c r="E23" i="2"/>
  <c r="F23" i="2"/>
  <c r="C411" i="8" l="1" a="1"/>
  <c r="C411" i="8" s="1"/>
  <c r="C412" i="8" s="1" a="1"/>
  <c r="C412" i="8" s="1"/>
  <c r="C409" i="8" a="1"/>
  <c r="C409" i="8" s="1"/>
  <c r="C410" i="8" s="1" a="1"/>
  <c r="C410" i="8" s="1"/>
  <c r="C406" i="8" a="1"/>
  <c r="C406" i="8" s="1"/>
  <c r="C419" i="8" s="1" a="1"/>
  <c r="C419" i="8" s="1"/>
  <c r="C435" i="8" s="1"/>
  <c r="BT30" i="7"/>
  <c r="BU30" i="7" s="1" a="1"/>
  <c r="BU30" i="7" s="1"/>
  <c r="CE30" i="7"/>
  <c r="I31" i="7" s="1"/>
  <c r="J31" i="7"/>
  <c r="AA28" i="5"/>
  <c r="J28" i="5"/>
  <c r="K28" i="5"/>
  <c r="L28" i="5"/>
  <c r="O28" i="5" s="1"/>
  <c r="AB28" i="5" s="1" a="1"/>
  <c r="AX20" i="4"/>
  <c r="BD20" i="4" s="1"/>
  <c r="BC20" i="4"/>
  <c r="BF20" i="4"/>
  <c r="BB20" i="4"/>
  <c r="AZ20" i="4"/>
  <c r="BA20" i="4"/>
  <c r="BE20" i="4"/>
  <c r="L70" i="4"/>
  <c r="AQ70" i="4"/>
  <c r="AM69" i="3"/>
  <c r="L69" i="3"/>
  <c r="AL29" i="3"/>
  <c r="AH29" i="3"/>
  <c r="AC29" i="3"/>
  <c r="AA29" i="3"/>
  <c r="J29" i="3"/>
  <c r="R29" i="3" s="1"/>
  <c r="V29" i="3" s="1"/>
  <c r="Z29" i="3"/>
  <c r="AG29" i="3"/>
  <c r="AN29" i="3"/>
  <c r="O29" i="3"/>
  <c r="Q29" i="3" s="1"/>
  <c r="U29" i="3" s="1"/>
  <c r="AI29" i="3"/>
  <c r="Z23" i="2"/>
  <c r="T23" i="2"/>
  <c r="V23" i="2"/>
  <c r="S23" i="2"/>
  <c r="I23" i="2"/>
  <c r="AA23" i="2"/>
  <c r="J23" i="2"/>
  <c r="U23" i="2"/>
  <c r="X23" i="2"/>
  <c r="W23" i="2"/>
  <c r="Y23" i="2"/>
  <c r="K23" i="2"/>
  <c r="L23" i="2" s="1"/>
  <c r="O23" i="2" s="1"/>
  <c r="F438" i="8" l="1"/>
  <c r="H438" i="8"/>
  <c r="E437" i="8"/>
  <c r="G440" i="8"/>
  <c r="C438" i="8"/>
  <c r="G439" i="8"/>
  <c r="H439" i="8"/>
  <c r="D436" i="8"/>
  <c r="C440" i="8"/>
  <c r="E435" i="8"/>
  <c r="D438" i="8"/>
  <c r="D439" i="8"/>
  <c r="F436" i="8"/>
  <c r="H436" i="8"/>
  <c r="E438" i="8"/>
  <c r="C436" i="8"/>
  <c r="G436" i="8"/>
  <c r="G437" i="8"/>
  <c r="C426" i="8" a="1"/>
  <c r="C426" i="8" s="1"/>
  <c r="H435" i="8"/>
  <c r="E436" i="8"/>
  <c r="C439" i="8"/>
  <c r="D435" i="8"/>
  <c r="G435" i="8"/>
  <c r="C413" i="8" a="1"/>
  <c r="C413" i="8" s="1"/>
  <c r="C414" i="8" s="1" a="1"/>
  <c r="C414" i="8" s="1"/>
  <c r="C415" i="8" s="1"/>
  <c r="H440" i="8"/>
  <c r="D437" i="8"/>
  <c r="E439" i="8"/>
  <c r="C437" i="8"/>
  <c r="G438" i="8"/>
  <c r="F440" i="8"/>
  <c r="D440" i="8"/>
  <c r="E440" i="8"/>
  <c r="F439" i="8"/>
  <c r="F435" i="8"/>
  <c r="H437" i="8"/>
  <c r="F437" i="8"/>
  <c r="CD31" i="7"/>
  <c r="CA31" i="7"/>
  <c r="BX31" i="7"/>
  <c r="R31" i="7"/>
  <c r="Q31" i="7"/>
  <c r="CB31" i="7"/>
  <c r="BV31" i="7"/>
  <c r="BG31" i="7"/>
  <c r="BN31" i="7" s="1"/>
  <c r="BZ31" i="7"/>
  <c r="BW31" i="7"/>
  <c r="BY31" i="7"/>
  <c r="CC31" i="7"/>
  <c r="S29" i="3"/>
  <c r="AB28" i="5"/>
  <c r="F29" i="5"/>
  <c r="D28" i="5"/>
  <c r="N28" i="5"/>
  <c r="Q28" i="5" s="1"/>
  <c r="R28" i="5" s="1" a="1"/>
  <c r="R28" i="5" s="1"/>
  <c r="BH20" i="4"/>
  <c r="G21" i="4" s="1"/>
  <c r="BG20" i="4"/>
  <c r="F21" i="4" s="1"/>
  <c r="BI20" i="4"/>
  <c r="H21" i="4" s="1"/>
  <c r="BK21" i="4"/>
  <c r="AY21" i="4"/>
  <c r="L71" i="4"/>
  <c r="AQ71" i="4"/>
  <c r="AO29" i="3" a="1"/>
  <c r="AO29" i="3" s="1"/>
  <c r="F30" i="3" s="1"/>
  <c r="AM70" i="3"/>
  <c r="L70" i="3"/>
  <c r="E29" i="3"/>
  <c r="W29" i="3" s="1"/>
  <c r="P29" i="3"/>
  <c r="T29" i="3" s="1"/>
  <c r="X29" i="3" s="1" a="1"/>
  <c r="X29" i="3" s="1"/>
  <c r="M23" i="2"/>
  <c r="D23" i="2"/>
  <c r="N23" i="2"/>
  <c r="P23" i="2"/>
  <c r="AB23" i="2" s="1" a="1"/>
  <c r="AB23" i="2" s="1"/>
  <c r="C441" i="8" l="1" a="1"/>
  <c r="C441" i="8" s="1"/>
  <c r="C433" i="8" a="1"/>
  <c r="C433" i="8" s="1"/>
  <c r="C447" i="8" a="1"/>
  <c r="C447" i="8" s="1"/>
  <c r="E31" i="7"/>
  <c r="BM31" i="7"/>
  <c r="BH31" i="7"/>
  <c r="BO31" i="7" s="1"/>
  <c r="CE31" i="7" s="1" a="1"/>
  <c r="H29" i="5"/>
  <c r="M29" i="5" s="1"/>
  <c r="P29" i="5" s="1"/>
  <c r="X29" i="5"/>
  <c r="E29" i="5"/>
  <c r="AO21" i="4"/>
  <c r="N21" i="4"/>
  <c r="M21" i="4"/>
  <c r="AR21" i="4"/>
  <c r="AM21" i="4"/>
  <c r="AF21" i="4"/>
  <c r="AC21" i="4"/>
  <c r="AG21" i="4"/>
  <c r="AL21" i="4"/>
  <c r="AD21" i="4"/>
  <c r="AE21" i="4"/>
  <c r="AP21" i="4"/>
  <c r="AK21" i="4"/>
  <c r="O21" i="4"/>
  <c r="AN21" i="4"/>
  <c r="J21" i="4"/>
  <c r="AI21" i="4"/>
  <c r="K21" i="4"/>
  <c r="L72" i="4"/>
  <c r="AQ72" i="4"/>
  <c r="AI30" i="3"/>
  <c r="AB30" i="3"/>
  <c r="L71" i="3"/>
  <c r="AM71" i="3"/>
  <c r="AK30" i="3"/>
  <c r="N30" i="3"/>
  <c r="M30" i="3"/>
  <c r="Y30" i="3"/>
  <c r="AJ30" i="3"/>
  <c r="AE30" i="3"/>
  <c r="K30" i="3"/>
  <c r="R23" i="2" a="1"/>
  <c r="R23" i="2" s="1"/>
  <c r="Q23" i="2"/>
  <c r="C448" i="8" l="1" a="1"/>
  <c r="C448" i="8" s="1"/>
  <c r="C449" i="8" s="1" a="1"/>
  <c r="C449" i="8" s="1"/>
  <c r="C450" i="8" s="1" a="1"/>
  <c r="C450" i="8" s="1"/>
  <c r="C451" i="8" s="1" a="1"/>
  <c r="C451" i="8" s="1"/>
  <c r="C452" i="8" s="1" a="1"/>
  <c r="C452" i="8" s="1"/>
  <c r="C453" i="8" s="1" a="1"/>
  <c r="C453" i="8" s="1"/>
  <c r="BT31" i="7"/>
  <c r="BU31" i="7" s="1" a="1"/>
  <c r="BU31" i="7" s="1"/>
  <c r="CE31" i="7"/>
  <c r="I32" i="7" s="1"/>
  <c r="J32" i="7"/>
  <c r="AC30" i="3"/>
  <c r="AA30" i="3"/>
  <c r="AL30" i="3"/>
  <c r="Z30" i="3"/>
  <c r="AO30" i="3" s="1" a="1"/>
  <c r="AO30" i="3" s="1"/>
  <c r="F31" i="3" s="1"/>
  <c r="AN30" i="3"/>
  <c r="J30" i="3"/>
  <c r="R30" i="3" s="1"/>
  <c r="V30" i="3" s="1"/>
  <c r="AG30" i="3"/>
  <c r="K29" i="5"/>
  <c r="J29" i="5"/>
  <c r="AA29" i="5"/>
  <c r="L29" i="5"/>
  <c r="O29" i="5" s="1"/>
  <c r="AB29" i="5" s="1" a="1"/>
  <c r="W29" i="5"/>
  <c r="P21" i="4"/>
  <c r="T21" i="4" s="1"/>
  <c r="Q21" i="4"/>
  <c r="U21" i="4" s="1"/>
  <c r="R21" i="4"/>
  <c r="V21" i="4" s="1"/>
  <c r="E21" i="4"/>
  <c r="S21" i="4"/>
  <c r="L73" i="4"/>
  <c r="AQ73" i="4"/>
  <c r="AH30" i="3"/>
  <c r="O30" i="3"/>
  <c r="E30" i="3" s="1"/>
  <c r="L72" i="3"/>
  <c r="AM72" i="3"/>
  <c r="S30" i="3"/>
  <c r="E24" i="2"/>
  <c r="F24" i="2"/>
  <c r="C454" i="8" l="1" a="1"/>
  <c r="C454" i="8" s="1"/>
  <c r="C456" i="8" s="1" a="1"/>
  <c r="C456" i="8" s="1"/>
  <c r="CD32" i="7"/>
  <c r="CA32" i="7"/>
  <c r="R32" i="7"/>
  <c r="Q32" i="7"/>
  <c r="CB32" i="7"/>
  <c r="BV32" i="7"/>
  <c r="BX32" i="7"/>
  <c r="BZ32" i="7"/>
  <c r="BW32" i="7"/>
  <c r="BG32" i="7"/>
  <c r="BN32" i="7" s="1"/>
  <c r="CC32" i="7"/>
  <c r="BY32" i="7"/>
  <c r="P30" i="3"/>
  <c r="T30" i="3" s="1"/>
  <c r="X30" i="3" s="1" a="1"/>
  <c r="X30" i="3" s="1"/>
  <c r="Q30" i="3"/>
  <c r="U30" i="3" s="1"/>
  <c r="W30" i="3"/>
  <c r="AB29" i="5"/>
  <c r="E30" i="5" s="1"/>
  <c r="F30" i="5"/>
  <c r="D29" i="5"/>
  <c r="N29" i="5"/>
  <c r="Q29" i="5" s="1"/>
  <c r="R29" i="5" s="1" a="1"/>
  <c r="R29" i="5" s="1"/>
  <c r="AS21" i="4" a="1"/>
  <c r="AS21" i="4" s="1"/>
  <c r="W21" i="4"/>
  <c r="X21" i="4" s="1" a="1"/>
  <c r="X21" i="4" s="1"/>
  <c r="L73" i="3"/>
  <c r="AM73" i="3"/>
  <c r="AE31" i="3"/>
  <c r="AJ31" i="3"/>
  <c r="K31" i="3"/>
  <c r="AG31" i="3"/>
  <c r="AL31" i="3"/>
  <c r="AC31" i="3"/>
  <c r="AA31" i="3"/>
  <c r="Z31" i="3"/>
  <c r="J31" i="3"/>
  <c r="V24" i="2"/>
  <c r="T24" i="2"/>
  <c r="Z24" i="2"/>
  <c r="S24" i="2"/>
  <c r="AA24" i="2"/>
  <c r="J24" i="2"/>
  <c r="K24" i="2"/>
  <c r="L24" i="2" s="1"/>
  <c r="O24" i="2" s="1"/>
  <c r="I24" i="2"/>
  <c r="W24" i="2"/>
  <c r="X24" i="2"/>
  <c r="U24" i="2"/>
  <c r="Y24" i="2"/>
  <c r="C455" i="8" l="1" a="1"/>
  <c r="C455" i="8" s="1"/>
  <c r="D456" i="8" a="1"/>
  <c r="D456" i="8" s="1"/>
  <c r="C463" i="8" s="1" a="1"/>
  <c r="C463" i="8" s="1"/>
  <c r="BM32" i="7"/>
  <c r="E32" i="7"/>
  <c r="BH32" i="7"/>
  <c r="BO32" i="7" s="1"/>
  <c r="CE32" i="7" s="1" a="1"/>
  <c r="X30" i="5"/>
  <c r="H30" i="5"/>
  <c r="M30" i="5"/>
  <c r="P30" i="5" s="1"/>
  <c r="W30" i="5"/>
  <c r="J30" i="5"/>
  <c r="K30" i="5"/>
  <c r="AA30" i="5"/>
  <c r="AB21" i="4" a="1"/>
  <c r="AB21" i="4" s="1"/>
  <c r="AW21" i="4" s="1"/>
  <c r="AM74" i="3"/>
  <c r="L74" i="3"/>
  <c r="R31" i="3"/>
  <c r="V31" i="3" s="1"/>
  <c r="AN31" i="3"/>
  <c r="AK31" i="3"/>
  <c r="AB31" i="3"/>
  <c r="AI31" i="3"/>
  <c r="Y31" i="3"/>
  <c r="AH31" i="3"/>
  <c r="N31" i="3"/>
  <c r="O31" i="3"/>
  <c r="P31" i="3" s="1"/>
  <c r="T31" i="3" s="1"/>
  <c r="M31" i="3"/>
  <c r="D24" i="2"/>
  <c r="M24" i="2"/>
  <c r="P24" i="2" s="1"/>
  <c r="N24" i="2"/>
  <c r="C461" i="8" l="1" a="1"/>
  <c r="C461" i="8" s="1"/>
  <c r="C458" i="8" a="1"/>
  <c r="C458" i="8" s="1"/>
  <c r="C459" i="8" s="1" a="1"/>
  <c r="C459" i="8" s="1"/>
  <c r="C460" i="8" s="1" a="1"/>
  <c r="C460" i="8" s="1"/>
  <c r="C467" i="8" s="1" a="1"/>
  <c r="C467" i="8" s="1"/>
  <c r="C468" i="8" s="1" a="1"/>
  <c r="C468" i="8" s="1"/>
  <c r="C457" i="8" a="1"/>
  <c r="C457" i="8" s="1"/>
  <c r="BT32" i="7"/>
  <c r="BU32" i="7" s="1" a="1"/>
  <c r="BU32" i="7" s="1"/>
  <c r="CE32" i="7"/>
  <c r="I33" i="7" s="1"/>
  <c r="J33" i="7"/>
  <c r="N30" i="5"/>
  <c r="Q30" i="5" s="1"/>
  <c r="R30" i="5" s="1" a="1"/>
  <c r="R30" i="5" s="1"/>
  <c r="D30" i="5"/>
  <c r="L30" i="5"/>
  <c r="O30" i="5" s="1"/>
  <c r="AB30" i="5" s="1" a="1"/>
  <c r="BF21" i="4"/>
  <c r="BA21" i="4"/>
  <c r="BB21" i="4"/>
  <c r="BC21" i="4"/>
  <c r="BE21" i="4"/>
  <c r="AZ21" i="4"/>
  <c r="AX21" i="4"/>
  <c r="BD21" i="4" s="1"/>
  <c r="AO31" i="3" a="1"/>
  <c r="S31" i="3"/>
  <c r="Q31" i="3"/>
  <c r="U31" i="3" s="1"/>
  <c r="E31" i="3"/>
  <c r="AB24" i="2" a="1"/>
  <c r="AB24" i="2" s="1"/>
  <c r="Q24" i="2"/>
  <c r="R24" i="2" s="1" a="1"/>
  <c r="R24" i="2" s="1"/>
  <c r="C462" i="8" l="1" a="1"/>
  <c r="C462" i="8" s="1"/>
  <c r="C464" i="8" a="1"/>
  <c r="C464" i="8" s="1"/>
  <c r="C465" i="8" s="1" a="1"/>
  <c r="C465" i="8" s="1"/>
  <c r="C466" i="8" s="1" a="1"/>
  <c r="C466" i="8" s="1"/>
  <c r="CD33" i="7"/>
  <c r="CA33" i="7"/>
  <c r="Q33" i="7"/>
  <c r="BX33" i="7"/>
  <c r="CB33" i="7"/>
  <c r="R33" i="7"/>
  <c r="BV33" i="7"/>
  <c r="BG33" i="7"/>
  <c r="BN33" i="7" s="1"/>
  <c r="BZ33" i="7"/>
  <c r="BW33" i="7"/>
  <c r="CC33" i="7"/>
  <c r="BY33" i="7"/>
  <c r="AB30" i="5"/>
  <c r="E31" i="5" s="1"/>
  <c r="F31" i="5"/>
  <c r="BI21" i="4"/>
  <c r="H22" i="4" s="1"/>
  <c r="BH21" i="4"/>
  <c r="G22" i="4" s="1"/>
  <c r="BG21" i="4"/>
  <c r="F22" i="4" s="1"/>
  <c r="BK22" i="4"/>
  <c r="AY22" i="4"/>
  <c r="AO31" i="3"/>
  <c r="X31" i="3" a="1"/>
  <c r="X31" i="3" s="1"/>
  <c r="W31" i="3"/>
  <c r="E25" i="2"/>
  <c r="F25" i="2"/>
  <c r="C469" i="8" l="1" a="1"/>
  <c r="C469" i="8" s="1"/>
  <c r="C470" i="8" s="1" a="1"/>
  <c r="C470" i="8" s="1"/>
  <c r="C471" i="8" s="1"/>
  <c r="E33" i="7"/>
  <c r="BM33" i="7"/>
  <c r="BH33" i="7"/>
  <c r="BO33" i="7" s="1"/>
  <c r="F32" i="3"/>
  <c r="AA32" i="3"/>
  <c r="Z32" i="3"/>
  <c r="AC32" i="3"/>
  <c r="J32" i="3"/>
  <c r="AL32" i="3"/>
  <c r="X31" i="5"/>
  <c r="H31" i="5"/>
  <c r="M31" i="5" s="1"/>
  <c r="P31" i="5" s="1"/>
  <c r="W31" i="5"/>
  <c r="J31" i="5"/>
  <c r="K31" i="5"/>
  <c r="AA31" i="5"/>
  <c r="AK22" i="4"/>
  <c r="AG22" i="4"/>
  <c r="AE22" i="4"/>
  <c r="AD22" i="4"/>
  <c r="O22" i="4"/>
  <c r="AL22" i="4"/>
  <c r="AP22" i="4"/>
  <c r="K22" i="4"/>
  <c r="AN22" i="4"/>
  <c r="J22" i="4"/>
  <c r="AI22" i="4"/>
  <c r="AF22" i="4"/>
  <c r="AM22" i="4"/>
  <c r="M22" i="4"/>
  <c r="AO22" i="4"/>
  <c r="N22" i="4"/>
  <c r="AR22" i="4"/>
  <c r="AC22" i="4"/>
  <c r="AJ32" i="3"/>
  <c r="AE32" i="3"/>
  <c r="K32" i="3"/>
  <c r="Y32" i="3"/>
  <c r="AN32" i="3"/>
  <c r="AK32" i="3"/>
  <c r="AB32" i="3"/>
  <c r="AI32" i="3"/>
  <c r="O32" i="3"/>
  <c r="P32" i="3" s="1"/>
  <c r="T32" i="3" s="1"/>
  <c r="N32" i="3"/>
  <c r="M32" i="3"/>
  <c r="AH32" i="3"/>
  <c r="V25" i="2"/>
  <c r="T25" i="2"/>
  <c r="Z25" i="2"/>
  <c r="Y25" i="2"/>
  <c r="K25" i="2"/>
  <c r="L25" i="2" s="1"/>
  <c r="O25" i="2" s="1"/>
  <c r="I25" i="2"/>
  <c r="S25" i="2"/>
  <c r="AA25" i="2"/>
  <c r="X25" i="2"/>
  <c r="W25" i="2"/>
  <c r="J25" i="2"/>
  <c r="U25" i="2"/>
  <c r="BT33" i="7" l="1"/>
  <c r="BU33" i="7" s="1" a="1"/>
  <c r="BU33" i="7" s="1"/>
  <c r="CE33" i="7" a="1"/>
  <c r="E32" i="3"/>
  <c r="R32" i="3"/>
  <c r="V32" i="3" s="1"/>
  <c r="AG32" i="3"/>
  <c r="N31" i="5"/>
  <c r="D31" i="5"/>
  <c r="L31" i="5"/>
  <c r="O31" i="5" s="1"/>
  <c r="AB31" i="5" s="1" a="1"/>
  <c r="Q22" i="4"/>
  <c r="U22" i="4" s="1"/>
  <c r="E22" i="4"/>
  <c r="S22" i="4"/>
  <c r="R22" i="4"/>
  <c r="V22" i="4" s="1"/>
  <c r="P22" i="4"/>
  <c r="T22" i="4" s="1"/>
  <c r="AO32" i="3" a="1"/>
  <c r="S32" i="3"/>
  <c r="W32" i="3" s="1"/>
  <c r="Q32" i="3"/>
  <c r="U32" i="3" s="1"/>
  <c r="X32" i="3" s="1" a="1"/>
  <c r="X32" i="3" s="1"/>
  <c r="M25" i="2"/>
  <c r="N25" i="2"/>
  <c r="D25" i="2"/>
  <c r="P25" i="2"/>
  <c r="AB25" i="2" s="1" a="1"/>
  <c r="AB25" i="2" s="1"/>
  <c r="CE33" i="7" l="1"/>
  <c r="I34" i="7" s="1"/>
  <c r="J34" i="7"/>
  <c r="AB31" i="5"/>
  <c r="E32" i="5" s="1"/>
  <c r="F32" i="5"/>
  <c r="Q31" i="5"/>
  <c r="R31" i="5" s="1" a="1"/>
  <c r="R31" i="5" s="1"/>
  <c r="AS22" i="4" a="1"/>
  <c r="AS22" i="4" s="1"/>
  <c r="W22" i="4"/>
  <c r="X22" i="4" s="1" a="1"/>
  <c r="X22" i="4" s="1"/>
  <c r="AO32" i="3"/>
  <c r="F33" i="3" s="1"/>
  <c r="Q25" i="2"/>
  <c r="R25" i="2" s="1" a="1"/>
  <c r="R25" i="2" s="1"/>
  <c r="BG34" i="7" l="1"/>
  <c r="BN34" i="7" s="1"/>
  <c r="CD34" i="7"/>
  <c r="CA34" i="7"/>
  <c r="BV34" i="7"/>
  <c r="BX34" i="7"/>
  <c r="R34" i="7"/>
  <c r="CB34" i="7"/>
  <c r="Q34" i="7"/>
  <c r="BZ34" i="7"/>
  <c r="BW34" i="7"/>
  <c r="CC34" i="7"/>
  <c r="BY34" i="7"/>
  <c r="H32" i="5"/>
  <c r="M32" i="5" s="1"/>
  <c r="P32" i="5" s="1"/>
  <c r="X32" i="5"/>
  <c r="J32" i="5"/>
  <c r="AA32" i="5"/>
  <c r="K32" i="5"/>
  <c r="W32" i="5"/>
  <c r="AB22" i="4" a="1"/>
  <c r="AB22" i="4" s="1"/>
  <c r="AX22" i="4" s="1"/>
  <c r="BD22" i="4" s="1"/>
  <c r="AJ33" i="3"/>
  <c r="AE33" i="3"/>
  <c r="K33" i="3"/>
  <c r="AN33" i="3"/>
  <c r="N33" i="3"/>
  <c r="Y33" i="3"/>
  <c r="AK33" i="3"/>
  <c r="AB33" i="3"/>
  <c r="M33" i="3"/>
  <c r="E26" i="2"/>
  <c r="F26" i="2"/>
  <c r="BH34" i="7" l="1"/>
  <c r="BO34" i="7" s="1"/>
  <c r="CE34" i="7" s="1" a="1"/>
  <c r="E34" i="7"/>
  <c r="BM34" i="7"/>
  <c r="D32" i="5"/>
  <c r="N32" i="5"/>
  <c r="Q32" i="5" s="1"/>
  <c r="L32" i="5"/>
  <c r="O32" i="5" s="1"/>
  <c r="AB32" i="5" s="1" a="1"/>
  <c r="AW22" i="4"/>
  <c r="O33" i="3"/>
  <c r="S33" i="3" s="1"/>
  <c r="J33" i="3"/>
  <c r="R33" i="3" s="1"/>
  <c r="V33" i="3" s="1"/>
  <c r="AA33" i="3"/>
  <c r="AG33" i="3"/>
  <c r="AC33" i="3"/>
  <c r="Z33" i="3"/>
  <c r="AH33" i="3"/>
  <c r="AL33" i="3"/>
  <c r="AI33" i="3"/>
  <c r="E33" i="3"/>
  <c r="V26" i="2"/>
  <c r="T26" i="2"/>
  <c r="Z26" i="2"/>
  <c r="Y26" i="2"/>
  <c r="J26" i="2"/>
  <c r="I26" i="2"/>
  <c r="AA26" i="2"/>
  <c r="U26" i="2"/>
  <c r="K26" i="2"/>
  <c r="L26" i="2" s="1"/>
  <c r="O26" i="2" s="1"/>
  <c r="W26" i="2"/>
  <c r="X26" i="2"/>
  <c r="S26" i="2"/>
  <c r="BT34" i="7" l="1"/>
  <c r="BU34" i="7" s="1" a="1"/>
  <c r="BU34" i="7" s="1"/>
  <c r="CE34" i="7"/>
  <c r="I35" i="7" s="1"/>
  <c r="J35" i="7"/>
  <c r="Q33" i="3"/>
  <c r="U33" i="3" s="1"/>
  <c r="W33" i="3"/>
  <c r="AO33" i="3" a="1"/>
  <c r="AO33" i="3" s="1"/>
  <c r="F34" i="3" s="1"/>
  <c r="AB32" i="5"/>
  <c r="E33" i="5" s="1"/>
  <c r="F33" i="5"/>
  <c r="R32" i="5" a="1"/>
  <c r="R32" i="5" s="1"/>
  <c r="BB22" i="4"/>
  <c r="BE22" i="4"/>
  <c r="AZ22" i="4"/>
  <c r="BF22" i="4"/>
  <c r="BA22" i="4"/>
  <c r="BC22" i="4"/>
  <c r="P33" i="3"/>
  <c r="T33" i="3" s="1"/>
  <c r="X33" i="3" s="1" a="1"/>
  <c r="X33" i="3" s="1"/>
  <c r="M26" i="2"/>
  <c r="P26" i="2" s="1"/>
  <c r="AB26" i="2" s="1" a="1"/>
  <c r="AB26" i="2" s="1"/>
  <c r="N26" i="2"/>
  <c r="D26" i="2"/>
  <c r="CD35" i="7" l="1"/>
  <c r="CA35" i="7"/>
  <c r="CB35" i="7"/>
  <c r="R35" i="7"/>
  <c r="BV35" i="7"/>
  <c r="BX35" i="7"/>
  <c r="Q35" i="7"/>
  <c r="BG35" i="7"/>
  <c r="BN35" i="7" s="1"/>
  <c r="BZ35" i="7"/>
  <c r="BW35" i="7"/>
  <c r="CC35" i="7"/>
  <c r="BY35" i="7"/>
  <c r="J34" i="3"/>
  <c r="AL34" i="3"/>
  <c r="AC34" i="3"/>
  <c r="AA34" i="3"/>
  <c r="Z34" i="3"/>
  <c r="AG34" i="3"/>
  <c r="X33" i="5"/>
  <c r="H33" i="5"/>
  <c r="M33" i="5" s="1"/>
  <c r="P33" i="5" s="1"/>
  <c r="AA33" i="5"/>
  <c r="W33" i="5"/>
  <c r="J33" i="5"/>
  <c r="K33" i="5"/>
  <c r="BI22" i="4"/>
  <c r="H23" i="4" s="1"/>
  <c r="AI23" i="4" s="1"/>
  <c r="BH22" i="4"/>
  <c r="G23" i="4" s="1"/>
  <c r="BG22" i="4"/>
  <c r="BK23" i="4"/>
  <c r="AY23" i="4"/>
  <c r="AH34" i="3"/>
  <c r="N34" i="3"/>
  <c r="AE34" i="3"/>
  <c r="AJ34" i="3"/>
  <c r="K34" i="3"/>
  <c r="R34" i="3" s="1"/>
  <c r="V34" i="3" s="1"/>
  <c r="AI34" i="3"/>
  <c r="Y34" i="3"/>
  <c r="AK34" i="3"/>
  <c r="AN34" i="3"/>
  <c r="AB34" i="3"/>
  <c r="O34" i="3"/>
  <c r="P34" i="3" s="1"/>
  <c r="T34" i="3" s="1"/>
  <c r="M34" i="3"/>
  <c r="Q26" i="2"/>
  <c r="R26" i="2" s="1" a="1"/>
  <c r="R26" i="2" s="1"/>
  <c r="BH35" i="7" l="1"/>
  <c r="BO35" i="7" s="1"/>
  <c r="CE35" i="7" s="1" a="1"/>
  <c r="E35" i="7"/>
  <c r="BM35" i="7"/>
  <c r="D33" i="5"/>
  <c r="N33" i="5"/>
  <c r="Q33" i="5" s="1"/>
  <c r="R33" i="5" s="1" a="1"/>
  <c r="R33" i="5" s="1"/>
  <c r="L33" i="5"/>
  <c r="O33" i="5" s="1"/>
  <c r="AB33" i="5" s="1" a="1"/>
  <c r="AN23" i="4"/>
  <c r="K23" i="4"/>
  <c r="F23" i="4"/>
  <c r="AM23" i="4" s="1"/>
  <c r="N23" i="4"/>
  <c r="M23" i="4"/>
  <c r="AF23" i="4"/>
  <c r="AO23" i="4"/>
  <c r="AC23" i="4"/>
  <c r="Q34" i="3"/>
  <c r="U34" i="3" s="1"/>
  <c r="AO34" i="3" s="1" a="1"/>
  <c r="S34" i="3"/>
  <c r="E34" i="3"/>
  <c r="E27" i="2"/>
  <c r="F27" i="2"/>
  <c r="BT35" i="7" l="1"/>
  <c r="BU35" i="7" s="1" a="1"/>
  <c r="BU35" i="7" s="1"/>
  <c r="CE35" i="7"/>
  <c r="I36" i="7" s="1"/>
  <c r="J36" i="7"/>
  <c r="AB33" i="5"/>
  <c r="E34" i="5" s="1"/>
  <c r="F34" i="5"/>
  <c r="O23" i="4"/>
  <c r="Q23" i="4" s="1"/>
  <c r="U23" i="4" s="1"/>
  <c r="AR23" i="4"/>
  <c r="AG23" i="4"/>
  <c r="AK23" i="4"/>
  <c r="AE23" i="4"/>
  <c r="AD23" i="4"/>
  <c r="AP23" i="4"/>
  <c r="AL23" i="4"/>
  <c r="J23" i="4"/>
  <c r="R23" i="4" s="1"/>
  <c r="V23" i="4" s="1"/>
  <c r="AO34" i="3"/>
  <c r="F35" i="3" s="1"/>
  <c r="W34" i="3"/>
  <c r="X34" i="3" s="1" a="1"/>
  <c r="X34" i="3" s="1"/>
  <c r="T27" i="2"/>
  <c r="Z27" i="2"/>
  <c r="V27" i="2"/>
  <c r="U27" i="2"/>
  <c r="J27" i="2"/>
  <c r="S27" i="2"/>
  <c r="W27" i="2"/>
  <c r="K27" i="2"/>
  <c r="L27" i="2" s="1"/>
  <c r="O27" i="2" s="1"/>
  <c r="I27" i="2"/>
  <c r="AA27" i="2"/>
  <c r="X27" i="2"/>
  <c r="Y27" i="2"/>
  <c r="CD36" i="7" l="1"/>
  <c r="CA36" i="7"/>
  <c r="R36" i="7"/>
  <c r="BX36" i="7"/>
  <c r="Q36" i="7"/>
  <c r="BV36" i="7"/>
  <c r="CB36" i="7"/>
  <c r="BZ36" i="7"/>
  <c r="BW36" i="7"/>
  <c r="BG36" i="7"/>
  <c r="BN36" i="7" s="1"/>
  <c r="BY36" i="7"/>
  <c r="CC36" i="7"/>
  <c r="H34" i="5"/>
  <c r="M34" i="5" s="1"/>
  <c r="P34" i="5" s="1"/>
  <c r="X34" i="5"/>
  <c r="W34" i="5"/>
  <c r="K34" i="5"/>
  <c r="AA34" i="5"/>
  <c r="J34" i="5"/>
  <c r="E23" i="4"/>
  <c r="S23" i="4"/>
  <c r="P23" i="4"/>
  <c r="T23" i="4" s="1"/>
  <c r="AS23" i="4" s="1" a="1"/>
  <c r="Z35" i="3"/>
  <c r="AJ35" i="3"/>
  <c r="AE35" i="3"/>
  <c r="K35" i="3"/>
  <c r="AK35" i="3"/>
  <c r="AB35" i="3"/>
  <c r="Y35" i="3"/>
  <c r="M35" i="3"/>
  <c r="N35" i="3"/>
  <c r="M27" i="2"/>
  <c r="P27" i="2" s="1"/>
  <c r="AB27" i="2" s="1" a="1"/>
  <c r="AB27" i="2" s="1"/>
  <c r="D27" i="2"/>
  <c r="N27" i="2"/>
  <c r="BM36" i="7" l="1"/>
  <c r="E36" i="7"/>
  <c r="BH36" i="7"/>
  <c r="BO36" i="7" s="1"/>
  <c r="CE36" i="7" s="1" a="1"/>
  <c r="AA35" i="3"/>
  <c r="AH35" i="3"/>
  <c r="AG35" i="3"/>
  <c r="O35" i="3"/>
  <c r="E35" i="3" s="1"/>
  <c r="AN35" i="3"/>
  <c r="AI35" i="3"/>
  <c r="AL35" i="3"/>
  <c r="D34" i="5"/>
  <c r="N34" i="5"/>
  <c r="L34" i="5"/>
  <c r="O34" i="5" s="1"/>
  <c r="AB34" i="5" s="1" a="1"/>
  <c r="W23" i="4"/>
  <c r="AB23" i="4" s="1" a="1"/>
  <c r="AB23" i="4" s="1"/>
  <c r="AW23" i="4" s="1"/>
  <c r="AS23" i="4"/>
  <c r="J35" i="3"/>
  <c r="R35" i="3" s="1"/>
  <c r="V35" i="3" s="1"/>
  <c r="AC35" i="3"/>
  <c r="S35" i="3"/>
  <c r="Q35" i="3"/>
  <c r="U35" i="3" s="1"/>
  <c r="Q27" i="2"/>
  <c r="R27" i="2" s="1" a="1"/>
  <c r="R27" i="2" s="1"/>
  <c r="CE36" i="7" l="1"/>
  <c r="I37" i="7" s="1"/>
  <c r="J37" i="7"/>
  <c r="BT36" i="7"/>
  <c r="BU36" i="7" s="1" a="1"/>
  <c r="BU36" i="7" s="1"/>
  <c r="P35" i="3"/>
  <c r="T35" i="3" s="1"/>
  <c r="AB34" i="5"/>
  <c r="E35" i="5" s="1"/>
  <c r="F35" i="5"/>
  <c r="Q34" i="5"/>
  <c r="R34" i="5" s="1" a="1"/>
  <c r="R34" i="5" s="1"/>
  <c r="X23" i="4" a="1"/>
  <c r="X23" i="4" s="1"/>
  <c r="BE23" i="4"/>
  <c r="BF23" i="4"/>
  <c r="BB23" i="4"/>
  <c r="BA23" i="4"/>
  <c r="BC23" i="4"/>
  <c r="AZ23" i="4"/>
  <c r="AX23" i="4"/>
  <c r="BD23" i="4" s="1"/>
  <c r="AO35" i="3" a="1"/>
  <c r="W35" i="3"/>
  <c r="X35" i="3" s="1" a="1"/>
  <c r="X35" i="3" s="1"/>
  <c r="E28" i="2"/>
  <c r="F28" i="2"/>
  <c r="CD37" i="7" l="1"/>
  <c r="CA37" i="7"/>
  <c r="CB37" i="7"/>
  <c r="R37" i="7"/>
  <c r="Q37" i="7"/>
  <c r="BV37" i="7"/>
  <c r="BX37" i="7"/>
  <c r="BZ37" i="7"/>
  <c r="BW37" i="7"/>
  <c r="BG37" i="7"/>
  <c r="BN37" i="7" s="1"/>
  <c r="CC37" i="7"/>
  <c r="BY37" i="7"/>
  <c r="H35" i="5"/>
  <c r="M35" i="5" s="1"/>
  <c r="P35" i="5" s="1"/>
  <c r="X35" i="5"/>
  <c r="W35" i="5"/>
  <c r="K35" i="5"/>
  <c r="AA35" i="5"/>
  <c r="L35" i="5"/>
  <c r="O35" i="5" s="1"/>
  <c r="AB35" i="5" s="1" a="1"/>
  <c r="AB35" i="5" s="1"/>
  <c r="E36" i="5" s="1"/>
  <c r="J35" i="5"/>
  <c r="BK24" i="4"/>
  <c r="BG23" i="4"/>
  <c r="F24" i="4" s="1"/>
  <c r="BI23" i="4"/>
  <c r="H24" i="4" s="1"/>
  <c r="BH23" i="4"/>
  <c r="G24" i="4" s="1"/>
  <c r="BC24" i="4"/>
  <c r="BB24" i="4"/>
  <c r="BA24" i="4"/>
  <c r="AZ24" i="4"/>
  <c r="BE24" i="4"/>
  <c r="BF24" i="4"/>
  <c r="BD24" i="4"/>
  <c r="AY24" i="4"/>
  <c r="AO35" i="3"/>
  <c r="F36" i="3" s="1"/>
  <c r="N36" i="3"/>
  <c r="T28" i="2"/>
  <c r="Z28" i="2"/>
  <c r="V28" i="2"/>
  <c r="U28" i="2"/>
  <c r="K28" i="2"/>
  <c r="L28" i="2" s="1"/>
  <c r="O28" i="2" s="1"/>
  <c r="J28" i="2"/>
  <c r="X28" i="2"/>
  <c r="I28" i="2"/>
  <c r="W28" i="2"/>
  <c r="Y28" i="2"/>
  <c r="S28" i="2"/>
  <c r="AA28" i="2"/>
  <c r="E37" i="7" l="1"/>
  <c r="BM37" i="7"/>
  <c r="BH37" i="7"/>
  <c r="BO37" i="7" s="1"/>
  <c r="W36" i="5"/>
  <c r="J36" i="5"/>
  <c r="K36" i="5"/>
  <c r="L36" i="5" s="1"/>
  <c r="O36" i="5" s="1"/>
  <c r="D35" i="5"/>
  <c r="N35" i="5"/>
  <c r="F36" i="5"/>
  <c r="BK25" i="4"/>
  <c r="M24" i="4"/>
  <c r="AO24" i="4"/>
  <c r="AF24" i="4"/>
  <c r="AC24" i="4"/>
  <c r="N24" i="4"/>
  <c r="AM24" i="4"/>
  <c r="AR24" i="4"/>
  <c r="AP24" i="4"/>
  <c r="AG24" i="4"/>
  <c r="AE24" i="4"/>
  <c r="AL24" i="4"/>
  <c r="AD24" i="4"/>
  <c r="O24" i="4"/>
  <c r="AK24" i="4"/>
  <c r="J24" i="4"/>
  <c r="AN24" i="4"/>
  <c r="K24" i="4"/>
  <c r="AI24" i="4"/>
  <c r="AJ36" i="3"/>
  <c r="AE36" i="3"/>
  <c r="K36" i="3"/>
  <c r="M36" i="3"/>
  <c r="AI36" i="3"/>
  <c r="AK36" i="3"/>
  <c r="AB36" i="3"/>
  <c r="Y36" i="3"/>
  <c r="M28" i="2"/>
  <c r="P28" i="2" s="1"/>
  <c r="AB28" i="2" s="1" a="1"/>
  <c r="AB28" i="2" s="1"/>
  <c r="N28" i="2"/>
  <c r="D28" i="2"/>
  <c r="BT37" i="7" l="1"/>
  <c r="BU37" i="7" s="1" a="1"/>
  <c r="BU37" i="7" s="1"/>
  <c r="CE37" i="7" a="1"/>
  <c r="CE37" i="7" s="1"/>
  <c r="I38" i="7" s="1"/>
  <c r="Q35" i="5"/>
  <c r="R35" i="5" s="1" a="1"/>
  <c r="R35" i="5" s="1"/>
  <c r="AB36" i="5" a="1"/>
  <c r="AB36" i="5" s="1"/>
  <c r="X36" i="5"/>
  <c r="H36" i="5"/>
  <c r="M36" i="5" s="1"/>
  <c r="P36" i="5" s="1"/>
  <c r="AA36" i="5"/>
  <c r="D36" i="5"/>
  <c r="N36" i="5"/>
  <c r="Q36" i="5" s="1"/>
  <c r="R36" i="5" s="1" a="1"/>
  <c r="R36" i="5" s="1"/>
  <c r="R24" i="4"/>
  <c r="V24" i="4" s="1"/>
  <c r="P24" i="4"/>
  <c r="T24" i="4" s="1"/>
  <c r="Q24" i="4"/>
  <c r="U24" i="4" s="1"/>
  <c r="E24" i="4"/>
  <c r="S24" i="4"/>
  <c r="AG36" i="3"/>
  <c r="AA36" i="3"/>
  <c r="O36" i="3"/>
  <c r="AH36" i="3"/>
  <c r="AL36" i="3"/>
  <c r="AC36" i="3"/>
  <c r="Z36" i="3"/>
  <c r="AO36" i="3" s="1" a="1"/>
  <c r="J36" i="3"/>
  <c r="R36" i="3" s="1"/>
  <c r="V36" i="3" s="1"/>
  <c r="AN36" i="3"/>
  <c r="Q28" i="2"/>
  <c r="R28" i="2" s="1" a="1"/>
  <c r="R28" i="2" s="1"/>
  <c r="J38" i="7" l="1"/>
  <c r="CD38" i="7" s="1"/>
  <c r="BW38" i="7"/>
  <c r="BY38" i="7"/>
  <c r="CC38" i="7"/>
  <c r="F37" i="5"/>
  <c r="E37" i="5"/>
  <c r="AS24" i="4" a="1"/>
  <c r="W24" i="4"/>
  <c r="X24" i="4" s="1" a="1"/>
  <c r="X24" i="4" s="1"/>
  <c r="AO36" i="3"/>
  <c r="F37" i="3" s="1"/>
  <c r="M37" i="3"/>
  <c r="Q36" i="3"/>
  <c r="U36" i="3" s="1"/>
  <c r="S36" i="3"/>
  <c r="P36" i="3"/>
  <c r="T36" i="3" s="1"/>
  <c r="X36" i="3" s="1" a="1"/>
  <c r="X36" i="3" s="1"/>
  <c r="E36" i="3"/>
  <c r="AK37" i="3"/>
  <c r="E29" i="2"/>
  <c r="F29" i="2"/>
  <c r="BZ38" i="7" l="1"/>
  <c r="Q38" i="7"/>
  <c r="R38" i="7"/>
  <c r="CB38" i="7"/>
  <c r="BV38" i="7"/>
  <c r="BX38" i="7"/>
  <c r="CA38" i="7"/>
  <c r="BG38" i="7"/>
  <c r="BN38" i="7" s="1"/>
  <c r="AA37" i="5"/>
  <c r="K37" i="5"/>
  <c r="W37" i="5"/>
  <c r="J37" i="5"/>
  <c r="X37" i="5"/>
  <c r="H37" i="5"/>
  <c r="M37" i="5" s="1"/>
  <c r="P37" i="5" s="1"/>
  <c r="AB24" i="4" a="1"/>
  <c r="AB24" i="4" s="1"/>
  <c r="AW24" i="4" s="1"/>
  <c r="AS24" i="4"/>
  <c r="BG24" i="4" s="1"/>
  <c r="F25" i="4" s="1"/>
  <c r="BI24" i="4"/>
  <c r="H25" i="4" s="1"/>
  <c r="BH24" i="4"/>
  <c r="G25" i="4" s="1"/>
  <c r="AY25" i="4"/>
  <c r="N37" i="3"/>
  <c r="AN37" i="3"/>
  <c r="Y37" i="3"/>
  <c r="AI37" i="3"/>
  <c r="O37" i="3"/>
  <c r="Q37" i="3" s="1"/>
  <c r="U37" i="3" s="1"/>
  <c r="AE37" i="3"/>
  <c r="AJ37" i="3"/>
  <c r="K37" i="3"/>
  <c r="J37" i="3"/>
  <c r="W36" i="3"/>
  <c r="AB37" i="3"/>
  <c r="Z37" i="3"/>
  <c r="AG37" i="3"/>
  <c r="AA37" i="3"/>
  <c r="AH37" i="3"/>
  <c r="AC37" i="3"/>
  <c r="AL37" i="3"/>
  <c r="T29" i="2"/>
  <c r="Z29" i="2"/>
  <c r="V29" i="2"/>
  <c r="W29" i="2"/>
  <c r="U29" i="2"/>
  <c r="I29" i="2"/>
  <c r="K29" i="2"/>
  <c r="L29" i="2" s="1"/>
  <c r="O29" i="2" s="1"/>
  <c r="J29" i="2"/>
  <c r="X29" i="2"/>
  <c r="Y29" i="2"/>
  <c r="AA29" i="2"/>
  <c r="S29" i="2"/>
  <c r="E38" i="7" l="1"/>
  <c r="BM38" i="7"/>
  <c r="BH38" i="7"/>
  <c r="BO38" i="7" s="1"/>
  <c r="CE38" i="7" s="1" a="1"/>
  <c r="CE38" i="7" s="1"/>
  <c r="I39" i="7" s="1"/>
  <c r="N37" i="5"/>
  <c r="D37" i="5"/>
  <c r="L37" i="5"/>
  <c r="O37" i="5" s="1"/>
  <c r="AX24" i="4"/>
  <c r="AO37" i="3" a="1"/>
  <c r="AO37" i="3" s="1"/>
  <c r="F38" i="3" s="1"/>
  <c r="R37" i="3"/>
  <c r="V37" i="3" s="1"/>
  <c r="S37" i="3"/>
  <c r="E37" i="3"/>
  <c r="P37" i="3"/>
  <c r="T37" i="3" s="1"/>
  <c r="D29" i="2"/>
  <c r="M29" i="2"/>
  <c r="N29" i="2"/>
  <c r="P29" i="2"/>
  <c r="AB29" i="2" s="1" a="1"/>
  <c r="AB29" i="2" s="1"/>
  <c r="BT38" i="7" l="1"/>
  <c r="BU38" i="7" s="1" a="1"/>
  <c r="BU38" i="7" s="1"/>
  <c r="J39" i="7"/>
  <c r="R39" i="7" s="1"/>
  <c r="BW39" i="7"/>
  <c r="BY39" i="7"/>
  <c r="CC39" i="7"/>
  <c r="W37" i="3"/>
  <c r="AB37" i="5" a="1"/>
  <c r="Q37" i="5"/>
  <c r="R37" i="5" s="1" a="1"/>
  <c r="R37" i="5" s="1"/>
  <c r="J25" i="4"/>
  <c r="K25" i="4"/>
  <c r="AN25" i="4"/>
  <c r="AI25" i="4"/>
  <c r="AF25" i="4"/>
  <c r="N25" i="4"/>
  <c r="AR25" i="4"/>
  <c r="AC25" i="4"/>
  <c r="AM25" i="4"/>
  <c r="M25" i="4"/>
  <c r="AO25" i="4"/>
  <c r="AK25" i="4"/>
  <c r="AD25" i="4"/>
  <c r="AP25" i="4"/>
  <c r="AG25" i="4"/>
  <c r="AL25" i="4"/>
  <c r="O25" i="4"/>
  <c r="AE25" i="4"/>
  <c r="AA38" i="3"/>
  <c r="X37" i="3" a="1"/>
  <c r="X37" i="3" s="1"/>
  <c r="AH38" i="3"/>
  <c r="AJ38" i="3"/>
  <c r="AE38" i="3"/>
  <c r="K38" i="3"/>
  <c r="AK38" i="3"/>
  <c r="AB38" i="3"/>
  <c r="Y38" i="3"/>
  <c r="N38" i="3"/>
  <c r="M38" i="3"/>
  <c r="Q29" i="2"/>
  <c r="R29" i="2" s="1" a="1"/>
  <c r="R29" i="2" s="1"/>
  <c r="BG39" i="7" l="1"/>
  <c r="BN39" i="7" s="1"/>
  <c r="Q39" i="7"/>
  <c r="BV39" i="7"/>
  <c r="CB39" i="7"/>
  <c r="BX39" i="7"/>
  <c r="CA39" i="7"/>
  <c r="BZ39" i="7"/>
  <c r="CD39" i="7"/>
  <c r="AN38" i="3"/>
  <c r="AI38" i="3"/>
  <c r="AB37" i="5"/>
  <c r="E38" i="5" s="1"/>
  <c r="F38" i="5"/>
  <c r="P25" i="4"/>
  <c r="T25" i="4" s="1"/>
  <c r="AB25" i="4" s="1" a="1"/>
  <c r="AB25" i="4" s="1"/>
  <c r="AW25" i="4" s="1"/>
  <c r="R25" i="4"/>
  <c r="V25" i="4" s="1"/>
  <c r="Q25" i="4"/>
  <c r="U25" i="4" s="1"/>
  <c r="E25" i="4"/>
  <c r="S25" i="4"/>
  <c r="J38" i="3"/>
  <c r="R38" i="3" s="1"/>
  <c r="V38" i="3" s="1"/>
  <c r="AL38" i="3"/>
  <c r="Z38" i="3"/>
  <c r="AG38" i="3"/>
  <c r="O38" i="3"/>
  <c r="S38" i="3" s="1"/>
  <c r="AC38" i="3"/>
  <c r="AO38" i="3" a="1"/>
  <c r="E30" i="2"/>
  <c r="F30" i="2"/>
  <c r="BM39" i="7" l="1"/>
  <c r="E39" i="7"/>
  <c r="BH39" i="7"/>
  <c r="BO39" i="7" s="1"/>
  <c r="CE39" i="7" a="1"/>
  <c r="CE39" i="7" s="1"/>
  <c r="X38" i="5"/>
  <c r="H38" i="5"/>
  <c r="M38" i="5" s="1"/>
  <c r="P38" i="5" s="1"/>
  <c r="W38" i="5"/>
  <c r="J38" i="5"/>
  <c r="L38" i="5" s="1"/>
  <c r="O38" i="5" s="1"/>
  <c r="AB38" i="5" s="1" a="1"/>
  <c r="AA38" i="5"/>
  <c r="K38" i="5"/>
  <c r="AS25" i="4" a="1"/>
  <c r="AS25" i="4" s="1"/>
  <c r="AX25" i="4"/>
  <c r="BD25" i="4" s="1"/>
  <c r="BB25" i="4"/>
  <c r="BE25" i="4"/>
  <c r="BC25" i="4"/>
  <c r="AZ25" i="4"/>
  <c r="BA25" i="4"/>
  <c r="BF25" i="4"/>
  <c r="W25" i="4"/>
  <c r="X25" i="4" s="1" a="1"/>
  <c r="X25" i="4" s="1"/>
  <c r="E38" i="3"/>
  <c r="W38" i="3" s="1"/>
  <c r="X38" i="3" s="1" a="1"/>
  <c r="X38" i="3" s="1"/>
  <c r="P38" i="3"/>
  <c r="T38" i="3" s="1"/>
  <c r="Q38" i="3"/>
  <c r="U38" i="3" s="1"/>
  <c r="AO38" i="3"/>
  <c r="F39" i="3" s="1"/>
  <c r="V30" i="2"/>
  <c r="Z30" i="2"/>
  <c r="T30" i="2"/>
  <c r="W30" i="2"/>
  <c r="J30" i="2"/>
  <c r="I30" i="2"/>
  <c r="U30" i="2"/>
  <c r="AA30" i="2"/>
  <c r="X30" i="2"/>
  <c r="K30" i="2"/>
  <c r="L30" i="2" s="1"/>
  <c r="O30" i="2" s="1"/>
  <c r="S30" i="2"/>
  <c r="Y30" i="2"/>
  <c r="BT39" i="7" l="1"/>
  <c r="BU39" i="7" a="1"/>
  <c r="BU39" i="7" s="1"/>
  <c r="AB38" i="5"/>
  <c r="E39" i="5" s="1"/>
  <c r="F39" i="5"/>
  <c r="D38" i="5"/>
  <c r="N38" i="5"/>
  <c r="Q38" i="5" s="1"/>
  <c r="R38" i="5" s="1" a="1"/>
  <c r="R38" i="5" s="1"/>
  <c r="BI25" i="4"/>
  <c r="BH25" i="4"/>
  <c r="BG25" i="4"/>
  <c r="BF26" i="4"/>
  <c r="BE26" i="4"/>
  <c r="BD26" i="4"/>
  <c r="BA26" i="4"/>
  <c r="AZ26" i="4"/>
  <c r="BC26" i="4"/>
  <c r="BB26" i="4"/>
  <c r="H26" i="4"/>
  <c r="G26" i="4"/>
  <c r="F26" i="4"/>
  <c r="AY26" i="4"/>
  <c r="O39" i="3"/>
  <c r="AA39" i="3"/>
  <c r="K39" i="3"/>
  <c r="AJ39" i="3"/>
  <c r="AE39" i="3"/>
  <c r="M39" i="3"/>
  <c r="Y39" i="3"/>
  <c r="N39" i="3"/>
  <c r="AB39" i="3"/>
  <c r="AK39" i="3"/>
  <c r="M30" i="2"/>
  <c r="N30" i="2"/>
  <c r="D30" i="2"/>
  <c r="P30" i="2"/>
  <c r="AB30" i="2" s="1" a="1"/>
  <c r="AB30" i="2" s="1"/>
  <c r="AL39" i="3" l="1"/>
  <c r="J39" i="3"/>
  <c r="AH39" i="3"/>
  <c r="AG39" i="3"/>
  <c r="AI39" i="3"/>
  <c r="AC39" i="3"/>
  <c r="H39" i="5"/>
  <c r="M39" i="5" s="1"/>
  <c r="P39" i="5" s="1"/>
  <c r="X39" i="5"/>
  <c r="AA39" i="5"/>
  <c r="J39" i="5"/>
  <c r="K39" i="5"/>
  <c r="W39" i="5"/>
  <c r="BI26" i="4"/>
  <c r="BH26" i="4"/>
  <c r="BG26" i="4"/>
  <c r="BE27" i="4"/>
  <c r="BD27" i="4"/>
  <c r="BB27" i="4"/>
  <c r="AZ27" i="4"/>
  <c r="BF27" i="4"/>
  <c r="BC27" i="4"/>
  <c r="BA27" i="4"/>
  <c r="G27" i="4"/>
  <c r="H27" i="4"/>
  <c r="F27" i="4"/>
  <c r="AK26" i="4"/>
  <c r="AP26" i="4"/>
  <c r="AG26" i="4"/>
  <c r="O26" i="4"/>
  <c r="AL26" i="4"/>
  <c r="AD26" i="4"/>
  <c r="AE26" i="4"/>
  <c r="K26" i="4"/>
  <c r="J26" i="4"/>
  <c r="AN26" i="4"/>
  <c r="AI26" i="4"/>
  <c r="N26" i="4"/>
  <c r="M26" i="4"/>
  <c r="AO26" i="4"/>
  <c r="AR26" i="4"/>
  <c r="AC26" i="4"/>
  <c r="AF26" i="4"/>
  <c r="AM26" i="4"/>
  <c r="AN39" i="3"/>
  <c r="Z39" i="3"/>
  <c r="AO39" i="3" s="1" a="1"/>
  <c r="R39" i="3"/>
  <c r="V39" i="3" s="1"/>
  <c r="S39" i="3"/>
  <c r="P39" i="3"/>
  <c r="T39" i="3" s="1"/>
  <c r="E39" i="3"/>
  <c r="Q39" i="3"/>
  <c r="U39" i="3" s="1"/>
  <c r="Q30" i="2"/>
  <c r="R30" i="2" s="1" a="1"/>
  <c r="R30" i="2" s="1"/>
  <c r="X39" i="3" l="1" a="1"/>
  <c r="X39" i="3" s="1"/>
  <c r="D39" i="5"/>
  <c r="N39" i="5"/>
  <c r="Q39" i="5" s="1"/>
  <c r="R39" i="5" s="1" a="1"/>
  <c r="R39" i="5" s="1"/>
  <c r="L39" i="5"/>
  <c r="O39" i="5" s="1"/>
  <c r="AB39" i="5" s="1" a="1"/>
  <c r="BI27" i="4"/>
  <c r="BH27" i="4"/>
  <c r="BG27" i="4"/>
  <c r="BF28" i="4"/>
  <c r="BD28" i="4"/>
  <c r="AZ28" i="4"/>
  <c r="BC28" i="4"/>
  <c r="BB28" i="4"/>
  <c r="BA28" i="4"/>
  <c r="BE28" i="4"/>
  <c r="G28" i="4"/>
  <c r="F28" i="4"/>
  <c r="H28" i="4"/>
  <c r="P26" i="4"/>
  <c r="T26" i="4" s="1"/>
  <c r="AB26" i="4" s="1" a="1"/>
  <c r="AB26" i="4" s="1"/>
  <c r="AW26" i="4" s="1"/>
  <c r="R26" i="4"/>
  <c r="V26" i="4" s="1"/>
  <c r="S26" i="4"/>
  <c r="E26" i="4"/>
  <c r="Q26" i="4"/>
  <c r="U26" i="4" s="1"/>
  <c r="W39" i="3"/>
  <c r="AO39" i="3"/>
  <c r="E31" i="2"/>
  <c r="F31" i="2"/>
  <c r="F40" i="3" l="1"/>
  <c r="Z40" i="3" s="1"/>
  <c r="AC40" i="3"/>
  <c r="AB39" i="5"/>
  <c r="E40" i="5" s="1"/>
  <c r="F40" i="5"/>
  <c r="BH28" i="4"/>
  <c r="BG28" i="4"/>
  <c r="BI28" i="4"/>
  <c r="BA29" i="4"/>
  <c r="AZ29" i="4"/>
  <c r="BF29" i="4"/>
  <c r="BC29" i="4"/>
  <c r="BB29" i="4"/>
  <c r="BE29" i="4"/>
  <c r="BD29" i="4"/>
  <c r="H29" i="4"/>
  <c r="G29" i="4"/>
  <c r="F29" i="4"/>
  <c r="AS26" i="4" a="1"/>
  <c r="AS26" i="4" s="1"/>
  <c r="AX26" i="4"/>
  <c r="W26" i="4"/>
  <c r="X26" i="4" s="1" a="1"/>
  <c r="X26" i="4" s="1"/>
  <c r="J40" i="3"/>
  <c r="O40" i="3"/>
  <c r="P40" i="3" s="1"/>
  <c r="T40" i="3" s="1"/>
  <c r="AN40" i="3"/>
  <c r="AG40" i="3"/>
  <c r="AA40" i="3"/>
  <c r="AH40" i="3"/>
  <c r="AJ40" i="3"/>
  <c r="K40" i="3"/>
  <c r="AE40" i="3"/>
  <c r="Y40" i="3"/>
  <c r="AK40" i="3"/>
  <c r="N40" i="3"/>
  <c r="M40" i="3"/>
  <c r="AB40" i="3"/>
  <c r="AI40" i="3"/>
  <c r="T31" i="2"/>
  <c r="V31" i="2"/>
  <c r="Z31" i="2"/>
  <c r="AA31" i="2"/>
  <c r="J31" i="2"/>
  <c r="K31" i="2"/>
  <c r="L31" i="2" s="1"/>
  <c r="O31" i="2" s="1"/>
  <c r="I31" i="2"/>
  <c r="M31" i="2" s="1"/>
  <c r="Y31" i="2"/>
  <c r="S31" i="2"/>
  <c r="W31" i="2"/>
  <c r="X31" i="2"/>
  <c r="U31" i="2"/>
  <c r="AL40" i="3" l="1"/>
  <c r="R40" i="3"/>
  <c r="V40" i="3" s="1"/>
  <c r="Q40" i="3"/>
  <c r="U40" i="3" s="1"/>
  <c r="H40" i="5"/>
  <c r="M40" i="5" s="1"/>
  <c r="P40" i="5" s="1"/>
  <c r="X40" i="5"/>
  <c r="W40" i="5"/>
  <c r="J40" i="5"/>
  <c r="AA40" i="5"/>
  <c r="K40" i="5"/>
  <c r="BH29" i="4"/>
  <c r="BI29" i="4"/>
  <c r="BG29" i="4"/>
  <c r="BF30" i="4"/>
  <c r="BB30" i="4"/>
  <c r="AZ30" i="4"/>
  <c r="BE30" i="4"/>
  <c r="BD30" i="4"/>
  <c r="BA30" i="4"/>
  <c r="BC30" i="4"/>
  <c r="H30" i="4"/>
  <c r="F30" i="4"/>
  <c r="G30" i="4"/>
  <c r="AY27" i="4"/>
  <c r="AO40" i="3" a="1"/>
  <c r="S40" i="3"/>
  <c r="E40" i="3"/>
  <c r="AB31" i="2" a="1"/>
  <c r="AB31" i="2" s="1"/>
  <c r="N31" i="2"/>
  <c r="D31" i="2"/>
  <c r="P31" i="2"/>
  <c r="D40" i="5" l="1"/>
  <c r="N40" i="5"/>
  <c r="Q40" i="5" s="1"/>
  <c r="R40" i="5" s="1" a="1"/>
  <c r="R40" i="5" s="1"/>
  <c r="L40" i="5"/>
  <c r="O40" i="5" s="1"/>
  <c r="AB40" i="5" s="1" a="1"/>
  <c r="BI30" i="4"/>
  <c r="BH30" i="4"/>
  <c r="BG30" i="4"/>
  <c r="BE31" i="4"/>
  <c r="BA31" i="4"/>
  <c r="BD31" i="4"/>
  <c r="BC31" i="4"/>
  <c r="BF31" i="4"/>
  <c r="BB31" i="4"/>
  <c r="AZ31" i="4"/>
  <c r="F31" i="4"/>
  <c r="H31" i="4"/>
  <c r="G31" i="4"/>
  <c r="N27" i="4"/>
  <c r="AC27" i="4"/>
  <c r="AF27" i="4"/>
  <c r="AM27" i="4"/>
  <c r="M27" i="4"/>
  <c r="AR27" i="4"/>
  <c r="AO27" i="4"/>
  <c r="AK27" i="4"/>
  <c r="AL27" i="4"/>
  <c r="O27" i="4"/>
  <c r="AE27" i="4"/>
  <c r="AG27" i="4"/>
  <c r="AD27" i="4"/>
  <c r="AP27" i="4"/>
  <c r="AI27" i="4"/>
  <c r="AN27" i="4"/>
  <c r="K27" i="4"/>
  <c r="J27" i="4"/>
  <c r="AO40" i="3"/>
  <c r="F41" i="3" s="1"/>
  <c r="AE41" i="3"/>
  <c r="AJ41" i="3"/>
  <c r="K41" i="3"/>
  <c r="W40" i="3"/>
  <c r="X40" i="3" s="1" a="1"/>
  <c r="X40" i="3" s="1"/>
  <c r="AK41" i="3"/>
  <c r="M41" i="3"/>
  <c r="Y41" i="3"/>
  <c r="N41" i="3"/>
  <c r="AB41" i="3"/>
  <c r="Q31" i="2"/>
  <c r="R31" i="2" s="1" a="1"/>
  <c r="R31" i="2" s="1"/>
  <c r="AB40" i="5" l="1"/>
  <c r="E41" i="5" s="1"/>
  <c r="F41" i="5"/>
  <c r="BG31" i="4"/>
  <c r="BI31" i="4"/>
  <c r="BH31" i="4"/>
  <c r="BA32" i="4"/>
  <c r="BE32" i="4"/>
  <c r="BD32" i="4"/>
  <c r="BF32" i="4"/>
  <c r="AZ32" i="4"/>
  <c r="BB32" i="4"/>
  <c r="BC32" i="4"/>
  <c r="H32" i="4"/>
  <c r="G32" i="4"/>
  <c r="F32" i="4"/>
  <c r="P27" i="4"/>
  <c r="T27" i="4" s="1"/>
  <c r="AB27" i="4" s="1" a="1"/>
  <c r="AB27" i="4" s="1"/>
  <c r="AW27" i="4" s="1"/>
  <c r="Q27" i="4"/>
  <c r="U27" i="4" s="1"/>
  <c r="R27" i="4"/>
  <c r="V27" i="4" s="1"/>
  <c r="E27" i="4"/>
  <c r="S27" i="4"/>
  <c r="AI41" i="3"/>
  <c r="J41" i="3"/>
  <c r="R41" i="3" s="1"/>
  <c r="V41" i="3" s="1"/>
  <c r="AH41" i="3"/>
  <c r="Z41" i="3"/>
  <c r="AO41" i="3" s="1" a="1"/>
  <c r="AN41" i="3"/>
  <c r="E32" i="2"/>
  <c r="F32" i="2"/>
  <c r="O41" i="3" l="1"/>
  <c r="Q41" i="3" s="1"/>
  <c r="U41" i="3" s="1"/>
  <c r="AG41" i="3"/>
  <c r="AA41" i="3"/>
  <c r="X41" i="5"/>
  <c r="H41" i="5"/>
  <c r="M41" i="5" s="1"/>
  <c r="P41" i="5" s="1"/>
  <c r="K41" i="5"/>
  <c r="J41" i="5"/>
  <c r="AA41" i="5"/>
  <c r="W41" i="5"/>
  <c r="BI32" i="4"/>
  <c r="BH32" i="4"/>
  <c r="BG32" i="4"/>
  <c r="BB33" i="4"/>
  <c r="BC33" i="4"/>
  <c r="BE33" i="4"/>
  <c r="BA33" i="4"/>
  <c r="BF33" i="4"/>
  <c r="AZ33" i="4"/>
  <c r="BD33" i="4"/>
  <c r="H33" i="4"/>
  <c r="G33" i="4"/>
  <c r="F33" i="4"/>
  <c r="AS27" i="4" a="1"/>
  <c r="AS27" i="4" s="1"/>
  <c r="AX27" i="4"/>
  <c r="W27" i="4"/>
  <c r="X27" i="4" s="1" a="1"/>
  <c r="X27" i="4" s="1"/>
  <c r="AL41" i="3"/>
  <c r="AC41" i="3"/>
  <c r="AO41" i="3"/>
  <c r="F42" i="3" s="1"/>
  <c r="T32" i="2"/>
  <c r="Z32" i="2"/>
  <c r="V32" i="2"/>
  <c r="S32" i="2"/>
  <c r="AA32" i="2"/>
  <c r="K32" i="2"/>
  <c r="L32" i="2" s="1"/>
  <c r="O32" i="2" s="1"/>
  <c r="J32" i="2"/>
  <c r="W32" i="2"/>
  <c r="I32" i="2"/>
  <c r="U32" i="2"/>
  <c r="Y32" i="2"/>
  <c r="X32" i="2"/>
  <c r="P41" i="3" l="1"/>
  <c r="T41" i="3" s="1"/>
  <c r="E41" i="3"/>
  <c r="S41" i="3"/>
  <c r="N41" i="5"/>
  <c r="Q41" i="5" s="1"/>
  <c r="R41" i="5" s="1" a="1"/>
  <c r="R41" i="5" s="1"/>
  <c r="D41" i="5"/>
  <c r="L41" i="5"/>
  <c r="O41" i="5" s="1"/>
  <c r="AB41" i="5" s="1" a="1"/>
  <c r="BI33" i="4"/>
  <c r="BH33" i="4"/>
  <c r="BG33" i="4"/>
  <c r="AZ34" i="4"/>
  <c r="BB34" i="4"/>
  <c r="BA34" i="4"/>
  <c r="BC34" i="4"/>
  <c r="BF34" i="4"/>
  <c r="BE34" i="4"/>
  <c r="BD34" i="4"/>
  <c r="G34" i="4"/>
  <c r="H34" i="4"/>
  <c r="F34" i="4"/>
  <c r="AY28" i="4"/>
  <c r="AL42" i="3"/>
  <c r="AH42" i="3"/>
  <c r="Z42" i="3"/>
  <c r="AE42" i="3"/>
  <c r="K42" i="3"/>
  <c r="AJ42" i="3"/>
  <c r="N42" i="3"/>
  <c r="AB42" i="3"/>
  <c r="Y42" i="3"/>
  <c r="AK42" i="3"/>
  <c r="M42" i="3"/>
  <c r="O42" i="3"/>
  <c r="M32" i="2"/>
  <c r="P32" i="2" s="1"/>
  <c r="AB32" i="2" s="1" a="1"/>
  <c r="AB32" i="2" s="1"/>
  <c r="N32" i="2"/>
  <c r="D32" i="2"/>
  <c r="AG42" i="3" l="1"/>
  <c r="AI42" i="3"/>
  <c r="J42" i="3"/>
  <c r="AN42" i="3"/>
  <c r="W41" i="3"/>
  <c r="X41" i="3" s="1" a="1"/>
  <c r="X41" i="3" s="1"/>
  <c r="AC42" i="3"/>
  <c r="AB41" i="5"/>
  <c r="E42" i="5" s="1"/>
  <c r="F42" i="5"/>
  <c r="BI34" i="4"/>
  <c r="BH34" i="4"/>
  <c r="BG34" i="4"/>
  <c r="AZ35" i="4"/>
  <c r="BC35" i="4"/>
  <c r="BB35" i="4"/>
  <c r="BE35" i="4"/>
  <c r="BF35" i="4"/>
  <c r="BD35" i="4"/>
  <c r="BA35" i="4"/>
  <c r="G35" i="4"/>
  <c r="H35" i="4"/>
  <c r="F35" i="4"/>
  <c r="M28" i="4"/>
  <c r="N28" i="4"/>
  <c r="AC28" i="4"/>
  <c r="AO28" i="4"/>
  <c r="AR28" i="4"/>
  <c r="AM28" i="4"/>
  <c r="AF28" i="4"/>
  <c r="K28" i="4"/>
  <c r="J28" i="4"/>
  <c r="AN28" i="4"/>
  <c r="AI28" i="4"/>
  <c r="AP28" i="4"/>
  <c r="AL28" i="4"/>
  <c r="AD28" i="4"/>
  <c r="AK28" i="4"/>
  <c r="O28" i="4"/>
  <c r="AE28" i="4"/>
  <c r="AG28" i="4"/>
  <c r="P42" i="3"/>
  <c r="T42" i="3" s="1"/>
  <c r="AA42" i="3"/>
  <c r="R42" i="3"/>
  <c r="V42" i="3" s="1"/>
  <c r="Q42" i="3"/>
  <c r="U42" i="3" s="1"/>
  <c r="AO42" i="3" s="1" a="1"/>
  <c r="E42" i="3"/>
  <c r="S42" i="3"/>
  <c r="W42" i="3" s="1"/>
  <c r="Q32" i="2"/>
  <c r="R32" i="2" s="1" a="1"/>
  <c r="R32" i="2" s="1"/>
  <c r="X42" i="3" l="1" a="1"/>
  <c r="X42" i="3" s="1"/>
  <c r="X42" i="5"/>
  <c r="H42" i="5"/>
  <c r="M42" i="5" s="1"/>
  <c r="P42" i="5" s="1"/>
  <c r="AA42" i="5"/>
  <c r="W42" i="5"/>
  <c r="J42" i="5"/>
  <c r="K42" i="5"/>
  <c r="D42" i="5" s="1"/>
  <c r="BI35" i="4"/>
  <c r="BH35" i="4"/>
  <c r="BG35" i="4"/>
  <c r="BD36" i="4"/>
  <c r="BB36" i="4"/>
  <c r="BC36" i="4"/>
  <c r="BA36" i="4"/>
  <c r="AZ36" i="4"/>
  <c r="BE36" i="4"/>
  <c r="BF36" i="4"/>
  <c r="G36" i="4"/>
  <c r="F36" i="4"/>
  <c r="H36" i="4"/>
  <c r="R28" i="4"/>
  <c r="V28" i="4" s="1"/>
  <c r="Q28" i="4"/>
  <c r="U28" i="4" s="1"/>
  <c r="E28" i="4"/>
  <c r="S28" i="4"/>
  <c r="P28" i="4"/>
  <c r="T28" i="4" s="1"/>
  <c r="AB28" i="4" s="1" a="1"/>
  <c r="AB28" i="4" s="1"/>
  <c r="AO42" i="3"/>
  <c r="F43" i="3" s="1"/>
  <c r="AB43" i="3"/>
  <c r="N43" i="3"/>
  <c r="M43" i="3"/>
  <c r="AK43" i="3"/>
  <c r="Y43" i="3"/>
  <c r="E33" i="2"/>
  <c r="F33" i="2"/>
  <c r="N42" i="5" l="1"/>
  <c r="Q42" i="5" s="1"/>
  <c r="R42" i="5" s="1" a="1"/>
  <c r="R42" i="5" s="1"/>
  <c r="L42" i="5"/>
  <c r="O42" i="5" s="1"/>
  <c r="AB42" i="5" s="1" a="1"/>
  <c r="BH36" i="4"/>
  <c r="BG36" i="4"/>
  <c r="BI36" i="4"/>
  <c r="BB37" i="4"/>
  <c r="BA37" i="4"/>
  <c r="BF37" i="4"/>
  <c r="BC37" i="4"/>
  <c r="AZ37" i="4"/>
  <c r="BE37" i="4"/>
  <c r="BD37" i="4"/>
  <c r="H37" i="4"/>
  <c r="G37" i="4"/>
  <c r="F37" i="4"/>
  <c r="W28" i="4"/>
  <c r="X28" i="4" s="1" a="1"/>
  <c r="X28" i="4" s="1"/>
  <c r="AS28" i="4" a="1"/>
  <c r="AS28" i="4" s="1"/>
  <c r="AX28" i="4"/>
  <c r="AW28" i="4"/>
  <c r="J43" i="3"/>
  <c r="AA43" i="3"/>
  <c r="AL43" i="3"/>
  <c r="AG43" i="3"/>
  <c r="O43" i="3"/>
  <c r="S43" i="3" s="1"/>
  <c r="Z43" i="3"/>
  <c r="K43" i="3"/>
  <c r="AE43" i="3"/>
  <c r="AJ43" i="3"/>
  <c r="AI43" i="3"/>
  <c r="AN43" i="3"/>
  <c r="T33" i="2"/>
  <c r="V33" i="2"/>
  <c r="Z33" i="2"/>
  <c r="U33" i="2"/>
  <c r="Y33" i="2"/>
  <c r="I33" i="2"/>
  <c r="K33" i="2"/>
  <c r="L33" i="2" s="1"/>
  <c r="O33" i="2" s="1"/>
  <c r="J33" i="2"/>
  <c r="AA33" i="2"/>
  <c r="S33" i="2"/>
  <c r="W33" i="2"/>
  <c r="X33" i="2"/>
  <c r="Q43" i="3" l="1"/>
  <c r="U43" i="3" s="1"/>
  <c r="AO43" i="3" s="1" a="1"/>
  <c r="AH43" i="3"/>
  <c r="AB42" i="5"/>
  <c r="E43" i="5" s="1"/>
  <c r="F43" i="5"/>
  <c r="BI37" i="4"/>
  <c r="BH37" i="4"/>
  <c r="BG37" i="4"/>
  <c r="BB38" i="4"/>
  <c r="BF38" i="4"/>
  <c r="BE38" i="4"/>
  <c r="BD38" i="4"/>
  <c r="BA38" i="4"/>
  <c r="AZ38" i="4"/>
  <c r="BC38" i="4"/>
  <c r="H38" i="4"/>
  <c r="G38" i="4"/>
  <c r="F38" i="4"/>
  <c r="AC43" i="3"/>
  <c r="P43" i="3"/>
  <c r="T43" i="3" s="1"/>
  <c r="X43" i="3" s="1" a="1"/>
  <c r="X43" i="3" s="1"/>
  <c r="E43" i="3"/>
  <c r="W43" i="3" s="1"/>
  <c r="AE44" i="3"/>
  <c r="AJ44" i="3"/>
  <c r="K44" i="3"/>
  <c r="R43" i="3"/>
  <c r="V43" i="3" s="1"/>
  <c r="AO43" i="3"/>
  <c r="F44" i="3" s="1"/>
  <c r="M33" i="2"/>
  <c r="P33" i="2" s="1"/>
  <c r="AB33" i="2" s="1" a="1"/>
  <c r="AB33" i="2" s="1"/>
  <c r="D33" i="2"/>
  <c r="N33" i="2"/>
  <c r="H43" i="5" l="1"/>
  <c r="M43" i="5" s="1"/>
  <c r="P43" i="5" s="1"/>
  <c r="X43" i="5"/>
  <c r="AA43" i="5"/>
  <c r="K43" i="5"/>
  <c r="W43" i="5"/>
  <c r="J43" i="5"/>
  <c r="BI38" i="4"/>
  <c r="BH38" i="4"/>
  <c r="BG38" i="4"/>
  <c r="AZ39" i="4"/>
  <c r="BE39" i="4"/>
  <c r="BD39" i="4"/>
  <c r="BC39" i="4"/>
  <c r="BB39" i="4"/>
  <c r="BF39" i="4"/>
  <c r="BA39" i="4"/>
  <c r="F39" i="4"/>
  <c r="H39" i="4"/>
  <c r="G39" i="4"/>
  <c r="AY29" i="4"/>
  <c r="AB44" i="3"/>
  <c r="M44" i="3"/>
  <c r="Y44" i="3"/>
  <c r="N44" i="3"/>
  <c r="AK44" i="3"/>
  <c r="AI44" i="3"/>
  <c r="AN44" i="3"/>
  <c r="J44" i="3"/>
  <c r="R44" i="3" s="1"/>
  <c r="V44" i="3" s="1"/>
  <c r="Z44" i="3"/>
  <c r="AL44" i="3"/>
  <c r="AC44" i="3"/>
  <c r="AG44" i="3"/>
  <c r="AA44" i="3"/>
  <c r="AH44" i="3"/>
  <c r="O44" i="3"/>
  <c r="Q33" i="2"/>
  <c r="R33" i="2" s="1" a="1"/>
  <c r="R33" i="2" s="1"/>
  <c r="Q44" i="3" l="1"/>
  <c r="U44" i="3" s="1"/>
  <c r="N43" i="5"/>
  <c r="D43" i="5"/>
  <c r="L43" i="5"/>
  <c r="O43" i="5" s="1"/>
  <c r="AB43" i="5" s="1" a="1"/>
  <c r="BG39" i="4"/>
  <c r="BI39" i="4"/>
  <c r="BH39" i="4"/>
  <c r="BD40" i="4"/>
  <c r="BC40" i="4"/>
  <c r="BB40" i="4"/>
  <c r="BA40" i="4"/>
  <c r="AZ40" i="4"/>
  <c r="BE40" i="4"/>
  <c r="BF40" i="4"/>
  <c r="H40" i="4"/>
  <c r="G40" i="4"/>
  <c r="F40" i="4"/>
  <c r="AO29" i="4"/>
  <c r="AC29" i="4"/>
  <c r="M29" i="4"/>
  <c r="AM29" i="4"/>
  <c r="N29" i="4"/>
  <c r="AR29" i="4"/>
  <c r="AF29" i="4"/>
  <c r="O29" i="4"/>
  <c r="AL29" i="4"/>
  <c r="AP29" i="4"/>
  <c r="AD29" i="4"/>
  <c r="AK29" i="4"/>
  <c r="AG29" i="4"/>
  <c r="AE29" i="4"/>
  <c r="J29" i="4"/>
  <c r="AI29" i="4"/>
  <c r="K29" i="4"/>
  <c r="AN29" i="4"/>
  <c r="AO44" i="3" a="1"/>
  <c r="E44" i="3"/>
  <c r="S44" i="3"/>
  <c r="P44" i="3"/>
  <c r="T44" i="3" s="1"/>
  <c r="X44" i="3" s="1" a="1"/>
  <c r="X44" i="3" s="1"/>
  <c r="E34" i="2"/>
  <c r="F34" i="2"/>
  <c r="AB43" i="5" l="1"/>
  <c r="E44" i="5" s="1"/>
  <c r="F44" i="5"/>
  <c r="Q43" i="5"/>
  <c r="R43" i="5" s="1" a="1"/>
  <c r="R43" i="5" s="1"/>
  <c r="BG40" i="4"/>
  <c r="BI40" i="4"/>
  <c r="BH40" i="4"/>
  <c r="BB41" i="4"/>
  <c r="BF41" i="4"/>
  <c r="BA41" i="4"/>
  <c r="BC41" i="4"/>
  <c r="AZ41" i="4"/>
  <c r="BD41" i="4"/>
  <c r="BE41" i="4"/>
  <c r="H41" i="4"/>
  <c r="G41" i="4"/>
  <c r="F41" i="4"/>
  <c r="Q29" i="4"/>
  <c r="U29" i="4" s="1"/>
  <c r="R29" i="4"/>
  <c r="V29" i="4" s="1"/>
  <c r="P29" i="4"/>
  <c r="T29" i="4" s="1"/>
  <c r="AB29" i="4" s="1" a="1"/>
  <c r="AB29" i="4" s="1"/>
  <c r="AX29" i="4" s="1"/>
  <c r="E29" i="4"/>
  <c r="S29" i="4"/>
  <c r="W44" i="3"/>
  <c r="AO44" i="3"/>
  <c r="F45" i="3" s="1"/>
  <c r="V34" i="2"/>
  <c r="T34" i="2"/>
  <c r="Z34" i="2"/>
  <c r="Y34" i="2"/>
  <c r="K34" i="2"/>
  <c r="L34" i="2" s="1"/>
  <c r="O34" i="2" s="1"/>
  <c r="S34" i="2"/>
  <c r="W34" i="2"/>
  <c r="J34" i="2"/>
  <c r="I34" i="2"/>
  <c r="U34" i="2"/>
  <c r="X34" i="2"/>
  <c r="AA34" i="2"/>
  <c r="H44" i="5" l="1"/>
  <c r="M44" i="5" s="1"/>
  <c r="P44" i="5" s="1"/>
  <c r="X44" i="5"/>
  <c r="J44" i="5"/>
  <c r="K44" i="5"/>
  <c r="W44" i="5"/>
  <c r="AA44" i="5"/>
  <c r="L44" i="5"/>
  <c r="O44" i="5" s="1"/>
  <c r="BI41" i="4"/>
  <c r="BH41" i="4"/>
  <c r="BG41" i="4"/>
  <c r="BC42" i="4"/>
  <c r="BA42" i="4"/>
  <c r="BF42" i="4"/>
  <c r="BB42" i="4"/>
  <c r="BE42" i="4"/>
  <c r="AZ42" i="4"/>
  <c r="BD42" i="4"/>
  <c r="H42" i="4"/>
  <c r="G42" i="4"/>
  <c r="F42" i="4"/>
  <c r="W29" i="4"/>
  <c r="X29" i="4" s="1" a="1"/>
  <c r="X29" i="4" s="1"/>
  <c r="AS29" i="4" a="1"/>
  <c r="AS29" i="4" s="1"/>
  <c r="AW29" i="4"/>
  <c r="K45" i="3"/>
  <c r="AJ45" i="3"/>
  <c r="AE45" i="3"/>
  <c r="AB45" i="3"/>
  <c r="M45" i="3"/>
  <c r="N45" i="3"/>
  <c r="AK45" i="3"/>
  <c r="Y45" i="3"/>
  <c r="AI45" i="3"/>
  <c r="AN45" i="3"/>
  <c r="AA45" i="3"/>
  <c r="AC45" i="3"/>
  <c r="AL45" i="3"/>
  <c r="AH45" i="3"/>
  <c r="J45" i="3"/>
  <c r="AG45" i="3"/>
  <c r="O45" i="3"/>
  <c r="Z45" i="3"/>
  <c r="M34" i="2"/>
  <c r="P34" i="2" s="1"/>
  <c r="AB34" i="2" s="1" a="1"/>
  <c r="AB34" i="2" s="1"/>
  <c r="D34" i="2"/>
  <c r="N34" i="2"/>
  <c r="R45" i="3" l="1"/>
  <c r="V45" i="3" s="1"/>
  <c r="N44" i="5"/>
  <c r="D44" i="5"/>
  <c r="AB44" i="5" a="1"/>
  <c r="BI42" i="4"/>
  <c r="BH42" i="4"/>
  <c r="BG42" i="4"/>
  <c r="BA43" i="4"/>
  <c r="BE43" i="4"/>
  <c r="AZ43" i="4"/>
  <c r="BD43" i="4"/>
  <c r="BB43" i="4"/>
  <c r="BC43" i="4"/>
  <c r="BF43" i="4"/>
  <c r="G43" i="4"/>
  <c r="H43" i="4"/>
  <c r="F43" i="4"/>
  <c r="S45" i="3"/>
  <c r="E45" i="3"/>
  <c r="P45" i="3"/>
  <c r="T45" i="3" s="1"/>
  <c r="Q45" i="3"/>
  <c r="U45" i="3" s="1"/>
  <c r="AO45" i="3" s="1" a="1"/>
  <c r="Q34" i="2"/>
  <c r="R34" i="2" s="1" a="1"/>
  <c r="R34" i="2" s="1"/>
  <c r="AB44" i="5" l="1"/>
  <c r="E45" i="5" s="1"/>
  <c r="F45" i="5"/>
  <c r="Q44" i="5"/>
  <c r="R44" i="5" s="1" a="1"/>
  <c r="R44" i="5" s="1"/>
  <c r="BI43" i="4"/>
  <c r="BH43" i="4"/>
  <c r="BG43" i="4"/>
  <c r="BF44" i="4"/>
  <c r="BA44" i="4"/>
  <c r="BE44" i="4"/>
  <c r="BD44" i="4"/>
  <c r="BC44" i="4"/>
  <c r="AZ44" i="4"/>
  <c r="BB44" i="4"/>
  <c r="G44" i="4"/>
  <c r="F44" i="4"/>
  <c r="H44" i="4"/>
  <c r="AY30" i="4"/>
  <c r="J30" i="4"/>
  <c r="AO30" i="4"/>
  <c r="M30" i="4"/>
  <c r="AR30" i="4"/>
  <c r="AF30" i="4"/>
  <c r="N30" i="4"/>
  <c r="AM30" i="4"/>
  <c r="AE30" i="4"/>
  <c r="AP30" i="4"/>
  <c r="O30" i="4"/>
  <c r="AK30" i="4"/>
  <c r="AG30" i="4"/>
  <c r="AD30" i="4"/>
  <c r="AL30" i="4"/>
  <c r="AO45" i="3"/>
  <c r="F46" i="3" s="1"/>
  <c r="W45" i="3"/>
  <c r="X45" i="3" s="1" a="1"/>
  <c r="X45" i="3" s="1"/>
  <c r="E35" i="2"/>
  <c r="F35" i="2"/>
  <c r="X45" i="5" l="1"/>
  <c r="H45" i="5"/>
  <c r="M45" i="5" s="1"/>
  <c r="P45" i="5" s="1"/>
  <c r="AA45" i="5"/>
  <c r="K45" i="5"/>
  <c r="W45" i="5"/>
  <c r="J45" i="5"/>
  <c r="BH44" i="4"/>
  <c r="BG44" i="4"/>
  <c r="BI44" i="4"/>
  <c r="BB45" i="4"/>
  <c r="AZ45" i="4"/>
  <c r="BF45" i="4"/>
  <c r="BE45" i="4"/>
  <c r="BA45" i="4"/>
  <c r="BC45" i="4"/>
  <c r="BD45" i="4"/>
  <c r="F45" i="4"/>
  <c r="H45" i="4"/>
  <c r="G45" i="4"/>
  <c r="AC30" i="4"/>
  <c r="K30" i="4"/>
  <c r="S30" i="4" s="1"/>
  <c r="AI30" i="4"/>
  <c r="AN30" i="4"/>
  <c r="Q30" i="4"/>
  <c r="U30" i="4" s="1"/>
  <c r="P30" i="4"/>
  <c r="T30" i="4" s="1"/>
  <c r="AB30" i="4" s="1" a="1"/>
  <c r="AB30" i="4" s="1"/>
  <c r="K46" i="3"/>
  <c r="AE46" i="3"/>
  <c r="AJ46" i="3"/>
  <c r="N46" i="3"/>
  <c r="M46" i="3"/>
  <c r="Y46" i="3"/>
  <c r="AB46" i="3"/>
  <c r="AK46" i="3"/>
  <c r="AN46" i="3"/>
  <c r="AI46" i="3"/>
  <c r="J46" i="3"/>
  <c r="AC46" i="3"/>
  <c r="AG46" i="3"/>
  <c r="Z46" i="3"/>
  <c r="AL46" i="3"/>
  <c r="AH46" i="3"/>
  <c r="O46" i="3"/>
  <c r="AA46" i="3"/>
  <c r="Z35" i="2"/>
  <c r="T35" i="2"/>
  <c r="V35" i="2"/>
  <c r="K35" i="2"/>
  <c r="L35" i="2" s="1"/>
  <c r="O35" i="2" s="1"/>
  <c r="I35" i="2"/>
  <c r="W35" i="2"/>
  <c r="U35" i="2"/>
  <c r="J35" i="2"/>
  <c r="AA35" i="2"/>
  <c r="Y35" i="2"/>
  <c r="X35" i="2"/>
  <c r="S35" i="2"/>
  <c r="D45" i="5" l="1"/>
  <c r="N45" i="5"/>
  <c r="Q45" i="5" s="1"/>
  <c r="R45" i="5" s="1" a="1"/>
  <c r="R45" i="5" s="1"/>
  <c r="L45" i="5"/>
  <c r="O45" i="5" s="1"/>
  <c r="AB45" i="5" s="1" a="1"/>
  <c r="BI45" i="4"/>
  <c r="BH45" i="4"/>
  <c r="BG45" i="4"/>
  <c r="AZ46" i="4"/>
  <c r="BF46" i="4"/>
  <c r="BE46" i="4"/>
  <c r="BC46" i="4"/>
  <c r="BD46" i="4"/>
  <c r="BA46" i="4"/>
  <c r="BB46" i="4"/>
  <c r="F46" i="4"/>
  <c r="H46" i="4"/>
  <c r="G46" i="4"/>
  <c r="E30" i="4"/>
  <c r="W30" i="4" s="1"/>
  <c r="R30" i="4"/>
  <c r="V30" i="4" s="1"/>
  <c r="AS30" i="4" a="1"/>
  <c r="AS30" i="4" s="1"/>
  <c r="AX30" i="4"/>
  <c r="AW30" i="4"/>
  <c r="R46" i="3"/>
  <c r="V46" i="3" s="1"/>
  <c r="P46" i="3"/>
  <c r="T46" i="3" s="1"/>
  <c r="AO46" i="3" a="1"/>
  <c r="E46" i="3"/>
  <c r="S46" i="3"/>
  <c r="Q46" i="3"/>
  <c r="U46" i="3" s="1"/>
  <c r="M35" i="2"/>
  <c r="P35" i="2" s="1"/>
  <c r="AB35" i="2" s="1" a="1"/>
  <c r="AB35" i="2" s="1"/>
  <c r="D35" i="2"/>
  <c r="N35" i="2"/>
  <c r="X46" i="3" l="1" a="1"/>
  <c r="X46" i="3" s="1"/>
  <c r="AB45" i="5"/>
  <c r="E46" i="5" s="1"/>
  <c r="F46" i="5"/>
  <c r="BI46" i="4"/>
  <c r="BH46" i="4"/>
  <c r="BG46" i="4"/>
  <c r="AZ47" i="4"/>
  <c r="BB47" i="4"/>
  <c r="BA47" i="4"/>
  <c r="BF47" i="4"/>
  <c r="BE47" i="4"/>
  <c r="BD47" i="4"/>
  <c r="BC47" i="4"/>
  <c r="F47" i="4"/>
  <c r="H47" i="4"/>
  <c r="G47" i="4"/>
  <c r="X30" i="4" a="1"/>
  <c r="X30" i="4" s="1"/>
  <c r="W46" i="3"/>
  <c r="AO46" i="3"/>
  <c r="F47" i="3" s="1"/>
  <c r="Q35" i="2"/>
  <c r="R35" i="2" s="1" a="1"/>
  <c r="R35" i="2" s="1"/>
  <c r="X46" i="5" l="1"/>
  <c r="H46" i="5"/>
  <c r="M46" i="5" s="1"/>
  <c r="P46" i="5" s="1"/>
  <c r="J46" i="5"/>
  <c r="W46" i="5"/>
  <c r="AA46" i="5"/>
  <c r="K46" i="5"/>
  <c r="BG47" i="4"/>
  <c r="BI47" i="4"/>
  <c r="BH47" i="4"/>
  <c r="BD48" i="4"/>
  <c r="BC48" i="4"/>
  <c r="BA48" i="4"/>
  <c r="BB48" i="4"/>
  <c r="AZ48" i="4"/>
  <c r="BE48" i="4"/>
  <c r="BF48" i="4"/>
  <c r="H48" i="4"/>
  <c r="G48" i="4"/>
  <c r="F48" i="4"/>
  <c r="AY31" i="4"/>
  <c r="K47" i="3"/>
  <c r="AE47" i="3"/>
  <c r="AJ47" i="3"/>
  <c r="Y47" i="3"/>
  <c r="AK47" i="3"/>
  <c r="M47" i="3"/>
  <c r="N47" i="3"/>
  <c r="AB47" i="3"/>
  <c r="AN47" i="3"/>
  <c r="AI47" i="3"/>
  <c r="AH47" i="3"/>
  <c r="AG47" i="3"/>
  <c r="AL47" i="3"/>
  <c r="AC47" i="3"/>
  <c r="J47" i="3"/>
  <c r="O47" i="3"/>
  <c r="AA47" i="3"/>
  <c r="Z47" i="3"/>
  <c r="D46" i="5" l="1"/>
  <c r="N46" i="5"/>
  <c r="Q46" i="5" s="1"/>
  <c r="R46" i="5" s="1" a="1"/>
  <c r="R46" i="5" s="1"/>
  <c r="L46" i="5"/>
  <c r="O46" i="5" s="1"/>
  <c r="AB46" i="5" s="1" a="1"/>
  <c r="BI48" i="4"/>
  <c r="BH48" i="4"/>
  <c r="BG48" i="4"/>
  <c r="BB49" i="4"/>
  <c r="BA49" i="4"/>
  <c r="AZ49" i="4"/>
  <c r="BC49" i="4"/>
  <c r="BD49" i="4"/>
  <c r="BF49" i="4"/>
  <c r="BE49" i="4"/>
  <c r="H49" i="4"/>
  <c r="G49" i="4"/>
  <c r="F49" i="4"/>
  <c r="AM31" i="4"/>
  <c r="AR31" i="4"/>
  <c r="AF31" i="4"/>
  <c r="AC31" i="4"/>
  <c r="AO31" i="4"/>
  <c r="N31" i="4"/>
  <c r="M31" i="4"/>
  <c r="AL31" i="4"/>
  <c r="AP31" i="4"/>
  <c r="AG31" i="4"/>
  <c r="AE31" i="4"/>
  <c r="AD31" i="4"/>
  <c r="O31" i="4"/>
  <c r="AK31" i="4"/>
  <c r="J31" i="4"/>
  <c r="AN31" i="4"/>
  <c r="AI31" i="4"/>
  <c r="K31" i="4"/>
  <c r="P47" i="3"/>
  <c r="T47" i="3" s="1"/>
  <c r="R47" i="3"/>
  <c r="V47" i="3" s="1"/>
  <c r="E47" i="3"/>
  <c r="S47" i="3"/>
  <c r="Q47" i="3"/>
  <c r="U47" i="3" s="1"/>
  <c r="AO47" i="3" a="1"/>
  <c r="W47" i="3" l="1"/>
  <c r="X47" i="3" s="1" a="1"/>
  <c r="X47" i="3" s="1"/>
  <c r="AB46" i="5"/>
  <c r="E47" i="5" s="1"/>
  <c r="F47" i="5"/>
  <c r="BI49" i="4"/>
  <c r="BH49" i="4"/>
  <c r="BG49" i="4"/>
  <c r="AZ50" i="4"/>
  <c r="BC50" i="4"/>
  <c r="BE50" i="4"/>
  <c r="BA50" i="4"/>
  <c r="BF50" i="4"/>
  <c r="BD50" i="4"/>
  <c r="BB50" i="4"/>
  <c r="H50" i="4"/>
  <c r="G50" i="4"/>
  <c r="F50" i="4"/>
  <c r="Q31" i="4"/>
  <c r="U31" i="4" s="1"/>
  <c r="R31" i="4"/>
  <c r="V31" i="4" s="1"/>
  <c r="S31" i="4"/>
  <c r="E31" i="4"/>
  <c r="P31" i="4"/>
  <c r="T31" i="4" s="1"/>
  <c r="AB31" i="4" s="1" a="1"/>
  <c r="AB31" i="4" s="1"/>
  <c r="AO47" i="3"/>
  <c r="F48" i="3" s="1"/>
  <c r="X47" i="5" l="1"/>
  <c r="H47" i="5"/>
  <c r="M47" i="5" s="1"/>
  <c r="P47" i="5" s="1"/>
  <c r="K47" i="5"/>
  <c r="D47" i="5" s="1"/>
  <c r="J47" i="5"/>
  <c r="AA47" i="5"/>
  <c r="W47" i="5"/>
  <c r="L47" i="5"/>
  <c r="O47" i="5" s="1"/>
  <c r="BI50" i="4"/>
  <c r="BH50" i="4"/>
  <c r="BG50" i="4"/>
  <c r="BF51" i="4"/>
  <c r="AZ51" i="4"/>
  <c r="BE51" i="4"/>
  <c r="BB51" i="4"/>
  <c r="BA51" i="4"/>
  <c r="BD51" i="4"/>
  <c r="BC51" i="4"/>
  <c r="G51" i="4"/>
  <c r="H51" i="4"/>
  <c r="F51" i="4"/>
  <c r="AS31" i="4" a="1"/>
  <c r="AS31" i="4" s="1"/>
  <c r="W31" i="4"/>
  <c r="X31" i="4" s="1" a="1"/>
  <c r="X31" i="4" s="1"/>
  <c r="AX31" i="4"/>
  <c r="AW31" i="4"/>
  <c r="K48" i="3"/>
  <c r="AJ48" i="3"/>
  <c r="AE48" i="3"/>
  <c r="N48" i="3"/>
  <c r="Y48" i="3"/>
  <c r="AB48" i="3"/>
  <c r="M48" i="3"/>
  <c r="AK48" i="3"/>
  <c r="AI48" i="3"/>
  <c r="AN48" i="3"/>
  <c r="AH48" i="3"/>
  <c r="J48" i="3"/>
  <c r="O48" i="3"/>
  <c r="Z48" i="3"/>
  <c r="AC48" i="3"/>
  <c r="AA48" i="3"/>
  <c r="AL48" i="3"/>
  <c r="AG48" i="3"/>
  <c r="R48" i="3" l="1"/>
  <c r="V48" i="3" s="1"/>
  <c r="N47" i="5"/>
  <c r="Q47" i="5" s="1"/>
  <c r="R47" i="5" s="1" a="1"/>
  <c r="R47" i="5" s="1"/>
  <c r="AB47" i="5" a="1"/>
  <c r="BI51" i="4"/>
  <c r="BH51" i="4"/>
  <c r="BG51" i="4"/>
  <c r="BD52" i="4"/>
  <c r="BE52" i="4"/>
  <c r="BC52" i="4"/>
  <c r="AZ52" i="4"/>
  <c r="BF52" i="4"/>
  <c r="BB52" i="4"/>
  <c r="BA52" i="4"/>
  <c r="G52" i="4"/>
  <c r="F52" i="4"/>
  <c r="H52" i="4"/>
  <c r="Q48" i="3"/>
  <c r="U48" i="3" s="1"/>
  <c r="E48" i="3"/>
  <c r="S48" i="3"/>
  <c r="AO48" i="3" a="1"/>
  <c r="P48" i="3"/>
  <c r="T48" i="3" s="1"/>
  <c r="AB47" i="5" l="1"/>
  <c r="E48" i="5" s="1"/>
  <c r="F48" i="5"/>
  <c r="BH52" i="4"/>
  <c r="BG52" i="4"/>
  <c r="BI52" i="4"/>
  <c r="BB53" i="4"/>
  <c r="BE53" i="4"/>
  <c r="AZ53" i="4"/>
  <c r="BF53" i="4"/>
  <c r="BC53" i="4"/>
  <c r="BD53" i="4"/>
  <c r="BA53" i="4"/>
  <c r="F53" i="4"/>
  <c r="H53" i="4"/>
  <c r="G53" i="4"/>
  <c r="AY32" i="4"/>
  <c r="W48" i="3"/>
  <c r="AO48" i="3"/>
  <c r="F49" i="3" s="1"/>
  <c r="X48" i="3" a="1"/>
  <c r="X48" i="3" s="1"/>
  <c r="H48" i="5" l="1"/>
  <c r="M48" i="5" s="1"/>
  <c r="P48" i="5" s="1"/>
  <c r="X48" i="5"/>
  <c r="J48" i="5"/>
  <c r="AA48" i="5"/>
  <c r="K48" i="5"/>
  <c r="W48" i="5"/>
  <c r="BI53" i="4"/>
  <c r="BH53" i="4"/>
  <c r="BG53" i="4"/>
  <c r="AZ54" i="4"/>
  <c r="BF54" i="4"/>
  <c r="BE54" i="4"/>
  <c r="BC54" i="4"/>
  <c r="BD54" i="4"/>
  <c r="BA54" i="4"/>
  <c r="BB54" i="4"/>
  <c r="F54" i="4"/>
  <c r="H54" i="4"/>
  <c r="G54" i="4"/>
  <c r="AF32" i="4"/>
  <c r="N32" i="4"/>
  <c r="AC32" i="4"/>
  <c r="AO32" i="4"/>
  <c r="AR32" i="4"/>
  <c r="AM32" i="4"/>
  <c r="M32" i="4"/>
  <c r="AD32" i="4"/>
  <c r="AG32" i="4"/>
  <c r="AL32" i="4"/>
  <c r="AK32" i="4"/>
  <c r="AE32" i="4"/>
  <c r="O32" i="4"/>
  <c r="AP32" i="4"/>
  <c r="AI32" i="4"/>
  <c r="J32" i="4"/>
  <c r="K32" i="4"/>
  <c r="AN32" i="4"/>
  <c r="K49" i="3"/>
  <c r="AJ49" i="3"/>
  <c r="AE49" i="3"/>
  <c r="AB49" i="3"/>
  <c r="Y49" i="3"/>
  <c r="N49" i="3"/>
  <c r="AK49" i="3"/>
  <c r="M49" i="3"/>
  <c r="AI49" i="3"/>
  <c r="AN49" i="3"/>
  <c r="AG49" i="3"/>
  <c r="AC49" i="3"/>
  <c r="Z49" i="3"/>
  <c r="O49" i="3"/>
  <c r="AA49" i="3"/>
  <c r="AH49" i="3"/>
  <c r="J49" i="3"/>
  <c r="AL49" i="3"/>
  <c r="R49" i="3" l="1"/>
  <c r="V49" i="3" s="1"/>
  <c r="D48" i="5"/>
  <c r="N48" i="5"/>
  <c r="Q48" i="5" s="1"/>
  <c r="R48" i="5" s="1" a="1"/>
  <c r="R48" i="5" s="1"/>
  <c r="L48" i="5"/>
  <c r="O48" i="5" s="1"/>
  <c r="AB48" i="5" s="1" a="1"/>
  <c r="BI54" i="4"/>
  <c r="BH54" i="4"/>
  <c r="BG54" i="4"/>
  <c r="AZ55" i="4"/>
  <c r="BE55" i="4"/>
  <c r="BC55" i="4"/>
  <c r="BB55" i="4"/>
  <c r="BD55" i="4"/>
  <c r="BF55" i="4"/>
  <c r="BA55" i="4"/>
  <c r="F55" i="4"/>
  <c r="H55" i="4"/>
  <c r="G55" i="4"/>
  <c r="P32" i="4"/>
  <c r="T32" i="4" s="1"/>
  <c r="AS32" i="4" s="1" a="1"/>
  <c r="AS32" i="4" s="1"/>
  <c r="Q32" i="4"/>
  <c r="U32" i="4" s="1"/>
  <c r="R32" i="4"/>
  <c r="V32" i="4" s="1"/>
  <c r="S32" i="4"/>
  <c r="E32" i="4"/>
  <c r="S49" i="3"/>
  <c r="E49" i="3"/>
  <c r="P49" i="3"/>
  <c r="T49" i="3" s="1"/>
  <c r="Q49" i="3"/>
  <c r="U49" i="3" s="1"/>
  <c r="AO49" i="3" s="1" a="1"/>
  <c r="AB48" i="5" l="1"/>
  <c r="E49" i="5" s="1"/>
  <c r="F49" i="5"/>
  <c r="BG55" i="4"/>
  <c r="BI55" i="4"/>
  <c r="BH55" i="4"/>
  <c r="BD56" i="4"/>
  <c r="AZ56" i="4"/>
  <c r="BC56" i="4"/>
  <c r="BB56" i="4"/>
  <c r="BF56" i="4"/>
  <c r="BA56" i="4"/>
  <c r="BE56" i="4"/>
  <c r="H56" i="4"/>
  <c r="G56" i="4"/>
  <c r="F56" i="4"/>
  <c r="AB32" i="4" a="1"/>
  <c r="AB32" i="4" s="1"/>
  <c r="AW32" i="4" s="1"/>
  <c r="W32" i="4"/>
  <c r="X32" i="4" s="1" a="1"/>
  <c r="X32" i="4" s="1"/>
  <c r="AO49" i="3"/>
  <c r="F50" i="3" s="1"/>
  <c r="W49" i="3"/>
  <c r="X49" i="3" s="1" a="1"/>
  <c r="X49" i="3" s="1"/>
  <c r="X49" i="5" l="1"/>
  <c r="H49" i="5"/>
  <c r="M49" i="5" s="1"/>
  <c r="P49" i="5" s="1"/>
  <c r="AA49" i="5"/>
  <c r="J49" i="5"/>
  <c r="K49" i="5"/>
  <c r="W49" i="5"/>
  <c r="L49" i="5"/>
  <c r="O49" i="5" s="1"/>
  <c r="AB49" i="5" s="1" a="1"/>
  <c r="AB49" i="5" s="1"/>
  <c r="E50" i="5" s="1"/>
  <c r="BI56" i="4"/>
  <c r="BH56" i="4"/>
  <c r="BG56" i="4"/>
  <c r="BB57" i="4"/>
  <c r="BC57" i="4"/>
  <c r="BD57" i="4"/>
  <c r="BA57" i="4"/>
  <c r="BF57" i="4"/>
  <c r="AZ57" i="4"/>
  <c r="BE57" i="4"/>
  <c r="H57" i="4"/>
  <c r="G57" i="4"/>
  <c r="F57" i="4"/>
  <c r="AX32" i="4"/>
  <c r="AJ50" i="3"/>
  <c r="AE50" i="3"/>
  <c r="K50" i="3"/>
  <c r="N50" i="3"/>
  <c r="AB50" i="3"/>
  <c r="AK50" i="3"/>
  <c r="M50" i="3"/>
  <c r="Y50" i="3"/>
  <c r="AN50" i="3"/>
  <c r="AI50" i="3"/>
  <c r="J50" i="3"/>
  <c r="AA50" i="3"/>
  <c r="Z50" i="3"/>
  <c r="O50" i="3"/>
  <c r="AH50" i="3"/>
  <c r="AG50" i="3"/>
  <c r="AL50" i="3"/>
  <c r="AC50" i="3"/>
  <c r="R50" i="3" l="1"/>
  <c r="V50" i="3" s="1"/>
  <c r="W50" i="5"/>
  <c r="K50" i="5"/>
  <c r="J50" i="5"/>
  <c r="L50" i="5" s="1"/>
  <c r="O50" i="5" s="1"/>
  <c r="D49" i="5"/>
  <c r="N49" i="5"/>
  <c r="Q49" i="5" s="1"/>
  <c r="R49" i="5" s="1" a="1"/>
  <c r="R49" i="5" s="1"/>
  <c r="F50" i="5"/>
  <c r="AA50" i="5" s="1"/>
  <c r="BI57" i="4"/>
  <c r="BH57" i="4"/>
  <c r="BG57" i="4"/>
  <c r="AZ58" i="4"/>
  <c r="BF58" i="4"/>
  <c r="BC58" i="4"/>
  <c r="BE58" i="4"/>
  <c r="BD58" i="4"/>
  <c r="BB58" i="4"/>
  <c r="BA58" i="4"/>
  <c r="H58" i="4"/>
  <c r="G58" i="4"/>
  <c r="F58" i="4"/>
  <c r="AY33" i="4"/>
  <c r="P50" i="3"/>
  <c r="T50" i="3" s="1"/>
  <c r="AO50" i="3" a="1"/>
  <c r="S50" i="3"/>
  <c r="E50" i="3"/>
  <c r="Q50" i="3"/>
  <c r="U50" i="3" s="1"/>
  <c r="X50" i="5" l="1"/>
  <c r="H50" i="5"/>
  <c r="M50" i="5" s="1"/>
  <c r="P50" i="5" s="1"/>
  <c r="AB50" i="5" s="1" a="1"/>
  <c r="BI58" i="4"/>
  <c r="BH58" i="4"/>
  <c r="BG58" i="4"/>
  <c r="AZ59" i="4"/>
  <c r="BE59" i="4"/>
  <c r="BA59" i="4"/>
  <c r="BB59" i="4"/>
  <c r="BD59" i="4"/>
  <c r="BC59" i="4"/>
  <c r="BF59" i="4"/>
  <c r="G59" i="4"/>
  <c r="H59" i="4"/>
  <c r="F59" i="4"/>
  <c r="AD33" i="4"/>
  <c r="AK33" i="4"/>
  <c r="AL33" i="4"/>
  <c r="AG33" i="4"/>
  <c r="AP33" i="4"/>
  <c r="O33" i="4"/>
  <c r="AE33" i="4"/>
  <c r="AI33" i="4"/>
  <c r="AN33" i="4"/>
  <c r="K33" i="4"/>
  <c r="J33" i="4"/>
  <c r="N33" i="4"/>
  <c r="AC33" i="4"/>
  <c r="AR33" i="4"/>
  <c r="AO33" i="4"/>
  <c r="AM33" i="4"/>
  <c r="AF33" i="4"/>
  <c r="M33" i="4"/>
  <c r="W50" i="3"/>
  <c r="X50" i="3" s="1" a="1"/>
  <c r="X50" i="3" s="1"/>
  <c r="AO50" i="3"/>
  <c r="F51" i="3" s="1"/>
  <c r="AB50" i="5" l="1"/>
  <c r="E51" i="5" s="1"/>
  <c r="F51" i="5"/>
  <c r="D50" i="5"/>
  <c r="N50" i="5"/>
  <c r="Q50" i="5" s="1"/>
  <c r="R50" i="5" s="1" a="1"/>
  <c r="R50" i="5" s="1"/>
  <c r="BI59" i="4"/>
  <c r="BH59" i="4"/>
  <c r="BG59" i="4"/>
  <c r="BD60" i="4"/>
  <c r="BB60" i="4"/>
  <c r="BA60" i="4"/>
  <c r="BC60" i="4"/>
  <c r="AZ60" i="4"/>
  <c r="BE60" i="4"/>
  <c r="BF60" i="4"/>
  <c r="G60" i="4"/>
  <c r="F60" i="4"/>
  <c r="H60" i="4"/>
  <c r="Q33" i="4"/>
  <c r="U33" i="4" s="1"/>
  <c r="R33" i="4"/>
  <c r="V33" i="4" s="1"/>
  <c r="E33" i="4"/>
  <c r="S33" i="4"/>
  <c r="P33" i="4"/>
  <c r="T33" i="4" s="1"/>
  <c r="AB33" i="4" s="1" a="1"/>
  <c r="AB33" i="4" s="1"/>
  <c r="AJ51" i="3"/>
  <c r="AE51" i="3"/>
  <c r="K51" i="3"/>
  <c r="AL51" i="3"/>
  <c r="AA51" i="3"/>
  <c r="J51" i="3"/>
  <c r="AG51" i="3"/>
  <c r="AC51" i="3"/>
  <c r="Z51" i="3"/>
  <c r="AH51" i="3"/>
  <c r="O51" i="3"/>
  <c r="AB51" i="3"/>
  <c r="AK51" i="3"/>
  <c r="N51" i="3"/>
  <c r="M51" i="3"/>
  <c r="Y51" i="3"/>
  <c r="AI51" i="3"/>
  <c r="AN51" i="3"/>
  <c r="R51" i="3" l="1"/>
  <c r="V51" i="3" s="1"/>
  <c r="H51" i="5"/>
  <c r="M51" i="5" s="1"/>
  <c r="P51" i="5" s="1"/>
  <c r="X51" i="5"/>
  <c r="W51" i="5"/>
  <c r="AA51" i="5"/>
  <c r="K51" i="5"/>
  <c r="J51" i="5"/>
  <c r="AS33" i="4" a="1"/>
  <c r="AS33" i="4" s="1"/>
  <c r="BH60" i="4"/>
  <c r="BG60" i="4"/>
  <c r="BI60" i="4"/>
  <c r="BB61" i="4"/>
  <c r="BC61" i="4"/>
  <c r="BA61" i="4"/>
  <c r="BF61" i="4"/>
  <c r="BD61" i="4"/>
  <c r="AZ61" i="4"/>
  <c r="BE61" i="4"/>
  <c r="H61" i="4"/>
  <c r="G61" i="4"/>
  <c r="F61" i="4"/>
  <c r="AX33" i="4"/>
  <c r="AW33" i="4"/>
  <c r="W33" i="4"/>
  <c r="X33" i="4" s="1" a="1"/>
  <c r="X33" i="4" s="1"/>
  <c r="P51" i="3"/>
  <c r="T51" i="3" s="1"/>
  <c r="E51" i="3"/>
  <c r="S51" i="3"/>
  <c r="Q51" i="3"/>
  <c r="U51" i="3" s="1"/>
  <c r="AO51" i="3" s="1" a="1"/>
  <c r="D51" i="5" l="1"/>
  <c r="N51" i="5"/>
  <c r="L51" i="5"/>
  <c r="O51" i="5" s="1"/>
  <c r="AB51" i="5" s="1" a="1"/>
  <c r="BI61" i="4"/>
  <c r="BH61" i="4"/>
  <c r="BG61" i="4"/>
  <c r="AZ62" i="4"/>
  <c r="BF62" i="4"/>
  <c r="BC62" i="4"/>
  <c r="BD62" i="4"/>
  <c r="BA62" i="4"/>
  <c r="BE62" i="4"/>
  <c r="BB62" i="4"/>
  <c r="F62" i="4"/>
  <c r="H62" i="4"/>
  <c r="G62" i="4"/>
  <c r="W51" i="3"/>
  <c r="X51" i="3" s="1" a="1"/>
  <c r="X51" i="3" s="1"/>
  <c r="AO51" i="3"/>
  <c r="F52" i="3" s="1"/>
  <c r="AB51" i="5" l="1"/>
  <c r="E52" i="5" s="1"/>
  <c r="F52" i="5"/>
  <c r="Q51" i="5"/>
  <c r="R51" i="5" s="1" a="1"/>
  <c r="R51" i="5" s="1"/>
  <c r="BI62" i="4"/>
  <c r="BH62" i="4"/>
  <c r="BG62" i="4"/>
  <c r="AZ63" i="4"/>
  <c r="BE63" i="4"/>
  <c r="BD63" i="4"/>
  <c r="BB63" i="4"/>
  <c r="BA63" i="4"/>
  <c r="BC63" i="4"/>
  <c r="BF63" i="4"/>
  <c r="F63" i="4"/>
  <c r="G63" i="4"/>
  <c r="H63" i="4"/>
  <c r="AY34" i="4"/>
  <c r="AJ52" i="3"/>
  <c r="K52" i="3"/>
  <c r="AE52" i="3"/>
  <c r="AK52" i="3"/>
  <c r="Y52" i="3"/>
  <c r="M52" i="3"/>
  <c r="N52" i="3"/>
  <c r="AB52" i="3"/>
  <c r="AI52" i="3"/>
  <c r="AN52" i="3"/>
  <c r="AL52" i="3"/>
  <c r="O52" i="3"/>
  <c r="AG52" i="3"/>
  <c r="J52" i="3"/>
  <c r="AA52" i="3"/>
  <c r="Z52" i="3"/>
  <c r="AH52" i="3"/>
  <c r="AC52" i="3"/>
  <c r="H52" i="5" l="1"/>
  <c r="M52" i="5" s="1"/>
  <c r="P52" i="5" s="1"/>
  <c r="X52" i="5"/>
  <c r="AA52" i="5"/>
  <c r="W52" i="5"/>
  <c r="K52" i="5"/>
  <c r="J52" i="5"/>
  <c r="L52" i="5"/>
  <c r="O52" i="5" s="1"/>
  <c r="AB52" i="5" s="1" a="1"/>
  <c r="AB52" i="5" s="1"/>
  <c r="E53" i="5" s="1"/>
  <c r="BG63" i="4"/>
  <c r="BI63" i="4"/>
  <c r="BH63" i="4"/>
  <c r="BD64" i="4"/>
  <c r="BB64" i="4"/>
  <c r="BE64" i="4"/>
  <c r="BF64" i="4"/>
  <c r="BC64" i="4"/>
  <c r="BA64" i="4"/>
  <c r="AZ64" i="4"/>
  <c r="H64" i="4"/>
  <c r="G64" i="4"/>
  <c r="F64" i="4"/>
  <c r="AN34" i="4"/>
  <c r="J34" i="4"/>
  <c r="AI34" i="4"/>
  <c r="K34" i="4"/>
  <c r="AC34" i="4"/>
  <c r="M34" i="4"/>
  <c r="AF34" i="4"/>
  <c r="AM34" i="4"/>
  <c r="AR34" i="4"/>
  <c r="N34" i="4"/>
  <c r="AO34" i="4"/>
  <c r="AL34" i="4"/>
  <c r="AE34" i="4"/>
  <c r="AD34" i="4"/>
  <c r="AK34" i="4"/>
  <c r="AG34" i="4"/>
  <c r="O34" i="4"/>
  <c r="AP34" i="4"/>
  <c r="R52" i="3"/>
  <c r="V52" i="3" s="1"/>
  <c r="E52" i="3"/>
  <c r="S52" i="3"/>
  <c r="P52" i="3"/>
  <c r="T52" i="3" s="1"/>
  <c r="AO52" i="3" s="1" a="1"/>
  <c r="Q52" i="3"/>
  <c r="U52" i="3" s="1"/>
  <c r="J53" i="5" l="1"/>
  <c r="K53" i="5"/>
  <c r="L53" i="5" s="1"/>
  <c r="O53" i="5" s="1"/>
  <c r="AA53" i="5"/>
  <c r="W53" i="5"/>
  <c r="D52" i="5"/>
  <c r="N52" i="5"/>
  <c r="Q52" i="5" s="1"/>
  <c r="R52" i="5" s="1" a="1"/>
  <c r="R52" i="5" s="1"/>
  <c r="F53" i="5"/>
  <c r="BG64" i="4"/>
  <c r="BI64" i="4"/>
  <c r="BH64" i="4"/>
  <c r="BB65" i="4"/>
  <c r="BA65" i="4"/>
  <c r="AZ65" i="4"/>
  <c r="BF65" i="4"/>
  <c r="BE65" i="4"/>
  <c r="BC65" i="4"/>
  <c r="BD65" i="4"/>
  <c r="R34" i="4"/>
  <c r="V34" i="4" s="1"/>
  <c r="H65" i="4"/>
  <c r="G65" i="4"/>
  <c r="F65" i="4"/>
  <c r="P34" i="4"/>
  <c r="T34" i="4" s="1"/>
  <c r="AS34" i="4" s="1" a="1"/>
  <c r="AS34" i="4" s="1"/>
  <c r="S34" i="4"/>
  <c r="E34" i="4"/>
  <c r="Q34" i="4"/>
  <c r="U34" i="4" s="1"/>
  <c r="W52" i="3"/>
  <c r="X52" i="3" a="1"/>
  <c r="X52" i="3" s="1"/>
  <c r="AO52" i="3"/>
  <c r="F53" i="3" s="1"/>
  <c r="AB53" i="5" l="1" a="1"/>
  <c r="AB53" i="5" s="1"/>
  <c r="E54" i="5" s="1"/>
  <c r="X53" i="5"/>
  <c r="H53" i="5"/>
  <c r="M53" i="5" s="1"/>
  <c r="P53" i="5" s="1"/>
  <c r="BI65" i="4"/>
  <c r="BH65" i="4"/>
  <c r="BG65" i="4"/>
  <c r="AZ66" i="4"/>
  <c r="BB66" i="4"/>
  <c r="BD66" i="4"/>
  <c r="BF66" i="4"/>
  <c r="BE66" i="4"/>
  <c r="BC66" i="4"/>
  <c r="BA66" i="4"/>
  <c r="G66" i="4"/>
  <c r="H66" i="4"/>
  <c r="F66" i="4"/>
  <c r="W34" i="4"/>
  <c r="AB34" i="4" s="1" a="1"/>
  <c r="AB34" i="4" s="1"/>
  <c r="AX34" i="4" s="1"/>
  <c r="AE53" i="3"/>
  <c r="AJ53" i="3"/>
  <c r="K53" i="3"/>
  <c r="AB53" i="3"/>
  <c r="Y53" i="3"/>
  <c r="AK53" i="3"/>
  <c r="N53" i="3"/>
  <c r="M53" i="3"/>
  <c r="AI53" i="3"/>
  <c r="AN53" i="3"/>
  <c r="AH53" i="3"/>
  <c r="AA53" i="3"/>
  <c r="AC53" i="3"/>
  <c r="J53" i="3"/>
  <c r="AL53" i="3"/>
  <c r="AG53" i="3"/>
  <c r="O53" i="3"/>
  <c r="Z53" i="3"/>
  <c r="W54" i="5" l="1"/>
  <c r="J54" i="5"/>
  <c r="K54" i="5"/>
  <c r="L54" i="5" s="1"/>
  <c r="O54" i="5" s="1"/>
  <c r="F54" i="5"/>
  <c r="D53" i="5"/>
  <c r="N53" i="5"/>
  <c r="BI66" i="4"/>
  <c r="BH66" i="4"/>
  <c r="BG66" i="4"/>
  <c r="BF67" i="4"/>
  <c r="BE67" i="4"/>
  <c r="BD67" i="4"/>
  <c r="BC67" i="4"/>
  <c r="BB67" i="4"/>
  <c r="AZ67" i="4"/>
  <c r="BA67" i="4"/>
  <c r="G67" i="4"/>
  <c r="H67" i="4"/>
  <c r="F67" i="4"/>
  <c r="X34" i="4" a="1"/>
  <c r="X34" i="4" s="1"/>
  <c r="AW34" i="4"/>
  <c r="R53" i="3"/>
  <c r="V53" i="3" s="1"/>
  <c r="S53" i="3"/>
  <c r="E53" i="3"/>
  <c r="AO53" i="3" a="1"/>
  <c r="P53" i="3"/>
  <c r="T53" i="3" s="1"/>
  <c r="Q53" i="3"/>
  <c r="U53" i="3" s="1"/>
  <c r="H54" i="5" l="1"/>
  <c r="M54" i="5" s="1"/>
  <c r="P54" i="5" s="1"/>
  <c r="AB54" i="5" s="1" a="1"/>
  <c r="X54" i="5"/>
  <c r="N54" i="5"/>
  <c r="D54" i="5"/>
  <c r="AA54" i="5"/>
  <c r="Q53" i="5"/>
  <c r="R53" i="5" s="1" a="1"/>
  <c r="R53" i="5" s="1"/>
  <c r="BI67" i="4"/>
  <c r="BH67" i="4"/>
  <c r="BG67" i="4"/>
  <c r="BD68" i="4"/>
  <c r="BC68" i="4"/>
  <c r="BF68" i="4"/>
  <c r="BB68" i="4"/>
  <c r="BA68" i="4"/>
  <c r="AZ68" i="4"/>
  <c r="BE68" i="4"/>
  <c r="G68" i="4"/>
  <c r="F68" i="4"/>
  <c r="H68" i="4"/>
  <c r="AY35" i="4"/>
  <c r="AO53" i="3"/>
  <c r="F54" i="3" s="1"/>
  <c r="W53" i="3"/>
  <c r="X53" i="3" s="1" a="1"/>
  <c r="X53" i="3" s="1"/>
  <c r="AB54" i="5" l="1"/>
  <c r="E55" i="5" s="1"/>
  <c r="F55" i="5"/>
  <c r="Q54" i="5"/>
  <c r="R54" i="5" s="1" a="1"/>
  <c r="R54" i="5" s="1"/>
  <c r="BH68" i="4"/>
  <c r="BG68" i="4"/>
  <c r="BI68" i="4"/>
  <c r="BB69" i="4"/>
  <c r="BA69" i="4"/>
  <c r="BF69" i="4"/>
  <c r="BC69" i="4"/>
  <c r="AZ69" i="4"/>
  <c r="BE69" i="4"/>
  <c r="BD69" i="4"/>
  <c r="F69" i="4"/>
  <c r="H69" i="4"/>
  <c r="G69" i="4"/>
  <c r="AD35" i="4"/>
  <c r="AE35" i="4"/>
  <c r="AK35" i="4"/>
  <c r="AG35" i="4"/>
  <c r="AL35" i="4"/>
  <c r="O35" i="4"/>
  <c r="AP35" i="4"/>
  <c r="AI35" i="4"/>
  <c r="AN35" i="4"/>
  <c r="K35" i="4"/>
  <c r="J35" i="4"/>
  <c r="M35" i="4"/>
  <c r="AC35" i="4"/>
  <c r="AR35" i="4"/>
  <c r="AM35" i="4"/>
  <c r="N35" i="4"/>
  <c r="AO35" i="4"/>
  <c r="AF35" i="4"/>
  <c r="AE54" i="3"/>
  <c r="AJ54" i="3"/>
  <c r="K54" i="3"/>
  <c r="Y54" i="3"/>
  <c r="AB54" i="3"/>
  <c r="M54" i="3"/>
  <c r="AK54" i="3"/>
  <c r="N54" i="3"/>
  <c r="AN54" i="3"/>
  <c r="AI54" i="3"/>
  <c r="J54" i="3"/>
  <c r="AG54" i="3"/>
  <c r="AC54" i="3"/>
  <c r="AL54" i="3"/>
  <c r="Z54" i="3"/>
  <c r="AH54" i="3"/>
  <c r="AA54" i="3"/>
  <c r="O54" i="3"/>
  <c r="R54" i="3" l="1"/>
  <c r="V54" i="3" s="1"/>
  <c r="H55" i="5"/>
  <c r="M55" i="5" s="1"/>
  <c r="P55" i="5" s="1"/>
  <c r="X55" i="5"/>
  <c r="J55" i="5"/>
  <c r="W55" i="5"/>
  <c r="AA55" i="5"/>
  <c r="K55" i="5"/>
  <c r="L55" i="5" s="1"/>
  <c r="O55" i="5" s="1"/>
  <c r="AB55" i="5" s="1" a="1"/>
  <c r="AB55" i="5" s="1"/>
  <c r="E56" i="5" s="1"/>
  <c r="BH69" i="4"/>
  <c r="BI69" i="4"/>
  <c r="BG69" i="4"/>
  <c r="AZ70" i="4"/>
  <c r="BE70" i="4"/>
  <c r="BC70" i="4"/>
  <c r="BA70" i="4"/>
  <c r="BF70" i="4"/>
  <c r="BD70" i="4"/>
  <c r="BB70" i="4"/>
  <c r="H70" i="4"/>
  <c r="F70" i="4"/>
  <c r="G70" i="4"/>
  <c r="P35" i="4"/>
  <c r="T35" i="4" s="1"/>
  <c r="AS35" i="4" s="1" a="1"/>
  <c r="AS35" i="4" s="1"/>
  <c r="Q35" i="4"/>
  <c r="U35" i="4" s="1"/>
  <c r="R35" i="4"/>
  <c r="V35" i="4" s="1"/>
  <c r="S35" i="4"/>
  <c r="E35" i="4"/>
  <c r="P54" i="3"/>
  <c r="T54" i="3" s="1"/>
  <c r="Q54" i="3"/>
  <c r="U54" i="3" s="1"/>
  <c r="E54" i="3"/>
  <c r="S54" i="3"/>
  <c r="AO54" i="3" a="1"/>
  <c r="W56" i="5" l="1"/>
  <c r="K56" i="5"/>
  <c r="J56" i="5"/>
  <c r="N55" i="5"/>
  <c r="D55" i="5"/>
  <c r="F56" i="5"/>
  <c r="BI70" i="4"/>
  <c r="BH70" i="4"/>
  <c r="BG70" i="4"/>
  <c r="AZ71" i="4"/>
  <c r="BD71" i="4"/>
  <c r="BE71" i="4"/>
  <c r="BF71" i="4"/>
  <c r="BA71" i="4"/>
  <c r="BC71" i="4"/>
  <c r="BB71" i="4"/>
  <c r="F71" i="4"/>
  <c r="H71" i="4"/>
  <c r="G71" i="4"/>
  <c r="AB35" i="4" a="1"/>
  <c r="AB35" i="4" s="1"/>
  <c r="AX35" i="4" s="1"/>
  <c r="W35" i="4"/>
  <c r="X35" i="4" s="1" a="1"/>
  <c r="X35" i="4" s="1"/>
  <c r="W54" i="3"/>
  <c r="X54" i="3" s="1" a="1"/>
  <c r="X54" i="3" s="1"/>
  <c r="AO54" i="3"/>
  <c r="F55" i="3" s="1"/>
  <c r="Q55" i="5" l="1"/>
  <c r="R55" i="5" s="1" a="1"/>
  <c r="R55" i="5" s="1"/>
  <c r="L56" i="5"/>
  <c r="O56" i="5" s="1"/>
  <c r="X56" i="5"/>
  <c r="H56" i="5"/>
  <c r="M56" i="5" s="1"/>
  <c r="P56" i="5" s="1"/>
  <c r="AA56" i="5"/>
  <c r="BG71" i="4"/>
  <c r="BI71" i="4"/>
  <c r="BH71" i="4"/>
  <c r="BF72" i="4"/>
  <c r="BD72" i="4"/>
  <c r="BA72" i="4"/>
  <c r="BC72" i="4"/>
  <c r="BB72" i="4"/>
  <c r="BE72" i="4"/>
  <c r="AZ72" i="4"/>
  <c r="H72" i="4"/>
  <c r="G72" i="4"/>
  <c r="F72" i="4"/>
  <c r="AW35" i="4"/>
  <c r="AJ55" i="3"/>
  <c r="K55" i="3"/>
  <c r="AE55" i="3"/>
  <c r="AB55" i="3"/>
  <c r="M55" i="3"/>
  <c r="Y55" i="3"/>
  <c r="AK55" i="3"/>
  <c r="N55" i="3"/>
  <c r="AI55" i="3"/>
  <c r="AN55" i="3"/>
  <c r="AA55" i="3"/>
  <c r="O55" i="3"/>
  <c r="AG55" i="3"/>
  <c r="AH55" i="3"/>
  <c r="Z55" i="3"/>
  <c r="AC55" i="3"/>
  <c r="AL55" i="3"/>
  <c r="J55" i="3"/>
  <c r="R55" i="3" s="1"/>
  <c r="V55" i="3" s="1"/>
  <c r="N56" i="5" l="1"/>
  <c r="Q56" i="5" s="1"/>
  <c r="R56" i="5" s="1" a="1"/>
  <c r="R56" i="5" s="1"/>
  <c r="D56" i="5"/>
  <c r="AB56" i="5" a="1"/>
  <c r="BI72" i="4"/>
  <c r="BH72" i="4"/>
  <c r="BG72" i="4"/>
  <c r="BB73" i="4"/>
  <c r="AZ73" i="4"/>
  <c r="BF73" i="4"/>
  <c r="BE73" i="4"/>
  <c r="BD73" i="4"/>
  <c r="BA73" i="4"/>
  <c r="BC73" i="4"/>
  <c r="H73" i="4"/>
  <c r="G73" i="4"/>
  <c r="F73" i="4"/>
  <c r="AY36" i="4"/>
  <c r="E55" i="3"/>
  <c r="S55" i="3"/>
  <c r="AO55" i="3" a="1"/>
  <c r="P55" i="3"/>
  <c r="T55" i="3" s="1"/>
  <c r="Q55" i="3"/>
  <c r="U55" i="3" s="1"/>
  <c r="AB56" i="5" l="1"/>
  <c r="E57" i="5" s="1"/>
  <c r="F57" i="5"/>
  <c r="BI73" i="4"/>
  <c r="BH73" i="4"/>
  <c r="BG73" i="4"/>
  <c r="AO36" i="4"/>
  <c r="N36" i="4"/>
  <c r="AF36" i="4"/>
  <c r="AC36" i="4"/>
  <c r="AM36" i="4"/>
  <c r="M36" i="4"/>
  <c r="AR36" i="4"/>
  <c r="AL36" i="4"/>
  <c r="AD36" i="4"/>
  <c r="O36" i="4"/>
  <c r="AK36" i="4"/>
  <c r="AP36" i="4"/>
  <c r="AG36" i="4"/>
  <c r="AE36" i="4"/>
  <c r="AI36" i="4"/>
  <c r="AN36" i="4"/>
  <c r="J36" i="4"/>
  <c r="K36" i="4"/>
  <c r="X55" i="3" a="1"/>
  <c r="X55" i="3" s="1"/>
  <c r="W55" i="3"/>
  <c r="AO55" i="3"/>
  <c r="F56" i="3" s="1"/>
  <c r="X57" i="5" l="1"/>
  <c r="H57" i="5"/>
  <c r="M57" i="5"/>
  <c r="P57" i="5" s="1"/>
  <c r="K57" i="5"/>
  <c r="W57" i="5"/>
  <c r="AA57" i="5"/>
  <c r="J57" i="5"/>
  <c r="Q36" i="4"/>
  <c r="U36" i="4" s="1"/>
  <c r="R36" i="4"/>
  <c r="V36" i="4" s="1"/>
  <c r="E36" i="4"/>
  <c r="S36" i="4"/>
  <c r="P36" i="4"/>
  <c r="T36" i="4" s="1"/>
  <c r="AB36" i="4" s="1" a="1"/>
  <c r="AB36" i="4" s="1"/>
  <c r="AE56" i="3"/>
  <c r="K56" i="3"/>
  <c r="AJ56" i="3"/>
  <c r="M56" i="3"/>
  <c r="AB56" i="3"/>
  <c r="AK56" i="3"/>
  <c r="Y56" i="3"/>
  <c r="N56" i="3"/>
  <c r="AN56" i="3"/>
  <c r="AI56" i="3"/>
  <c r="AC56" i="3"/>
  <c r="AA56" i="3"/>
  <c r="J56" i="3"/>
  <c r="AG56" i="3"/>
  <c r="Z56" i="3"/>
  <c r="AL56" i="3"/>
  <c r="AH56" i="3"/>
  <c r="O56" i="3"/>
  <c r="R56" i="3" l="1"/>
  <c r="V56" i="3" s="1"/>
  <c r="AB57" i="5" a="1"/>
  <c r="L57" i="5"/>
  <c r="O57" i="5" s="1"/>
  <c r="D57" i="5"/>
  <c r="N57" i="5"/>
  <c r="Q57" i="5" s="1"/>
  <c r="R57" i="5" s="1" a="1"/>
  <c r="R57" i="5" s="1"/>
  <c r="AS36" i="4" a="1"/>
  <c r="AS36" i="4" s="1"/>
  <c r="W36" i="4"/>
  <c r="X36" i="4" s="1" a="1"/>
  <c r="X36" i="4" s="1"/>
  <c r="AX36" i="4"/>
  <c r="AW36" i="4"/>
  <c r="Q56" i="3"/>
  <c r="U56" i="3" s="1"/>
  <c r="P56" i="3"/>
  <c r="T56" i="3" s="1"/>
  <c r="AO56" i="3" s="1" a="1"/>
  <c r="E56" i="3"/>
  <c r="S56" i="3"/>
  <c r="W56" i="3" l="1"/>
  <c r="X56" i="3" s="1" a="1"/>
  <c r="X56" i="3" s="1"/>
  <c r="AB57" i="5"/>
  <c r="E58" i="5" s="1"/>
  <c r="F58" i="5"/>
  <c r="AO56" i="3"/>
  <c r="F57" i="3" s="1"/>
  <c r="X58" i="5" l="1"/>
  <c r="H58" i="5"/>
  <c r="M58" i="5" s="1"/>
  <c r="P58" i="5" s="1"/>
  <c r="J58" i="5"/>
  <c r="K58" i="5"/>
  <c r="W58" i="5"/>
  <c r="AA58" i="5"/>
  <c r="AY37" i="4"/>
  <c r="AJ57" i="3"/>
  <c r="K57" i="3"/>
  <c r="AE57" i="3"/>
  <c r="M57" i="3"/>
  <c r="AK57" i="3"/>
  <c r="N57" i="3"/>
  <c r="AB57" i="3"/>
  <c r="Y57" i="3"/>
  <c r="AN57" i="3"/>
  <c r="AI57" i="3"/>
  <c r="AG57" i="3"/>
  <c r="AA57" i="3"/>
  <c r="J57" i="3"/>
  <c r="R57" i="3" s="1"/>
  <c r="V57" i="3" s="1"/>
  <c r="AL57" i="3"/>
  <c r="O57" i="3"/>
  <c r="Z57" i="3"/>
  <c r="AH57" i="3"/>
  <c r="AC57" i="3"/>
  <c r="D58" i="5" l="1"/>
  <c r="N58" i="5"/>
  <c r="Q58" i="5" s="1"/>
  <c r="R58" i="5" s="1" a="1"/>
  <c r="R58" i="5" s="1"/>
  <c r="L58" i="5"/>
  <c r="O58" i="5" s="1"/>
  <c r="AB58" i="5" s="1" a="1"/>
  <c r="AL37" i="4"/>
  <c r="AG37" i="4"/>
  <c r="AE37" i="4"/>
  <c r="AP37" i="4"/>
  <c r="AK37" i="4"/>
  <c r="O37" i="4"/>
  <c r="AD37" i="4"/>
  <c r="J37" i="4"/>
  <c r="K37" i="4"/>
  <c r="AN37" i="4"/>
  <c r="AI37" i="4"/>
  <c r="N37" i="4"/>
  <c r="AO37" i="4"/>
  <c r="AC37" i="4"/>
  <c r="AM37" i="4"/>
  <c r="AR37" i="4"/>
  <c r="M37" i="4"/>
  <c r="AF37" i="4"/>
  <c r="P57" i="3"/>
  <c r="T57" i="3" s="1"/>
  <c r="Q57" i="3"/>
  <c r="U57" i="3" s="1"/>
  <c r="AO57" i="3" a="1"/>
  <c r="E57" i="3"/>
  <c r="S57" i="3"/>
  <c r="W57" i="3" l="1"/>
  <c r="X57" i="3" a="1"/>
  <c r="X57" i="3" s="1"/>
  <c r="AB58" i="5"/>
  <c r="E59" i="5" s="1"/>
  <c r="F59" i="5"/>
  <c r="P37" i="4"/>
  <c r="T37" i="4" s="1"/>
  <c r="AB37" i="4" s="1" a="1"/>
  <c r="AB37" i="4" s="1"/>
  <c r="AX37" i="4" s="1"/>
  <c r="Q37" i="4"/>
  <c r="U37" i="4" s="1"/>
  <c r="R37" i="4"/>
  <c r="V37" i="4" s="1"/>
  <c r="E37" i="4"/>
  <c r="S37" i="4"/>
  <c r="AO57" i="3"/>
  <c r="F58" i="3" s="1"/>
  <c r="X59" i="5" l="1"/>
  <c r="H59" i="5"/>
  <c r="M59" i="5" s="1"/>
  <c r="P59" i="5" s="1"/>
  <c r="J59" i="5"/>
  <c r="W59" i="5"/>
  <c r="AA59" i="5"/>
  <c r="K59" i="5"/>
  <c r="L59" i="5" s="1"/>
  <c r="O59" i="5" s="1"/>
  <c r="AB59" i="5" s="1" a="1"/>
  <c r="AS37" i="4" a="1"/>
  <c r="AS37" i="4" s="1"/>
  <c r="W37" i="4"/>
  <c r="X37" i="4" s="1" a="1"/>
  <c r="X37" i="4" s="1"/>
  <c r="AW37" i="4"/>
  <c r="AJ58" i="3"/>
  <c r="AE58" i="3"/>
  <c r="K58" i="3"/>
  <c r="N58" i="3"/>
  <c r="AK58" i="3"/>
  <c r="Y58" i="3"/>
  <c r="AB58" i="3"/>
  <c r="M58" i="3"/>
  <c r="AI58" i="3"/>
  <c r="AN58" i="3"/>
  <c r="AH58" i="3"/>
  <c r="AA58" i="3"/>
  <c r="AC58" i="3"/>
  <c r="J58" i="3"/>
  <c r="R58" i="3" s="1"/>
  <c r="V58" i="3" s="1"/>
  <c r="AL58" i="3"/>
  <c r="AG58" i="3"/>
  <c r="Z58" i="3"/>
  <c r="O58" i="3"/>
  <c r="AB59" i="5" l="1"/>
  <c r="E60" i="5" s="1"/>
  <c r="F60" i="5"/>
  <c r="D59" i="5"/>
  <c r="N59" i="5"/>
  <c r="Q59" i="5" s="1"/>
  <c r="R59" i="5" s="1" a="1"/>
  <c r="R59" i="5" s="1"/>
  <c r="S58" i="3"/>
  <c r="E58" i="3"/>
  <c r="AO58" i="3" a="1"/>
  <c r="P58" i="3"/>
  <c r="T58" i="3" s="1"/>
  <c r="Q58" i="3"/>
  <c r="U58" i="3" s="1"/>
  <c r="AA60" i="5" l="1"/>
  <c r="J60" i="5"/>
  <c r="W60" i="5"/>
  <c r="K60" i="5"/>
  <c r="L60" i="5"/>
  <c r="O60" i="5" s="1"/>
  <c r="AB60" i="5" s="1" a="1"/>
  <c r="AB60" i="5" s="1"/>
  <c r="E61" i="5" s="1"/>
  <c r="X60" i="5"/>
  <c r="H60" i="5"/>
  <c r="M60" i="5" s="1"/>
  <c r="P60" i="5" s="1"/>
  <c r="AY38" i="4"/>
  <c r="N38" i="4"/>
  <c r="AC38" i="4"/>
  <c r="AR38" i="4"/>
  <c r="AM38" i="4"/>
  <c r="M38" i="4"/>
  <c r="AO38" i="4"/>
  <c r="AF38" i="4"/>
  <c r="AE38" i="4"/>
  <c r="O38" i="4"/>
  <c r="AD38" i="4"/>
  <c r="AK38" i="4"/>
  <c r="AP38" i="4"/>
  <c r="AG38" i="4"/>
  <c r="AL38" i="4"/>
  <c r="K38" i="4"/>
  <c r="AI38" i="4"/>
  <c r="AN38" i="4"/>
  <c r="J38" i="4"/>
  <c r="AO58" i="3"/>
  <c r="F59" i="3" s="1"/>
  <c r="W58" i="3"/>
  <c r="X58" i="3" s="1" a="1"/>
  <c r="X58" i="3" s="1"/>
  <c r="J61" i="5" l="1"/>
  <c r="K61" i="5"/>
  <c r="W61" i="5"/>
  <c r="L61" i="5"/>
  <c r="O61" i="5" s="1"/>
  <c r="F61" i="5"/>
  <c r="D60" i="5"/>
  <c r="N60" i="5"/>
  <c r="R38" i="4"/>
  <c r="V38" i="4" s="1"/>
  <c r="Q38" i="4"/>
  <c r="U38" i="4" s="1"/>
  <c r="S38" i="4"/>
  <c r="E38" i="4"/>
  <c r="P38" i="4"/>
  <c r="T38" i="4" s="1"/>
  <c r="AB38" i="4" s="1" a="1"/>
  <c r="AB38" i="4" s="1"/>
  <c r="AE59" i="3"/>
  <c r="K59" i="3"/>
  <c r="AJ59" i="3"/>
  <c r="AB59" i="3"/>
  <c r="AK59" i="3"/>
  <c r="Y59" i="3"/>
  <c r="M59" i="3"/>
  <c r="N59" i="3"/>
  <c r="AN59" i="3"/>
  <c r="AI59" i="3"/>
  <c r="J59" i="3"/>
  <c r="AA59" i="3"/>
  <c r="Z59" i="3"/>
  <c r="AG59" i="3"/>
  <c r="O59" i="3"/>
  <c r="AH59" i="3"/>
  <c r="AC59" i="3"/>
  <c r="AL59" i="3"/>
  <c r="X61" i="5" l="1"/>
  <c r="H61" i="5"/>
  <c r="M61" i="5" s="1"/>
  <c r="P61" i="5" s="1"/>
  <c r="AB61" i="5" s="1" a="1"/>
  <c r="AA61" i="5"/>
  <c r="Q60" i="5"/>
  <c r="R60" i="5" s="1" a="1"/>
  <c r="R60" i="5" s="1"/>
  <c r="AS38" i="4" a="1"/>
  <c r="AS38" i="4" s="1"/>
  <c r="AX38" i="4"/>
  <c r="AW38" i="4"/>
  <c r="W38" i="4"/>
  <c r="X38" i="4" s="1" a="1"/>
  <c r="X38" i="4" s="1"/>
  <c r="R59" i="3"/>
  <c r="V59" i="3" s="1"/>
  <c r="P59" i="3"/>
  <c r="T59" i="3" s="1"/>
  <c r="AO59" i="3" s="1" a="1"/>
  <c r="S59" i="3"/>
  <c r="E59" i="3"/>
  <c r="Q59" i="3"/>
  <c r="U59" i="3" s="1"/>
  <c r="AB61" i="5" l="1"/>
  <c r="E62" i="5" s="1"/>
  <c r="F62" i="5"/>
  <c r="N61" i="5"/>
  <c r="D61" i="5"/>
  <c r="AO59" i="3"/>
  <c r="F60" i="3" s="1"/>
  <c r="W59" i="3"/>
  <c r="X59" i="3" s="1" a="1"/>
  <c r="X59" i="3" s="1"/>
  <c r="Q61" i="5" l="1"/>
  <c r="R61" i="5" s="1" a="1"/>
  <c r="R61" i="5" s="1"/>
  <c r="H62" i="5"/>
  <c r="M62" i="5" s="1"/>
  <c r="P62" i="5" s="1"/>
  <c r="X62" i="5"/>
  <c r="AA62" i="5"/>
  <c r="W62" i="5"/>
  <c r="J62" i="5"/>
  <c r="K62" i="5"/>
  <c r="AY39" i="4"/>
  <c r="AE60" i="3"/>
  <c r="K60" i="3"/>
  <c r="AJ60" i="3"/>
  <c r="M60" i="3"/>
  <c r="Y60" i="3"/>
  <c r="AB60" i="3"/>
  <c r="AK60" i="3"/>
  <c r="N60" i="3"/>
  <c r="AI60" i="3"/>
  <c r="AN60" i="3"/>
  <c r="AG60" i="3"/>
  <c r="AL60" i="3"/>
  <c r="AA60" i="3"/>
  <c r="AC60" i="3"/>
  <c r="O60" i="3"/>
  <c r="J60" i="3"/>
  <c r="R60" i="3" s="1"/>
  <c r="V60" i="3" s="1"/>
  <c r="Z60" i="3"/>
  <c r="AH60" i="3"/>
  <c r="N62" i="5" l="1"/>
  <c r="D62" i="5"/>
  <c r="L62" i="5"/>
  <c r="O62" i="5" s="1"/>
  <c r="AB62" i="5" s="1" a="1"/>
  <c r="AB62" i="5" s="1"/>
  <c r="AG39" i="4"/>
  <c r="AD39" i="4"/>
  <c r="AK39" i="4"/>
  <c r="AE39" i="4"/>
  <c r="O39" i="4"/>
  <c r="AL39" i="4"/>
  <c r="AP39" i="4"/>
  <c r="AC39" i="4"/>
  <c r="AM39" i="4"/>
  <c r="AF39" i="4"/>
  <c r="AR39" i="4"/>
  <c r="N39" i="4"/>
  <c r="AO39" i="4"/>
  <c r="M39" i="4"/>
  <c r="AI39" i="4"/>
  <c r="AN39" i="4"/>
  <c r="J39" i="4"/>
  <c r="K39" i="4"/>
  <c r="P60" i="3"/>
  <c r="T60" i="3" s="1"/>
  <c r="Q60" i="3"/>
  <c r="U60" i="3" s="1"/>
  <c r="AO60" i="3" a="1"/>
  <c r="E60" i="3"/>
  <c r="S60" i="3"/>
  <c r="W60" i="3" l="1"/>
  <c r="X60" i="3" a="1"/>
  <c r="X60" i="3" s="1"/>
  <c r="Q62" i="5"/>
  <c r="R62" i="5" s="1" a="1"/>
  <c r="R62" i="5" s="1"/>
  <c r="R39" i="4"/>
  <c r="V39" i="4" s="1"/>
  <c r="Q39" i="4"/>
  <c r="U39" i="4" s="1"/>
  <c r="P39" i="4"/>
  <c r="T39" i="4" s="1"/>
  <c r="AB39" i="4" s="1" a="1"/>
  <c r="AB39" i="4" s="1"/>
  <c r="AX39" i="4" s="1"/>
  <c r="E39" i="4"/>
  <c r="S39" i="4"/>
  <c r="AO60" i="3"/>
  <c r="F61" i="3" s="1"/>
  <c r="AS39" i="4" l="1" a="1"/>
  <c r="AS39" i="4" s="1"/>
  <c r="AW39" i="4"/>
  <c r="W39" i="4"/>
  <c r="X39" i="4" s="1" a="1"/>
  <c r="X39" i="4" s="1"/>
  <c r="AE61" i="3"/>
  <c r="AJ61" i="3"/>
  <c r="K61" i="3"/>
  <c r="N61" i="3"/>
  <c r="AK61" i="3"/>
  <c r="AB61" i="3"/>
  <c r="Y61" i="3"/>
  <c r="M61" i="3"/>
  <c r="AI61" i="3"/>
  <c r="AN61" i="3"/>
  <c r="Z61" i="3"/>
  <c r="J61" i="3"/>
  <c r="R61" i="3" s="1"/>
  <c r="V61" i="3" s="1"/>
  <c r="AG61" i="3"/>
  <c r="O61" i="3"/>
  <c r="AA61" i="3"/>
  <c r="AH61" i="3"/>
  <c r="AL61" i="3"/>
  <c r="AC61" i="3"/>
  <c r="S61" i="3" l="1"/>
  <c r="E61" i="3"/>
  <c r="AO61" i="3" a="1"/>
  <c r="P61" i="3"/>
  <c r="T61" i="3" s="1"/>
  <c r="Q61" i="3"/>
  <c r="U61" i="3" s="1"/>
  <c r="AY40" i="4" l="1"/>
  <c r="J40" i="4"/>
  <c r="K40" i="4"/>
  <c r="AI40" i="4"/>
  <c r="AN40" i="4"/>
  <c r="AO61" i="3"/>
  <c r="F62" i="3" s="1"/>
  <c r="W61" i="3"/>
  <c r="X61" i="3" s="1" a="1"/>
  <c r="X61" i="3" s="1"/>
  <c r="AG40" i="4" l="1"/>
  <c r="AO40" i="4"/>
  <c r="O40" i="4"/>
  <c r="P40" i="4" s="1"/>
  <c r="T40" i="4" s="1"/>
  <c r="AB40" i="4" s="1" a="1"/>
  <c r="AB40" i="4" s="1"/>
  <c r="AX40" i="4" s="1"/>
  <c r="AD40" i="4"/>
  <c r="AK40" i="4"/>
  <c r="N40" i="4"/>
  <c r="AE40" i="4"/>
  <c r="AF40" i="4"/>
  <c r="M40" i="4"/>
  <c r="AM40" i="4"/>
  <c r="AL40" i="4"/>
  <c r="AR40" i="4"/>
  <c r="AP40" i="4"/>
  <c r="R40" i="4"/>
  <c r="V40" i="4" s="1"/>
  <c r="AE62" i="3"/>
  <c r="AJ62" i="3"/>
  <c r="K62" i="3"/>
  <c r="AK62" i="3"/>
  <c r="N62" i="3"/>
  <c r="AB62" i="3"/>
  <c r="M62" i="3"/>
  <c r="Y62" i="3"/>
  <c r="AN62" i="3"/>
  <c r="AI62" i="3"/>
  <c r="J62" i="3"/>
  <c r="Z62" i="3"/>
  <c r="AC62" i="3"/>
  <c r="AL62" i="3"/>
  <c r="AH62" i="3"/>
  <c r="O62" i="3"/>
  <c r="AA62" i="3"/>
  <c r="AG62" i="3"/>
  <c r="AC40" i="4" l="1"/>
  <c r="AS40" i="4" s="1" a="1"/>
  <c r="AS40" i="4" s="1"/>
  <c r="S40" i="4"/>
  <c r="Q40" i="4"/>
  <c r="U40" i="4" s="1"/>
  <c r="AW40" i="4"/>
  <c r="E40" i="4"/>
  <c r="R62" i="3"/>
  <c r="V62" i="3" s="1"/>
  <c r="E62" i="3"/>
  <c r="S62" i="3"/>
  <c r="P62" i="3"/>
  <c r="T62" i="3" s="1"/>
  <c r="Q62" i="3"/>
  <c r="U62" i="3" s="1"/>
  <c r="W40" i="4" l="1"/>
  <c r="X40" i="4" s="1" a="1"/>
  <c r="X40" i="4" s="1"/>
  <c r="W62" i="3"/>
  <c r="X62" i="3" a="1"/>
  <c r="X62" i="3" s="1"/>
  <c r="AO62" i="3" a="1"/>
  <c r="AY41" i="4" l="1"/>
  <c r="AP41" i="4"/>
  <c r="AO41" i="4"/>
  <c r="AF41" i="4"/>
  <c r="N41" i="4"/>
  <c r="M41" i="4"/>
  <c r="AO62" i="3"/>
  <c r="F63" i="3" s="1"/>
  <c r="AN41" i="4" l="1"/>
  <c r="AG41" i="4"/>
  <c r="O41" i="4"/>
  <c r="Q41" i="4" s="1"/>
  <c r="U41" i="4" s="1"/>
  <c r="AR41" i="4"/>
  <c r="AM41" i="4"/>
  <c r="AD41" i="4"/>
  <c r="AI41" i="4"/>
  <c r="AL41" i="4"/>
  <c r="AE41" i="4"/>
  <c r="AK41" i="4"/>
  <c r="K41" i="4"/>
  <c r="AJ63" i="3"/>
  <c r="AE63" i="3"/>
  <c r="K63" i="3"/>
  <c r="AK63" i="3"/>
  <c r="Y63" i="3"/>
  <c r="N63" i="3"/>
  <c r="M63" i="3"/>
  <c r="AB63" i="3"/>
  <c r="AN63" i="3"/>
  <c r="AI63" i="3"/>
  <c r="AA63" i="3"/>
  <c r="AL63" i="3"/>
  <c r="AG63" i="3"/>
  <c r="AH63" i="3"/>
  <c r="AC63" i="3"/>
  <c r="Z63" i="3"/>
  <c r="O63" i="3"/>
  <c r="J63" i="3"/>
  <c r="R63" i="3" s="1"/>
  <c r="V63" i="3" s="1"/>
  <c r="E41" i="4" l="1"/>
  <c r="J41" i="4"/>
  <c r="R41" i="4" s="1"/>
  <c r="V41" i="4" s="1"/>
  <c r="AC41" i="4"/>
  <c r="AS41" i="4" s="1" a="1"/>
  <c r="AS41" i="4" s="1"/>
  <c r="S41" i="4"/>
  <c r="P63" i="3"/>
  <c r="T63" i="3" s="1"/>
  <c r="S63" i="3"/>
  <c r="E63" i="3"/>
  <c r="AO63" i="3" a="1"/>
  <c r="Q63" i="3"/>
  <c r="U63" i="3" s="1"/>
  <c r="W41" i="4" l="1"/>
  <c r="P41" i="4"/>
  <c r="T41" i="4" s="1"/>
  <c r="AB41" i="4" s="1" a="1"/>
  <c r="AB41" i="4" s="1"/>
  <c r="AX41" i="4" s="1"/>
  <c r="AO63" i="3"/>
  <c r="F64" i="3" s="1"/>
  <c r="W63" i="3"/>
  <c r="X63" i="3" s="1" a="1"/>
  <c r="X63" i="3" s="1"/>
  <c r="AW41" i="4" l="1"/>
  <c r="X41" i="4" a="1"/>
  <c r="X41" i="4" s="1"/>
  <c r="AJ64" i="3"/>
  <c r="AE64" i="3"/>
  <c r="K64" i="3"/>
  <c r="Y64" i="3"/>
  <c r="AK64" i="3"/>
  <c r="N64" i="3"/>
  <c r="M64" i="3"/>
  <c r="AB64" i="3"/>
  <c r="AN64" i="3"/>
  <c r="AI64" i="3"/>
  <c r="Z64" i="3"/>
  <c r="O64" i="3"/>
  <c r="J64" i="3"/>
  <c r="AH64" i="3"/>
  <c r="AA64" i="3"/>
  <c r="AG64" i="3"/>
  <c r="AC64" i="3"/>
  <c r="AL64" i="3"/>
  <c r="R64" i="3" l="1"/>
  <c r="V64" i="3" s="1"/>
  <c r="AY42" i="4"/>
  <c r="S64" i="3"/>
  <c r="E64" i="3"/>
  <c r="P64" i="3"/>
  <c r="T64" i="3" s="1"/>
  <c r="Q64" i="3"/>
  <c r="U64" i="3" s="1"/>
  <c r="AO64" i="3" a="1"/>
  <c r="M42" i="4" l="1"/>
  <c r="AM42" i="4"/>
  <c r="AF42" i="4"/>
  <c r="AR42" i="4"/>
  <c r="N42" i="4"/>
  <c r="AC42" i="4"/>
  <c r="AO42" i="4"/>
  <c r="AP42" i="4"/>
  <c r="AD42" i="4"/>
  <c r="O42" i="4"/>
  <c r="AK42" i="4"/>
  <c r="AL42" i="4"/>
  <c r="AG42" i="4"/>
  <c r="AE42" i="4"/>
  <c r="AI42" i="4"/>
  <c r="AN42" i="4"/>
  <c r="J42" i="4"/>
  <c r="K42" i="4"/>
  <c r="AO64" i="3"/>
  <c r="F65" i="3" s="1"/>
  <c r="W64" i="3"/>
  <c r="X64" i="3" s="1" a="1"/>
  <c r="X64" i="3" s="1"/>
  <c r="P42" i="4" l="1"/>
  <c r="T42" i="4" s="1"/>
  <c r="AB42" i="4" s="1" a="1"/>
  <c r="AB42" i="4" s="1"/>
  <c r="AX42" i="4" s="1"/>
  <c r="Q42" i="4"/>
  <c r="U42" i="4" s="1"/>
  <c r="S42" i="4"/>
  <c r="E42" i="4"/>
  <c r="R42" i="4"/>
  <c r="V42" i="4" s="1"/>
  <c r="AJ65" i="3"/>
  <c r="AE65" i="3"/>
  <c r="K65" i="3"/>
  <c r="N65" i="3"/>
  <c r="M65" i="3"/>
  <c r="Y65" i="3"/>
  <c r="AB65" i="3"/>
  <c r="AK65" i="3"/>
  <c r="AI65" i="3"/>
  <c r="AN65" i="3"/>
  <c r="AG65" i="3"/>
  <c r="AL65" i="3"/>
  <c r="AC65" i="3"/>
  <c r="AH65" i="3"/>
  <c r="AA65" i="3"/>
  <c r="Z65" i="3"/>
  <c r="O65" i="3"/>
  <c r="J65" i="3"/>
  <c r="AS42" i="4" l="1" a="1"/>
  <c r="AS42" i="4" s="1"/>
  <c r="AW42" i="4"/>
  <c r="W42" i="4"/>
  <c r="X42" i="4" s="1" a="1"/>
  <c r="X42" i="4" s="1"/>
  <c r="R65" i="3"/>
  <c r="V65" i="3" s="1"/>
  <c r="AO65" i="3" a="1"/>
  <c r="S65" i="3"/>
  <c r="E65" i="3"/>
  <c r="P65" i="3"/>
  <c r="T65" i="3" s="1"/>
  <c r="Q65" i="3"/>
  <c r="U65" i="3" s="1"/>
  <c r="W65" i="3" l="1"/>
  <c r="X65" i="3" s="1" a="1"/>
  <c r="X65" i="3" s="1"/>
  <c r="AO65" i="3"/>
  <c r="F66" i="3" s="1"/>
  <c r="AY43" i="4" l="1"/>
  <c r="AD43" i="4"/>
  <c r="O43" i="4"/>
  <c r="AL43" i="4"/>
  <c r="AG43" i="4"/>
  <c r="AE43" i="4"/>
  <c r="AP43" i="4"/>
  <c r="AK43" i="4"/>
  <c r="K43" i="4"/>
  <c r="AN43" i="4"/>
  <c r="AI43" i="4"/>
  <c r="J43" i="4"/>
  <c r="AR43" i="4"/>
  <c r="N43" i="4"/>
  <c r="M43" i="4"/>
  <c r="AM43" i="4"/>
  <c r="AC43" i="4"/>
  <c r="AF43" i="4"/>
  <c r="AO43" i="4"/>
  <c r="AE66" i="3"/>
  <c r="K66" i="3"/>
  <c r="AJ66" i="3"/>
  <c r="N66" i="3"/>
  <c r="Y66" i="3"/>
  <c r="AK66" i="3"/>
  <c r="M66" i="3"/>
  <c r="AB66" i="3"/>
  <c r="AN66" i="3"/>
  <c r="AI66" i="3"/>
  <c r="AG66" i="3"/>
  <c r="AA66" i="3"/>
  <c r="AH66" i="3"/>
  <c r="O66" i="3"/>
  <c r="AL66" i="3"/>
  <c r="Z66" i="3"/>
  <c r="AC66" i="3"/>
  <c r="J66" i="3"/>
  <c r="R66" i="3" l="1"/>
  <c r="V66" i="3" s="1"/>
  <c r="Q43" i="4"/>
  <c r="U43" i="4" s="1"/>
  <c r="R43" i="4"/>
  <c r="V43" i="4" s="1"/>
  <c r="E43" i="4"/>
  <c r="S43" i="4"/>
  <c r="P43" i="4"/>
  <c r="T43" i="4" s="1"/>
  <c r="AB43" i="4" s="1" a="1"/>
  <c r="AB43" i="4" s="1"/>
  <c r="AW43" i="4" s="1"/>
  <c r="P66" i="3"/>
  <c r="T66" i="3" s="1"/>
  <c r="S66" i="3"/>
  <c r="E66" i="3"/>
  <c r="AO66" i="3" a="1"/>
  <c r="Q66" i="3"/>
  <c r="U66" i="3" s="1"/>
  <c r="AS43" i="4" l="1" a="1"/>
  <c r="AS43" i="4" s="1"/>
  <c r="W43" i="4"/>
  <c r="X43" i="4" s="1" a="1"/>
  <c r="X43" i="4" s="1"/>
  <c r="AX43" i="4"/>
  <c r="AO66" i="3"/>
  <c r="F67" i="3" s="1"/>
  <c r="W66" i="3"/>
  <c r="X66" i="3" s="1" a="1"/>
  <c r="X66" i="3" s="1"/>
  <c r="AY44" i="4" l="1"/>
  <c r="AE67" i="3"/>
  <c r="AJ67" i="3"/>
  <c r="K67" i="3"/>
  <c r="AB67" i="3"/>
  <c r="N67" i="3"/>
  <c r="AK67" i="3"/>
  <c r="Y67" i="3"/>
  <c r="M67" i="3"/>
  <c r="AN67" i="3"/>
  <c r="AI67" i="3"/>
  <c r="AH67" i="3"/>
  <c r="AG67" i="3"/>
  <c r="O67" i="3"/>
  <c r="Z67" i="3"/>
  <c r="AL67" i="3"/>
  <c r="AA67" i="3"/>
  <c r="J67" i="3"/>
  <c r="AC67" i="3"/>
  <c r="AL44" i="4" l="1"/>
  <c r="O44" i="4"/>
  <c r="AK44" i="4"/>
  <c r="AP44" i="4"/>
  <c r="AG44" i="4"/>
  <c r="AE44" i="4"/>
  <c r="AD44" i="4"/>
  <c r="AR44" i="4"/>
  <c r="AO44" i="4"/>
  <c r="M44" i="4"/>
  <c r="AM44" i="4"/>
  <c r="AC44" i="4"/>
  <c r="AF44" i="4"/>
  <c r="N44" i="4"/>
  <c r="K44" i="4"/>
  <c r="AN44" i="4"/>
  <c r="J44" i="4"/>
  <c r="AI44" i="4"/>
  <c r="R67" i="3"/>
  <c r="V67" i="3" s="1"/>
  <c r="P67" i="3"/>
  <c r="T67" i="3" s="1"/>
  <c r="E67" i="3"/>
  <c r="S67" i="3"/>
  <c r="AO67" i="3" a="1"/>
  <c r="Q67" i="3"/>
  <c r="U67" i="3" s="1"/>
  <c r="Q44" i="4" l="1"/>
  <c r="U44" i="4" s="1"/>
  <c r="P44" i="4"/>
  <c r="T44" i="4" s="1"/>
  <c r="AB44" i="4" s="1" a="1"/>
  <c r="AB44" i="4" s="1"/>
  <c r="R44" i="4"/>
  <c r="V44" i="4" s="1"/>
  <c r="E44" i="4"/>
  <c r="S44" i="4"/>
  <c r="W67" i="3"/>
  <c r="X67" i="3" s="1" a="1"/>
  <c r="X67" i="3" s="1"/>
  <c r="AO67" i="3"/>
  <c r="F68" i="3" s="1"/>
  <c r="AS44" i="4" l="1" a="1"/>
  <c r="AS44" i="4" s="1"/>
  <c r="W44" i="4"/>
  <c r="X44" i="4" s="1" a="1"/>
  <c r="X44" i="4" s="1"/>
  <c r="AW44" i="4"/>
  <c r="AX44" i="4"/>
  <c r="K68" i="3"/>
  <c r="AJ68" i="3"/>
  <c r="AE68" i="3"/>
  <c r="N68" i="3"/>
  <c r="M68" i="3"/>
  <c r="AK68" i="3"/>
  <c r="AB68" i="3"/>
  <c r="Y68" i="3"/>
  <c r="AN68" i="3"/>
  <c r="AI68" i="3"/>
  <c r="O68" i="3"/>
  <c r="AL68" i="3"/>
  <c r="J68" i="3"/>
  <c r="AG68" i="3"/>
  <c r="AC68" i="3"/>
  <c r="AH68" i="3"/>
  <c r="Z68" i="3"/>
  <c r="AA68" i="3"/>
  <c r="R68" i="3" l="1"/>
  <c r="V68" i="3" s="1"/>
  <c r="AY45" i="4"/>
  <c r="E68" i="3"/>
  <c r="S68" i="3"/>
  <c r="AO68" i="3" a="1"/>
  <c r="P68" i="3"/>
  <c r="T68" i="3" s="1"/>
  <c r="Q68" i="3"/>
  <c r="U68" i="3" s="1"/>
  <c r="AO68" i="3" l="1"/>
  <c r="F69" i="3" s="1"/>
  <c r="W68" i="3"/>
  <c r="X68" i="3" s="1" a="1"/>
  <c r="X68" i="3" s="1"/>
  <c r="AM45" i="4" l="1"/>
  <c r="AR45" i="4"/>
  <c r="AC45" i="4"/>
  <c r="N45" i="4"/>
  <c r="M45" i="4"/>
  <c r="AO45" i="4"/>
  <c r="AF45" i="4"/>
  <c r="O45" i="4"/>
  <c r="AK45" i="4"/>
  <c r="AP45" i="4"/>
  <c r="AD45" i="4"/>
  <c r="AE45" i="4"/>
  <c r="AL45" i="4"/>
  <c r="AG45" i="4"/>
  <c r="J45" i="4"/>
  <c r="AI45" i="4"/>
  <c r="AN45" i="4"/>
  <c r="K45" i="4"/>
  <c r="AJ69" i="3"/>
  <c r="K69" i="3"/>
  <c r="AE69" i="3"/>
  <c r="Y69" i="3"/>
  <c r="AK69" i="3"/>
  <c r="M69" i="3"/>
  <c r="AB69" i="3"/>
  <c r="N69" i="3"/>
  <c r="AN69" i="3"/>
  <c r="AI69" i="3"/>
  <c r="AC69" i="3"/>
  <c r="AA69" i="3"/>
  <c r="Z69" i="3"/>
  <c r="AH69" i="3"/>
  <c r="AG69" i="3"/>
  <c r="O69" i="3"/>
  <c r="AL69" i="3"/>
  <c r="J69" i="3"/>
  <c r="R69" i="3" l="1"/>
  <c r="V69" i="3" s="1"/>
  <c r="R45" i="4"/>
  <c r="V45" i="4" s="1"/>
  <c r="Q45" i="4"/>
  <c r="U45" i="4" s="1"/>
  <c r="P45" i="4"/>
  <c r="T45" i="4" s="1"/>
  <c r="AB45" i="4" s="1" a="1"/>
  <c r="AB45" i="4" s="1"/>
  <c r="E45" i="4"/>
  <c r="S45" i="4"/>
  <c r="Q69" i="3"/>
  <c r="U69" i="3" s="1"/>
  <c r="E69" i="3"/>
  <c r="S69" i="3"/>
  <c r="P69" i="3"/>
  <c r="T69" i="3" s="1"/>
  <c r="X69" i="3" s="1" a="1"/>
  <c r="X69" i="3" s="1"/>
  <c r="AO69" i="3" a="1"/>
  <c r="AS45" i="4" l="1" a="1"/>
  <c r="AS45" i="4" s="1"/>
  <c r="W45" i="4"/>
  <c r="X45" i="4" s="1" a="1"/>
  <c r="X45" i="4" s="1"/>
  <c r="AX45" i="4"/>
  <c r="AW45" i="4"/>
  <c r="W69" i="3"/>
  <c r="AO69" i="3"/>
  <c r="F70" i="3" s="1"/>
  <c r="AY46" i="4" l="1"/>
  <c r="AE70" i="3"/>
  <c r="AJ70" i="3"/>
  <c r="K70" i="3"/>
  <c r="N70" i="3"/>
  <c r="Y70" i="3"/>
  <c r="M70" i="3"/>
  <c r="AB70" i="3"/>
  <c r="AK70" i="3"/>
  <c r="AI70" i="3"/>
  <c r="AN70" i="3"/>
  <c r="AC70" i="3"/>
  <c r="Z70" i="3"/>
  <c r="O70" i="3"/>
  <c r="AG70" i="3"/>
  <c r="AH70" i="3"/>
  <c r="AA70" i="3"/>
  <c r="AL70" i="3"/>
  <c r="J70" i="3"/>
  <c r="R70" i="3" l="1"/>
  <c r="V70" i="3" s="1"/>
  <c r="P70" i="3"/>
  <c r="T70" i="3" s="1"/>
  <c r="AO70" i="3" a="1"/>
  <c r="E70" i="3"/>
  <c r="S70" i="3"/>
  <c r="Q70" i="3"/>
  <c r="U70" i="3" s="1"/>
  <c r="X70" i="3" s="1" a="1"/>
  <c r="X70" i="3" s="1"/>
  <c r="AD46" i="4" l="1"/>
  <c r="AE46" i="4"/>
  <c r="O46" i="4"/>
  <c r="AL46" i="4"/>
  <c r="AK46" i="4"/>
  <c r="AP46" i="4"/>
  <c r="AG46" i="4"/>
  <c r="AN46" i="4"/>
  <c r="K46" i="4"/>
  <c r="J46" i="4"/>
  <c r="AI46" i="4"/>
  <c r="M46" i="4"/>
  <c r="N46" i="4"/>
  <c r="AO46" i="4"/>
  <c r="AC46" i="4"/>
  <c r="AR46" i="4"/>
  <c r="AM46" i="4"/>
  <c r="AF46" i="4"/>
  <c r="W70" i="3"/>
  <c r="AO70" i="3"/>
  <c r="F71" i="3" s="1"/>
  <c r="Q46" i="4" l="1"/>
  <c r="U46" i="4" s="1"/>
  <c r="P46" i="4"/>
  <c r="T46" i="4" s="1"/>
  <c r="AB46" i="4" s="1" a="1"/>
  <c r="AB46" i="4" s="1"/>
  <c r="AX46" i="4" s="1"/>
  <c r="R46" i="4"/>
  <c r="V46" i="4" s="1"/>
  <c r="E46" i="4"/>
  <c r="S46" i="4"/>
  <c r="K71" i="3"/>
  <c r="AE71" i="3"/>
  <c r="AJ71" i="3"/>
  <c r="AB71" i="3"/>
  <c r="N71" i="3"/>
  <c r="M71" i="3"/>
  <c r="AK71" i="3"/>
  <c r="Y71" i="3"/>
  <c r="AN71" i="3"/>
  <c r="AI71" i="3"/>
  <c r="Z71" i="3"/>
  <c r="O71" i="3"/>
  <c r="AG71" i="3"/>
  <c r="AC71" i="3"/>
  <c r="AL71" i="3"/>
  <c r="AH71" i="3"/>
  <c r="J71" i="3"/>
  <c r="AA71" i="3"/>
  <c r="R71" i="3" l="1"/>
  <c r="V71" i="3" s="1"/>
  <c r="W46" i="4"/>
  <c r="X46" i="4" s="1" a="1"/>
  <c r="X46" i="4" s="1"/>
  <c r="AS46" i="4" a="1"/>
  <c r="AS46" i="4" s="1"/>
  <c r="AW46" i="4"/>
  <c r="S71" i="3"/>
  <c r="E71" i="3"/>
  <c r="P71" i="3"/>
  <c r="T71" i="3" s="1"/>
  <c r="AO71" i="3" a="1"/>
  <c r="Q71" i="3"/>
  <c r="U71" i="3" s="1"/>
  <c r="AO71" i="3" l="1"/>
  <c r="F72" i="3" s="1"/>
  <c r="W71" i="3"/>
  <c r="X71" i="3" s="1" a="1"/>
  <c r="X71" i="3" s="1"/>
  <c r="AM47" i="4" l="1"/>
  <c r="AY47" i="4"/>
  <c r="AK47" i="4"/>
  <c r="AL47" i="4"/>
  <c r="O47" i="4"/>
  <c r="AE47" i="4"/>
  <c r="AP47" i="4"/>
  <c r="AG47" i="4"/>
  <c r="AD47" i="4"/>
  <c r="AF47" i="4"/>
  <c r="M47" i="4"/>
  <c r="AC47" i="4"/>
  <c r="AO47" i="4"/>
  <c r="K47" i="4"/>
  <c r="J47" i="4"/>
  <c r="AI47" i="4"/>
  <c r="AN47" i="4"/>
  <c r="AE72" i="3"/>
  <c r="AJ72" i="3"/>
  <c r="K72" i="3"/>
  <c r="N72" i="3"/>
  <c r="M72" i="3"/>
  <c r="AK72" i="3"/>
  <c r="Y72" i="3"/>
  <c r="AB72" i="3"/>
  <c r="AI72" i="3"/>
  <c r="AN72" i="3"/>
  <c r="O72" i="3"/>
  <c r="J72" i="3"/>
  <c r="AA72" i="3"/>
  <c r="AC72" i="3"/>
  <c r="AG72" i="3"/>
  <c r="AL72" i="3"/>
  <c r="Z72" i="3"/>
  <c r="AH72" i="3"/>
  <c r="R72" i="3" l="1"/>
  <c r="V72" i="3" s="1"/>
  <c r="AR47" i="4"/>
  <c r="N47" i="4"/>
  <c r="Q47" i="4" s="1"/>
  <c r="U47" i="4" s="1"/>
  <c r="R47" i="4"/>
  <c r="V47" i="4" s="1"/>
  <c r="P47" i="4"/>
  <c r="T47" i="4" s="1"/>
  <c r="AB47" i="4" s="1" a="1"/>
  <c r="AB47" i="4" s="1"/>
  <c r="AO72" i="3" a="1"/>
  <c r="S72" i="3"/>
  <c r="E72" i="3"/>
  <c r="P72" i="3"/>
  <c r="T72" i="3" s="1"/>
  <c r="Q72" i="3"/>
  <c r="U72" i="3" s="1"/>
  <c r="E47" i="4" l="1"/>
  <c r="S47" i="4"/>
  <c r="AS47" i="4" a="1"/>
  <c r="AS47" i="4" s="1"/>
  <c r="AW47" i="4"/>
  <c r="AX47" i="4"/>
  <c r="W72" i="3"/>
  <c r="X72" i="3" s="1" a="1"/>
  <c r="X72" i="3" s="1"/>
  <c r="AO72" i="3"/>
  <c r="F73" i="3" s="1"/>
  <c r="W47" i="4" l="1"/>
  <c r="X47" i="4" s="1" a="1"/>
  <c r="X47" i="4" s="1"/>
  <c r="AJ73" i="3"/>
  <c r="K73" i="3"/>
  <c r="AE73" i="3"/>
  <c r="M73" i="3"/>
  <c r="AK73" i="3"/>
  <c r="N73" i="3"/>
  <c r="Y73" i="3"/>
  <c r="AB73" i="3"/>
  <c r="AI73" i="3"/>
  <c r="AN73" i="3"/>
  <c r="AC73" i="3"/>
  <c r="AG73" i="3"/>
  <c r="AL73" i="3"/>
  <c r="Z73" i="3"/>
  <c r="AA73" i="3"/>
  <c r="AH73" i="3"/>
  <c r="J73" i="3"/>
  <c r="R73" i="3" s="1"/>
  <c r="V73" i="3" s="1"/>
  <c r="O73" i="3"/>
  <c r="AY48" i="4" l="1"/>
  <c r="Q73" i="3"/>
  <c r="U73" i="3" s="1"/>
  <c r="AO73" i="3" a="1"/>
  <c r="P73" i="3"/>
  <c r="T73" i="3" s="1"/>
  <c r="E73" i="3"/>
  <c r="S73" i="3"/>
  <c r="AN48" i="4" l="1"/>
  <c r="K48" i="4"/>
  <c r="AI48" i="4"/>
  <c r="J48" i="4"/>
  <c r="AP48" i="4"/>
  <c r="AK48" i="4"/>
  <c r="AL48" i="4"/>
  <c r="AE48" i="4"/>
  <c r="AD48" i="4"/>
  <c r="O48" i="4"/>
  <c r="AG48" i="4"/>
  <c r="AF48" i="4"/>
  <c r="AC48" i="4"/>
  <c r="N48" i="4"/>
  <c r="AO48" i="4"/>
  <c r="M48" i="4"/>
  <c r="AR48" i="4"/>
  <c r="AM48" i="4"/>
  <c r="W73" i="3"/>
  <c r="X73" i="3" a="1"/>
  <c r="X73" i="3" s="1"/>
  <c r="AO73" i="3"/>
  <c r="F74" i="3" s="1"/>
  <c r="R48" i="4" l="1"/>
  <c r="V48" i="4" s="1"/>
  <c r="P48" i="4"/>
  <c r="T48" i="4" s="1"/>
  <c r="AS48" i="4" s="1" a="1"/>
  <c r="AS48" i="4" s="1"/>
  <c r="Q48" i="4"/>
  <c r="U48" i="4" s="1"/>
  <c r="S48" i="4"/>
  <c r="E48" i="4"/>
  <c r="AE74" i="3"/>
  <c r="AJ74" i="3"/>
  <c r="K74" i="3"/>
  <c r="O74" i="3"/>
  <c r="J74" i="3"/>
  <c r="AC74" i="3"/>
  <c r="Z74" i="3"/>
  <c r="AA74" i="3"/>
  <c r="AG74" i="3"/>
  <c r="AL74" i="3"/>
  <c r="AH74" i="3"/>
  <c r="Y74" i="3"/>
  <c r="AK74" i="3"/>
  <c r="N74" i="3"/>
  <c r="M74" i="3"/>
  <c r="AB74" i="3"/>
  <c r="AN74" i="3"/>
  <c r="AI74" i="3"/>
  <c r="R74" i="3" l="1"/>
  <c r="V74" i="3" s="1"/>
  <c r="AB48" i="4" a="1"/>
  <c r="AB48" i="4" s="1"/>
  <c r="AX48" i="4" s="1"/>
  <c r="W48" i="4"/>
  <c r="X48" i="4" s="1" a="1"/>
  <c r="X48" i="4" s="1"/>
  <c r="S74" i="3"/>
  <c r="E74" i="3"/>
  <c r="Q74" i="3"/>
  <c r="U74" i="3" s="1"/>
  <c r="AO74" i="3" s="1" a="1"/>
  <c r="AO74" i="3" s="1"/>
  <c r="P74" i="3"/>
  <c r="T74" i="3" s="1"/>
  <c r="AW48" i="4" l="1"/>
  <c r="W74" i="3"/>
  <c r="X74" i="3" s="1" a="1"/>
  <c r="X74" i="3" s="1"/>
  <c r="AY49" i="4" l="1"/>
  <c r="AE49" i="4" l="1"/>
  <c r="AG49" i="4"/>
  <c r="AL49" i="4"/>
  <c r="AD49" i="4"/>
  <c r="AP49" i="4"/>
  <c r="O49" i="4"/>
  <c r="AK49" i="4"/>
  <c r="AF49" i="4"/>
  <c r="AO49" i="4"/>
  <c r="N49" i="4"/>
  <c r="AR49" i="4"/>
  <c r="AC49" i="4"/>
  <c r="AM49" i="4"/>
  <c r="M49" i="4"/>
  <c r="AI49" i="4"/>
  <c r="K49" i="4"/>
  <c r="AN49" i="4"/>
  <c r="J49" i="4"/>
  <c r="P49" i="4" l="1"/>
  <c r="T49" i="4" s="1"/>
  <c r="AB49" i="4" s="1" a="1"/>
  <c r="AB49" i="4" s="1"/>
  <c r="AX49" i="4" s="1"/>
  <c r="Q49" i="4"/>
  <c r="U49" i="4" s="1"/>
  <c r="R49" i="4"/>
  <c r="V49" i="4" s="1"/>
  <c r="S49" i="4"/>
  <c r="E49" i="4"/>
  <c r="AS49" i="4" l="1" a="1"/>
  <c r="AS49" i="4" s="1"/>
  <c r="AW49" i="4"/>
  <c r="W49" i="4"/>
  <c r="X49" i="4" s="1" a="1"/>
  <c r="X49" i="4" s="1"/>
  <c r="AY50" i="4" l="1"/>
  <c r="AP50" i="4" l="1"/>
  <c r="AD50" i="4"/>
  <c r="O50" i="4"/>
  <c r="AK50" i="4"/>
  <c r="AL50" i="4"/>
  <c r="AE50" i="4"/>
  <c r="AG50" i="4"/>
  <c r="K50" i="4"/>
  <c r="J50" i="4"/>
  <c r="AN50" i="4"/>
  <c r="AI50" i="4"/>
  <c r="N50" i="4"/>
  <c r="AM50" i="4"/>
  <c r="M50" i="4"/>
  <c r="AR50" i="4"/>
  <c r="AC50" i="4"/>
  <c r="AO50" i="4"/>
  <c r="AF50" i="4"/>
  <c r="Q50" i="4" l="1"/>
  <c r="U50" i="4" s="1"/>
  <c r="P50" i="4"/>
  <c r="T50" i="4" s="1"/>
  <c r="AB50" i="4" s="1" a="1"/>
  <c r="AB50" i="4" s="1"/>
  <c r="AX50" i="4" s="1"/>
  <c r="R50" i="4"/>
  <c r="V50" i="4" s="1"/>
  <c r="E50" i="4"/>
  <c r="S50" i="4"/>
  <c r="W50" i="4" l="1"/>
  <c r="X50" i="4" s="1" a="1"/>
  <c r="X50" i="4" s="1"/>
  <c r="AS50" i="4" a="1"/>
  <c r="AS50" i="4" s="1"/>
  <c r="AW50" i="4"/>
  <c r="AY51" i="4" l="1"/>
  <c r="AG51" i="4"/>
  <c r="AD51" i="4"/>
  <c r="AP51" i="4"/>
  <c r="AE51" i="4"/>
  <c r="O51" i="4"/>
  <c r="AK51" i="4"/>
  <c r="AL51" i="4"/>
  <c r="M51" i="4"/>
  <c r="AF51" i="4"/>
  <c r="AM51" i="4"/>
  <c r="AC51" i="4"/>
  <c r="N51" i="4"/>
  <c r="AO51" i="4"/>
  <c r="AR51" i="4"/>
  <c r="AN51" i="4"/>
  <c r="K51" i="4"/>
  <c r="J51" i="4"/>
  <c r="AI51" i="4"/>
  <c r="Q51" i="4" l="1"/>
  <c r="U51" i="4" s="1"/>
  <c r="R51" i="4"/>
  <c r="V51" i="4" s="1"/>
  <c r="P51" i="4"/>
  <c r="T51" i="4" s="1"/>
  <c r="AS51" i="4" s="1" a="1"/>
  <c r="AS51" i="4" s="1"/>
  <c r="S51" i="4"/>
  <c r="E51" i="4"/>
  <c r="W51" i="4" l="1"/>
  <c r="X51" i="4" s="1" a="1"/>
  <c r="X51" i="4" s="1"/>
  <c r="AB51" i="4" a="1"/>
  <c r="AB51" i="4" s="1"/>
  <c r="AW51" i="4" l="1"/>
  <c r="AX51" i="4"/>
  <c r="AY52" i="4" l="1"/>
  <c r="AD52" i="4" l="1"/>
  <c r="AE52" i="4"/>
  <c r="AP52" i="4"/>
  <c r="AL52" i="4"/>
  <c r="AK52" i="4"/>
  <c r="O52" i="4"/>
  <c r="AG52" i="4"/>
  <c r="N52" i="4"/>
  <c r="AC52" i="4"/>
  <c r="AO52" i="4"/>
  <c r="AF52" i="4"/>
  <c r="AR52" i="4"/>
  <c r="AM52" i="4"/>
  <c r="M52" i="4"/>
  <c r="AN52" i="4"/>
  <c r="AI52" i="4"/>
  <c r="K52" i="4"/>
  <c r="J52" i="4"/>
  <c r="Q52" i="4" l="1"/>
  <c r="U52" i="4" s="1"/>
  <c r="P52" i="4"/>
  <c r="T52" i="4" s="1"/>
  <c r="AB52" i="4" s="1" a="1"/>
  <c r="AB52" i="4" s="1"/>
  <c r="AX52" i="4" s="1"/>
  <c r="R52" i="4"/>
  <c r="V52" i="4" s="1"/>
  <c r="S52" i="4"/>
  <c r="E52" i="4"/>
  <c r="AS52" i="4" l="1" a="1"/>
  <c r="AS52" i="4" s="1"/>
  <c r="AW52" i="4"/>
  <c r="W52" i="4"/>
  <c r="X52" i="4" s="1" a="1"/>
  <c r="X52" i="4" s="1"/>
  <c r="AY53" i="4" l="1"/>
  <c r="AD53" i="4" l="1"/>
  <c r="AG53" i="4"/>
  <c r="AK53" i="4"/>
  <c r="AL53" i="4"/>
  <c r="AP53" i="4"/>
  <c r="AE53" i="4"/>
  <c r="O53" i="4"/>
  <c r="AN53" i="4"/>
  <c r="K53" i="4"/>
  <c r="AI53" i="4"/>
  <c r="J53" i="4"/>
  <c r="AF53" i="4"/>
  <c r="N53" i="4"/>
  <c r="M53" i="4"/>
  <c r="AM53" i="4"/>
  <c r="AC53" i="4"/>
  <c r="AR53" i="4"/>
  <c r="AO53" i="4"/>
  <c r="Q53" i="4" l="1"/>
  <c r="U53" i="4" s="1"/>
  <c r="P53" i="4"/>
  <c r="T53" i="4" s="1"/>
  <c r="AB53" i="4" s="1" a="1"/>
  <c r="AB53" i="4" s="1"/>
  <c r="AW53" i="4" s="1"/>
  <c r="R53" i="4"/>
  <c r="V53" i="4" s="1"/>
  <c r="E53" i="4"/>
  <c r="S53" i="4"/>
  <c r="AS53" i="4" l="1" a="1"/>
  <c r="AS53" i="4" s="1"/>
  <c r="W53" i="4"/>
  <c r="X53" i="4" s="1" a="1"/>
  <c r="X53" i="4" s="1"/>
  <c r="AX53" i="4"/>
  <c r="AY54" i="4" l="1"/>
  <c r="AD54" i="4" l="1"/>
  <c r="AE54" i="4"/>
  <c r="AK54" i="4"/>
  <c r="AL54" i="4"/>
  <c r="AG54" i="4"/>
  <c r="O54" i="4"/>
  <c r="AP54" i="4"/>
  <c r="AO54" i="4"/>
  <c r="AR54" i="4"/>
  <c r="AC54" i="4"/>
  <c r="AM54" i="4"/>
  <c r="N54" i="4"/>
  <c r="AF54" i="4"/>
  <c r="M54" i="4"/>
  <c r="AN54" i="4"/>
  <c r="J54" i="4"/>
  <c r="AI54" i="4"/>
  <c r="K54" i="4"/>
  <c r="P54" i="4" l="1"/>
  <c r="T54" i="4" s="1"/>
  <c r="AB54" i="4" s="1" a="1"/>
  <c r="AB54" i="4" s="1"/>
  <c r="AW54" i="4" s="1"/>
  <c r="Q54" i="4"/>
  <c r="U54" i="4" s="1"/>
  <c r="R54" i="4"/>
  <c r="V54" i="4" s="1"/>
  <c r="E54" i="4"/>
  <c r="S54" i="4"/>
  <c r="AS54" i="4" l="1" a="1"/>
  <c r="AS54" i="4" s="1"/>
  <c r="AX54" i="4"/>
  <c r="W54" i="4"/>
  <c r="X54" i="4" s="1" a="1"/>
  <c r="X54" i="4" s="1"/>
  <c r="AY55" i="4" l="1"/>
  <c r="AL55" i="4" l="1"/>
  <c r="AE55" i="4"/>
  <c r="AK55" i="4"/>
  <c r="AG55" i="4"/>
  <c r="AD55" i="4"/>
  <c r="AP55" i="4"/>
  <c r="O55" i="4"/>
  <c r="AO55" i="4"/>
  <c r="M55" i="4"/>
  <c r="AF55" i="4"/>
  <c r="N55" i="4"/>
  <c r="AR55" i="4"/>
  <c r="AM55" i="4"/>
  <c r="AC55" i="4"/>
  <c r="J55" i="4"/>
  <c r="AI55" i="4"/>
  <c r="AN55" i="4"/>
  <c r="K55" i="4"/>
  <c r="P55" i="4" l="1"/>
  <c r="T55" i="4" s="1"/>
  <c r="AS55" i="4" s="1" a="1"/>
  <c r="AS55" i="4" s="1"/>
  <c r="R55" i="4"/>
  <c r="V55" i="4" s="1"/>
  <c r="Q55" i="4"/>
  <c r="U55" i="4" s="1"/>
  <c r="E55" i="4"/>
  <c r="S55" i="4"/>
  <c r="W55" i="4" l="1"/>
  <c r="AB55" i="4" s="1" a="1"/>
  <c r="AB55" i="4" s="1"/>
  <c r="AX55" i="4" s="1"/>
  <c r="X55" i="4" l="1" a="1"/>
  <c r="X55" i="4" s="1"/>
  <c r="AW55" i="4"/>
  <c r="AY56" i="4" l="1"/>
  <c r="O56" i="4" l="1"/>
  <c r="AD56" i="4"/>
  <c r="AG56" i="4"/>
  <c r="AP56" i="4"/>
  <c r="AE56" i="4"/>
  <c r="AL56" i="4"/>
  <c r="AK56" i="4"/>
  <c r="AM56" i="4"/>
  <c r="AC56" i="4"/>
  <c r="AO56" i="4"/>
  <c r="AF56" i="4"/>
  <c r="N56" i="4"/>
  <c r="M56" i="4"/>
  <c r="AR56" i="4"/>
  <c r="K56" i="4"/>
  <c r="AI56" i="4"/>
  <c r="J56" i="4"/>
  <c r="AN56" i="4"/>
  <c r="P56" i="4" l="1"/>
  <c r="T56" i="4" s="1"/>
  <c r="AB56" i="4" s="1" a="1"/>
  <c r="AB56" i="4" s="1"/>
  <c r="AW56" i="4" s="1"/>
  <c r="Q56" i="4"/>
  <c r="U56" i="4" s="1"/>
  <c r="R56" i="4"/>
  <c r="V56" i="4" s="1"/>
  <c r="S56" i="4"/>
  <c r="E56" i="4"/>
  <c r="AS56" i="4" l="1" a="1"/>
  <c r="AS56" i="4" s="1"/>
  <c r="AX56" i="4"/>
  <c r="W56" i="4"/>
  <c r="X56" i="4" s="1" a="1"/>
  <c r="X56" i="4" s="1"/>
  <c r="AY57" i="4" l="1"/>
  <c r="AK57" i="4" l="1"/>
  <c r="AP57" i="4"/>
  <c r="AE57" i="4"/>
  <c r="AD57" i="4"/>
  <c r="AL57" i="4"/>
  <c r="AG57" i="4"/>
  <c r="O57" i="4"/>
  <c r="N57" i="4"/>
  <c r="AM57" i="4"/>
  <c r="AO57" i="4"/>
  <c r="AC57" i="4"/>
  <c r="AF57" i="4"/>
  <c r="AR57" i="4"/>
  <c r="M57" i="4"/>
  <c r="AN57" i="4"/>
  <c r="AI57" i="4"/>
  <c r="J57" i="4"/>
  <c r="K57" i="4"/>
  <c r="Q57" i="4" l="1"/>
  <c r="U57" i="4" s="1"/>
  <c r="R57" i="4"/>
  <c r="V57" i="4" s="1"/>
  <c r="P57" i="4"/>
  <c r="T57" i="4" s="1"/>
  <c r="AB57" i="4" s="1" a="1"/>
  <c r="AB57" i="4" s="1"/>
  <c r="AX57" i="4" s="1"/>
  <c r="E57" i="4"/>
  <c r="S57" i="4"/>
  <c r="AS57" i="4" l="1" a="1"/>
  <c r="AS57" i="4" s="1"/>
  <c r="AW57" i="4"/>
  <c r="W57" i="4"/>
  <c r="X57" i="4" s="1" a="1"/>
  <c r="X57" i="4" s="1"/>
  <c r="AY58" i="4" l="1"/>
  <c r="AD58" i="4"/>
  <c r="AL58" i="4"/>
  <c r="AP58" i="4"/>
  <c r="O58" i="4"/>
  <c r="AE58" i="4"/>
  <c r="AK58" i="4"/>
  <c r="AG58" i="4"/>
  <c r="AN58" i="4"/>
  <c r="AI58" i="4"/>
  <c r="J58" i="4"/>
  <c r="K58" i="4"/>
  <c r="AM58" i="4"/>
  <c r="AC58" i="4"/>
  <c r="AR58" i="4"/>
  <c r="AO58" i="4"/>
  <c r="N58" i="4"/>
  <c r="M58" i="4"/>
  <c r="AF58" i="4"/>
  <c r="R58" i="4" l="1"/>
  <c r="V58" i="4" s="1"/>
  <c r="P58" i="4"/>
  <c r="T58" i="4" s="1"/>
  <c r="AB58" i="4" s="1" a="1"/>
  <c r="AB58" i="4" s="1"/>
  <c r="AW58" i="4" s="1"/>
  <c r="Q58" i="4"/>
  <c r="U58" i="4" s="1"/>
  <c r="E58" i="4"/>
  <c r="S58" i="4"/>
  <c r="AS58" i="4" l="1" a="1"/>
  <c r="AS58" i="4" s="1"/>
  <c r="W58" i="4"/>
  <c r="X58" i="4" s="1" a="1"/>
  <c r="X58" i="4" s="1"/>
  <c r="AX58" i="4"/>
  <c r="AY59" i="4" l="1"/>
  <c r="O59" i="4" l="1"/>
  <c r="AG59" i="4"/>
  <c r="AE59" i="4"/>
  <c r="AD59" i="4"/>
  <c r="AP59" i="4"/>
  <c r="AK59" i="4"/>
  <c r="AL59" i="4"/>
  <c r="AR59" i="4"/>
  <c r="N59" i="4"/>
  <c r="AC59" i="4"/>
  <c r="AO59" i="4"/>
  <c r="M59" i="4"/>
  <c r="AM59" i="4"/>
  <c r="AF59" i="4"/>
  <c r="AN59" i="4"/>
  <c r="AI59" i="4"/>
  <c r="K59" i="4"/>
  <c r="J59" i="4"/>
  <c r="P59" i="4" l="1"/>
  <c r="T59" i="4" s="1"/>
  <c r="AS59" i="4" s="1" a="1"/>
  <c r="AS59" i="4" s="1"/>
  <c r="Q59" i="4"/>
  <c r="U59" i="4" s="1"/>
  <c r="S59" i="4"/>
  <c r="E59" i="4"/>
  <c r="R59" i="4"/>
  <c r="V59" i="4" s="1"/>
  <c r="W59" i="4" l="1"/>
  <c r="AB59" i="4" s="1" a="1"/>
  <c r="AB59" i="4" s="1"/>
  <c r="X59" i="4" l="1" a="1"/>
  <c r="X59" i="4" s="1"/>
  <c r="AX59" i="4"/>
  <c r="AW59" i="4"/>
  <c r="AY60" i="4" l="1"/>
  <c r="AF60" i="4" l="1"/>
  <c r="N60" i="4"/>
  <c r="AM60" i="4"/>
  <c r="M60" i="4"/>
  <c r="AR60" i="4"/>
  <c r="AC60" i="4"/>
  <c r="AO60" i="4"/>
  <c r="AK60" i="4"/>
  <c r="AP60" i="4"/>
  <c r="AG60" i="4"/>
  <c r="O60" i="4"/>
  <c r="AD60" i="4"/>
  <c r="AL60" i="4"/>
  <c r="AE60" i="4"/>
  <c r="J60" i="4"/>
  <c r="K60" i="4"/>
  <c r="AN60" i="4"/>
  <c r="AI60" i="4"/>
  <c r="P60" i="4" l="1"/>
  <c r="T60" i="4" s="1"/>
  <c r="AS60" i="4" s="1" a="1"/>
  <c r="AS60" i="4" s="1"/>
  <c r="Q60" i="4"/>
  <c r="U60" i="4" s="1"/>
  <c r="R60" i="4"/>
  <c r="V60" i="4" s="1"/>
  <c r="S60" i="4"/>
  <c r="E60" i="4"/>
  <c r="AB60" i="4" l="1" a="1"/>
  <c r="AB60" i="4" s="1"/>
  <c r="AW60" i="4" s="1"/>
  <c r="W60" i="4"/>
  <c r="X60" i="4" s="1" a="1"/>
  <c r="X60" i="4" s="1"/>
  <c r="AX60" i="4" l="1"/>
  <c r="AY61" i="4" l="1"/>
  <c r="AD61" i="4" l="1"/>
  <c r="AG61" i="4"/>
  <c r="AE61" i="4"/>
  <c r="AP61" i="4"/>
  <c r="AL61" i="4"/>
  <c r="AK61" i="4"/>
  <c r="O61" i="4"/>
  <c r="AF61" i="4"/>
  <c r="AR61" i="4"/>
  <c r="M61" i="4"/>
  <c r="N61" i="4"/>
  <c r="AO61" i="4"/>
  <c r="AM61" i="4"/>
  <c r="AC61" i="4"/>
  <c r="J61" i="4"/>
  <c r="K61" i="4"/>
  <c r="AI61" i="4"/>
  <c r="AN61" i="4"/>
  <c r="P61" i="4" l="1"/>
  <c r="T61" i="4" s="1"/>
  <c r="AB61" i="4" s="1" a="1"/>
  <c r="AB61" i="4" s="1"/>
  <c r="AX61" i="4" s="1"/>
  <c r="Q61" i="4"/>
  <c r="U61" i="4" s="1"/>
  <c r="R61" i="4"/>
  <c r="V61" i="4" s="1"/>
  <c r="E61" i="4"/>
  <c r="S61" i="4"/>
  <c r="AW61" i="4" l="1"/>
  <c r="AS61" i="4" a="1"/>
  <c r="AS61" i="4" s="1"/>
  <c r="W61" i="4"/>
  <c r="X61" i="4" s="1" a="1"/>
  <c r="X61" i="4" s="1"/>
  <c r="AY62" i="4" l="1"/>
  <c r="AO62" i="4"/>
  <c r="AE62" i="4"/>
  <c r="AD62" i="4"/>
  <c r="AK62" i="4"/>
  <c r="O62" i="4"/>
  <c r="AL62" i="4"/>
  <c r="AG62" i="4"/>
  <c r="AP62" i="4"/>
  <c r="K62" i="4"/>
  <c r="AI62" i="4"/>
  <c r="J62" i="4"/>
  <c r="AN62" i="4"/>
  <c r="AF62" i="4"/>
  <c r="AC62" i="4"/>
  <c r="AM62" i="4"/>
  <c r="N62" i="4"/>
  <c r="AR62" i="4"/>
  <c r="M62" i="4" l="1"/>
  <c r="S62" i="4" s="1"/>
  <c r="R62" i="4"/>
  <c r="V62" i="4" s="1"/>
  <c r="P62" i="4"/>
  <c r="T62" i="4" s="1"/>
  <c r="AB62" i="4" s="1" a="1"/>
  <c r="AB62" i="4" s="1"/>
  <c r="Q62" i="4" l="1"/>
  <c r="U62" i="4" s="1"/>
  <c r="E62" i="4"/>
  <c r="W62" i="4" s="1"/>
  <c r="AS62" i="4" a="1"/>
  <c r="AS62" i="4" s="1"/>
  <c r="AW62" i="4"/>
  <c r="AX62" i="4"/>
  <c r="X62" i="4" l="1" a="1"/>
  <c r="X62" i="4" s="1"/>
  <c r="AY63" i="4"/>
  <c r="AR63" i="4" l="1"/>
  <c r="AM63" i="4"/>
  <c r="AF63" i="4"/>
  <c r="M63" i="4"/>
  <c r="N63" i="4"/>
  <c r="AC63" i="4"/>
  <c r="AO63" i="4"/>
  <c r="AL63" i="4"/>
  <c r="AE63" i="4"/>
  <c r="AD63" i="4"/>
  <c r="O63" i="4"/>
  <c r="AP63" i="4"/>
  <c r="AG63" i="4"/>
  <c r="AK63" i="4"/>
  <c r="J63" i="4"/>
  <c r="AI63" i="4"/>
  <c r="K63" i="4"/>
  <c r="AN63" i="4"/>
  <c r="P63" i="4" l="1"/>
  <c r="T63" i="4" s="1"/>
  <c r="AB63" i="4" s="1" a="1"/>
  <c r="AB63" i="4" s="1"/>
  <c r="AX63" i="4" s="1"/>
  <c r="Q63" i="4"/>
  <c r="U63" i="4" s="1"/>
  <c r="R63" i="4"/>
  <c r="V63" i="4" s="1"/>
  <c r="S63" i="4"/>
  <c r="E63" i="4"/>
  <c r="AS63" i="4" l="1" a="1"/>
  <c r="AS63" i="4" s="1"/>
  <c r="AW63" i="4"/>
  <c r="W63" i="4"/>
  <c r="X63" i="4" s="1" a="1"/>
  <c r="X63" i="4" s="1"/>
  <c r="AY64" i="4" l="1"/>
  <c r="AF64" i="4"/>
  <c r="J64" i="4"/>
  <c r="AE64" i="4"/>
  <c r="AK64" i="4"/>
  <c r="AP64" i="4"/>
  <c r="AG64" i="4"/>
  <c r="AD64" i="4"/>
  <c r="AN64" i="4"/>
  <c r="AI64" i="4" l="1"/>
  <c r="K64" i="4"/>
  <c r="R64" i="4" s="1"/>
  <c r="V64" i="4" s="1"/>
  <c r="AL64" i="4"/>
  <c r="N64" i="4"/>
  <c r="O64" i="4"/>
  <c r="P64" i="4" s="1"/>
  <c r="T64" i="4" s="1"/>
  <c r="AB64" i="4" s="1" a="1"/>
  <c r="AB64" i="4" s="1"/>
  <c r="AW64" i="4" s="1"/>
  <c r="AC64" i="4"/>
  <c r="AS64" i="4" s="1" a="1"/>
  <c r="AS64" i="4" s="1"/>
  <c r="AO64" i="4"/>
  <c r="AM64" i="4"/>
  <c r="AR64" i="4"/>
  <c r="M64" i="4"/>
  <c r="E64" i="4" l="1"/>
  <c r="S64" i="4"/>
  <c r="Q64" i="4"/>
  <c r="U64" i="4" s="1"/>
  <c r="AX64" i="4"/>
  <c r="W64" i="4" l="1"/>
  <c r="X64" i="4" s="1" a="1"/>
  <c r="X64" i="4" s="1"/>
  <c r="AY65" i="4"/>
  <c r="J65" i="4" l="1"/>
  <c r="K65" i="4"/>
  <c r="AI65" i="4"/>
  <c r="AN65" i="4"/>
  <c r="AK65" i="4"/>
  <c r="AP65" i="4"/>
  <c r="AL65" i="4"/>
  <c r="AE65" i="4"/>
  <c r="AG65" i="4"/>
  <c r="O65" i="4"/>
  <c r="AD65" i="4"/>
  <c r="AC65" i="4"/>
  <c r="AM65" i="4"/>
  <c r="AO65" i="4"/>
  <c r="N65" i="4"/>
  <c r="AR65" i="4"/>
  <c r="M65" i="4"/>
  <c r="AF65" i="4"/>
  <c r="P65" i="4" l="1"/>
  <c r="T65" i="4" s="1"/>
  <c r="AB65" i="4" s="1" a="1"/>
  <c r="AB65" i="4" s="1"/>
  <c r="AW65" i="4" s="1"/>
  <c r="Q65" i="4"/>
  <c r="U65" i="4" s="1"/>
  <c r="E65" i="4"/>
  <c r="S65" i="4"/>
  <c r="R65" i="4"/>
  <c r="V65" i="4" s="1"/>
  <c r="AS65" i="4" l="1" a="1"/>
  <c r="AS65" i="4" s="1"/>
  <c r="AX65" i="4"/>
  <c r="W65" i="4"/>
  <c r="X65" i="4" s="1" a="1"/>
  <c r="X65" i="4" s="1"/>
  <c r="AY66" i="4" l="1"/>
  <c r="J66" i="4" l="1"/>
  <c r="AN66" i="4"/>
  <c r="K66" i="4"/>
  <c r="AI66" i="4"/>
  <c r="AD66" i="4"/>
  <c r="O66" i="4"/>
  <c r="AL66" i="4"/>
  <c r="AK66" i="4"/>
  <c r="AE66" i="4"/>
  <c r="AG66" i="4"/>
  <c r="AP66" i="4"/>
  <c r="AM66" i="4"/>
  <c r="AO66" i="4"/>
  <c r="AC66" i="4"/>
  <c r="N66" i="4"/>
  <c r="AR66" i="4"/>
  <c r="AF66" i="4"/>
  <c r="M66" i="4"/>
  <c r="P66" i="4" l="1"/>
  <c r="T66" i="4" s="1"/>
  <c r="AB66" i="4" s="1" a="1"/>
  <c r="AB66" i="4" s="1"/>
  <c r="AX66" i="4" s="1"/>
  <c r="S66" i="4"/>
  <c r="E66" i="4"/>
  <c r="R66" i="4"/>
  <c r="V66" i="4" s="1"/>
  <c r="Q66" i="4"/>
  <c r="U66" i="4" s="1"/>
  <c r="AS66" i="4" l="1" a="1"/>
  <c r="AS66" i="4" s="1"/>
  <c r="AW66" i="4"/>
  <c r="W66" i="4"/>
  <c r="X66" i="4" s="1" a="1"/>
  <c r="X66" i="4" s="1"/>
  <c r="AY67" i="4" l="1"/>
  <c r="M67" i="4"/>
  <c r="AC67" i="4"/>
  <c r="AM67" i="4"/>
  <c r="AR67" i="4"/>
  <c r="N67" i="4"/>
  <c r="AF67" i="4"/>
  <c r="AO67" i="4"/>
  <c r="AG67" i="4"/>
  <c r="AK67" i="4"/>
  <c r="AE67" i="4"/>
  <c r="AD67" i="4"/>
  <c r="O67" i="4"/>
  <c r="AL67" i="4"/>
  <c r="AP67" i="4"/>
  <c r="AN67" i="4"/>
  <c r="J67" i="4"/>
  <c r="AI67" i="4"/>
  <c r="K67" i="4"/>
  <c r="Q67" i="4" l="1"/>
  <c r="U67" i="4" s="1"/>
  <c r="R67" i="4"/>
  <c r="V67" i="4" s="1"/>
  <c r="S67" i="4"/>
  <c r="E67" i="4"/>
  <c r="P67" i="4"/>
  <c r="T67" i="4" s="1"/>
  <c r="AB67" i="4" s="1" a="1"/>
  <c r="AB67" i="4" s="1"/>
  <c r="AS67" i="4" l="1" a="1"/>
  <c r="AS67" i="4" s="1"/>
  <c r="AX67" i="4"/>
  <c r="AW67" i="4"/>
  <c r="W67" i="4"/>
  <c r="X67" i="4" s="1" a="1"/>
  <c r="X67" i="4" s="1"/>
  <c r="AY68" i="4" l="1"/>
  <c r="AK68" i="4" l="1"/>
  <c r="O68" i="4"/>
  <c r="AP68" i="4"/>
  <c r="AE68" i="4"/>
  <c r="AD68" i="4"/>
  <c r="AG68" i="4"/>
  <c r="AL68" i="4"/>
  <c r="K68" i="4"/>
  <c r="AN68" i="4"/>
  <c r="J68" i="4"/>
  <c r="AI68" i="4"/>
  <c r="AR68" i="4"/>
  <c r="AM68" i="4"/>
  <c r="AF68" i="4"/>
  <c r="N68" i="4"/>
  <c r="AC68" i="4"/>
  <c r="AO68" i="4"/>
  <c r="M68" i="4"/>
  <c r="P68" i="4" l="1"/>
  <c r="T68" i="4" s="1"/>
  <c r="AS68" i="4" s="1" a="1"/>
  <c r="AS68" i="4" s="1"/>
  <c r="Q68" i="4"/>
  <c r="U68" i="4" s="1"/>
  <c r="R68" i="4"/>
  <c r="V68" i="4" s="1"/>
  <c r="E68" i="4"/>
  <c r="S68" i="4"/>
  <c r="AB68" i="4" l="1" a="1"/>
  <c r="AB68" i="4" s="1"/>
  <c r="AX68" i="4" s="1"/>
  <c r="W68" i="4"/>
  <c r="X68" i="4" s="1" a="1"/>
  <c r="X68" i="4" s="1"/>
  <c r="AW68" i="4" l="1"/>
  <c r="AY69" i="4" l="1"/>
  <c r="J69" i="4"/>
  <c r="AN69" i="4"/>
  <c r="K69" i="4"/>
  <c r="AI69" i="4"/>
  <c r="AG69" i="4"/>
  <c r="AE69" i="4"/>
  <c r="AP69" i="4"/>
  <c r="AL69" i="4"/>
  <c r="O69" i="4"/>
  <c r="AD69" i="4"/>
  <c r="AK69" i="4"/>
  <c r="AM69" i="4"/>
  <c r="AO69" i="4"/>
  <c r="AF69" i="4"/>
  <c r="N69" i="4"/>
  <c r="AC69" i="4"/>
  <c r="M69" i="4"/>
  <c r="AR69" i="4"/>
  <c r="P69" i="4" l="1"/>
  <c r="T69" i="4" s="1"/>
  <c r="AB69" i="4" s="1" a="1"/>
  <c r="AB69" i="4" s="1"/>
  <c r="Q69" i="4"/>
  <c r="U69" i="4" s="1"/>
  <c r="S69" i="4"/>
  <c r="E69" i="4"/>
  <c r="R69" i="4"/>
  <c r="V69" i="4" s="1"/>
  <c r="AS69" i="4" l="1" a="1"/>
  <c r="AS69" i="4" s="1"/>
  <c r="AW69" i="4"/>
  <c r="AX69" i="4"/>
  <c r="W69" i="4"/>
  <c r="X69" i="4" s="1" a="1"/>
  <c r="X69" i="4" s="1"/>
  <c r="AY70" i="4" l="1"/>
  <c r="AF70" i="4" l="1"/>
  <c r="AO70" i="4"/>
  <c r="N70" i="4"/>
  <c r="AR70" i="4"/>
  <c r="M70" i="4"/>
  <c r="AM70" i="4"/>
  <c r="AC70" i="4"/>
  <c r="AD70" i="4"/>
  <c r="AE70" i="4"/>
  <c r="O70" i="4"/>
  <c r="AP70" i="4"/>
  <c r="AG70" i="4"/>
  <c r="AL70" i="4"/>
  <c r="AK70" i="4"/>
  <c r="K70" i="4"/>
  <c r="AN70" i="4"/>
  <c r="AI70" i="4"/>
  <c r="J70" i="4"/>
  <c r="P70" i="4" l="1"/>
  <c r="T70" i="4" s="1"/>
  <c r="AB70" i="4" s="1" a="1"/>
  <c r="AB70" i="4" s="1"/>
  <c r="AW70" i="4" s="1"/>
  <c r="E70" i="4"/>
  <c r="S70" i="4"/>
  <c r="Q70" i="4"/>
  <c r="U70" i="4" s="1"/>
  <c r="R70" i="4"/>
  <c r="V70" i="4" s="1"/>
  <c r="AS70" i="4" l="1" a="1"/>
  <c r="AS70" i="4" s="1"/>
  <c r="AX70" i="4"/>
  <c r="W70" i="4"/>
  <c r="X70" i="4" s="1" a="1"/>
  <c r="X70" i="4" s="1"/>
  <c r="AY71" i="4" l="1"/>
  <c r="AN71" i="4" l="1"/>
  <c r="AI71" i="4"/>
  <c r="K71" i="4"/>
  <c r="J71" i="4"/>
  <c r="AK71" i="4"/>
  <c r="O71" i="4"/>
  <c r="AP71" i="4"/>
  <c r="AG71" i="4"/>
  <c r="AD71" i="4"/>
  <c r="AE71" i="4"/>
  <c r="AL71" i="4"/>
  <c r="AO71" i="4"/>
  <c r="AC71" i="4"/>
  <c r="AM71" i="4"/>
  <c r="N71" i="4"/>
  <c r="M71" i="4"/>
  <c r="AR71" i="4"/>
  <c r="AF71" i="4"/>
  <c r="R71" i="4" l="1"/>
  <c r="V71" i="4" s="1"/>
  <c r="Q71" i="4"/>
  <c r="U71" i="4" s="1"/>
  <c r="P71" i="4"/>
  <c r="T71" i="4" s="1"/>
  <c r="AB71" i="4" s="1" a="1"/>
  <c r="AB71" i="4" s="1"/>
  <c r="AX71" i="4" s="1"/>
  <c r="E71" i="4"/>
  <c r="S71" i="4"/>
  <c r="AS71" i="4" l="1" a="1"/>
  <c r="AS71" i="4" s="1"/>
  <c r="W71" i="4"/>
  <c r="X71" i="4" s="1" a="1"/>
  <c r="X71" i="4" s="1"/>
  <c r="AW71" i="4"/>
  <c r="AY72" i="4" l="1"/>
  <c r="AL72" i="4" l="1"/>
  <c r="AK72" i="4"/>
  <c r="AG72" i="4"/>
  <c r="AP72" i="4"/>
  <c r="AE72" i="4"/>
  <c r="O72" i="4"/>
  <c r="AD72" i="4"/>
  <c r="K72" i="4"/>
  <c r="AN72" i="4"/>
  <c r="AI72" i="4"/>
  <c r="J72" i="4"/>
  <c r="AR72" i="4"/>
  <c r="M72" i="4"/>
  <c r="AF72" i="4"/>
  <c r="AC72" i="4"/>
  <c r="AO72" i="4"/>
  <c r="AM72" i="4"/>
  <c r="N72" i="4"/>
  <c r="R72" i="4" l="1"/>
  <c r="V72" i="4" s="1"/>
  <c r="P72" i="4"/>
  <c r="T72" i="4" s="1"/>
  <c r="AB72" i="4" s="1" a="1"/>
  <c r="AB72" i="4" s="1"/>
  <c r="Q72" i="4"/>
  <c r="U72" i="4" s="1"/>
  <c r="E72" i="4"/>
  <c r="S72" i="4"/>
  <c r="W72" i="4" l="1"/>
  <c r="X72" i="4" s="1" a="1"/>
  <c r="X72" i="4" s="1"/>
  <c r="AS72" i="4" a="1"/>
  <c r="AS72" i="4" s="1"/>
  <c r="AW72" i="4"/>
  <c r="AX72" i="4"/>
  <c r="AY73" i="4" l="1"/>
  <c r="AC73" i="4" l="1"/>
  <c r="M73" i="4"/>
  <c r="AO73" i="4"/>
  <c r="N73" i="4"/>
  <c r="AR73" i="4"/>
  <c r="AM73" i="4"/>
  <c r="AF73" i="4"/>
  <c r="AG73" i="4"/>
  <c r="AD73" i="4"/>
  <c r="AE73" i="4"/>
  <c r="O73" i="4"/>
  <c r="AP73" i="4"/>
  <c r="AL73" i="4"/>
  <c r="AK73" i="4"/>
  <c r="AN73" i="4"/>
  <c r="J73" i="4"/>
  <c r="AI73" i="4"/>
  <c r="K73" i="4"/>
  <c r="P73" i="4" l="1"/>
  <c r="T73" i="4" s="1"/>
  <c r="AB73" i="4" s="1" a="1"/>
  <c r="AB73" i="4" s="1"/>
  <c r="AW73" i="4" s="1"/>
  <c r="S73" i="4"/>
  <c r="E73" i="4"/>
  <c r="R73" i="4"/>
  <c r="V73" i="4" s="1"/>
  <c r="Q73" i="4"/>
  <c r="U73" i="4" s="1"/>
  <c r="AS73" i="4" l="1" a="1"/>
  <c r="AS73" i="4" s="1"/>
  <c r="AX73" i="4"/>
  <c r="W73" i="4"/>
  <c r="X73" i="4" s="1" a="1"/>
  <c r="X7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<sst xmlns="http://schemas.openxmlformats.org/spreadsheetml/2006/main" count="961" uniqueCount="269">
  <si>
    <t>T.H</t>
  </si>
  <si>
    <t>T.CO3</t>
  </si>
  <si>
    <t>[H]</t>
  </si>
  <si>
    <t>[CO3]</t>
  </si>
  <si>
    <t>T.H(calc)</t>
  </si>
  <si>
    <t>T.CO3(calc)</t>
  </si>
  <si>
    <t>R.H</t>
  </si>
  <si>
    <t>R.CO3</t>
  </si>
  <si>
    <t>dR.H / d[H]</t>
  </si>
  <si>
    <t>dR.CO3 / d[CO3]</t>
  </si>
  <si>
    <t>dR.CO3 / d[H]</t>
  </si>
  <si>
    <t>dR.H / d[CO3]</t>
  </si>
  <si>
    <t>Iter</t>
  </si>
  <si>
    <t>[OH]</t>
  </si>
  <si>
    <t>[HCO3]</t>
  </si>
  <si>
    <t>[H2CO3]</t>
  </si>
  <si>
    <t>Z[1,1]</t>
  </si>
  <si>
    <t>Z[1,2]</t>
  </si>
  <si>
    <t>Z[2,1]</t>
  </si>
  <si>
    <t>Z[2,2]</t>
  </si>
  <si>
    <t>Resid[1]</t>
  </si>
  <si>
    <t>Resid[2]</t>
  </si>
  <si>
    <t>CalcTotConc[2]</t>
  </si>
  <si>
    <t>CalcTotConc[1]</t>
  </si>
  <si>
    <t>TotConc[1]</t>
  </si>
  <si>
    <t>TotConc[2]</t>
  </si>
  <si>
    <t>SpecConc[1]</t>
  </si>
  <si>
    <t>SpecConc[2]</t>
  </si>
  <si>
    <t>SpecConc[3]</t>
  </si>
  <si>
    <t>SpecConc[4]</t>
  </si>
  <si>
    <t>SpecConc[5]</t>
  </si>
  <si>
    <t>X =  Zinv * R</t>
  </si>
  <si>
    <t>CO3</t>
  </si>
  <si>
    <t>H</t>
  </si>
  <si>
    <t>SpecLogK</t>
  </si>
  <si>
    <t>SpecK</t>
  </si>
  <si>
    <t>TotConc[3]</t>
  </si>
  <si>
    <t>T.Cu</t>
  </si>
  <si>
    <t>SpecConc[6]</t>
  </si>
  <si>
    <t>[CuHCO3]</t>
  </si>
  <si>
    <t>SpecConc[7]</t>
  </si>
  <si>
    <t>[Cu]</t>
  </si>
  <si>
    <t>CalcTotConc[3]</t>
  </si>
  <si>
    <t>T.Cu(calc)</t>
  </si>
  <si>
    <t>R.Cu</t>
  </si>
  <si>
    <t>Resid[3]</t>
  </si>
  <si>
    <t>Z[1,3]</t>
  </si>
  <si>
    <t>Z[2,3]</t>
  </si>
  <si>
    <t>Z[3,1]</t>
  </si>
  <si>
    <t>Z[3,2]</t>
  </si>
  <si>
    <t>Z[3,3]</t>
  </si>
  <si>
    <t>Cu</t>
  </si>
  <si>
    <t>dR.Cu / d[Cu]</t>
  </si>
  <si>
    <t>dR.Cu / d[CO3]</t>
  </si>
  <si>
    <t>dR.Cu / d[H]</t>
  </si>
  <si>
    <t>dR.CO3 / d[Cu]</t>
  </si>
  <si>
    <t>dR.H / d[Cu]</t>
  </si>
  <si>
    <t>not included b/c fixed act comp</t>
  </si>
  <si>
    <t>MaxError</t>
  </si>
  <si>
    <t>TotConc[4]</t>
  </si>
  <si>
    <t>T.BL1</t>
  </si>
  <si>
    <t>[BL1]</t>
  </si>
  <si>
    <t>[BL1-Cu]</t>
  </si>
  <si>
    <t>[BL1-H]</t>
  </si>
  <si>
    <t>SpecConc[8]</t>
  </si>
  <si>
    <t>SpecConc[9]</t>
  </si>
  <si>
    <t>SpecConc[10]</t>
  </si>
  <si>
    <t>T.BL1(calc)</t>
  </si>
  <si>
    <t>CalcTotConc[4]</t>
  </si>
  <si>
    <t>R.BL1</t>
  </si>
  <si>
    <t>Resid[4]</t>
  </si>
  <si>
    <t>SpecCToM</t>
  </si>
  <si>
    <t>BL1</t>
  </si>
  <si>
    <t>dR.Cu / d[BL1]</t>
  </si>
  <si>
    <t>dR.CO3 / d[BL]</t>
  </si>
  <si>
    <t>dR.H / d[BL]</t>
  </si>
  <si>
    <t>dR.BL / d[Cu]</t>
  </si>
  <si>
    <t>dR.BL / d[CO3]</t>
  </si>
  <si>
    <t>dR.BL / d[BL]</t>
  </si>
  <si>
    <t>dR.BL / d[H]</t>
  </si>
  <si>
    <t>Z[1,4]</t>
  </si>
  <si>
    <t>Z[2,4]</t>
  </si>
  <si>
    <t>Z[3,4]</t>
  </si>
  <si>
    <t>Z[4,1]</t>
  </si>
  <si>
    <t>Z[4,2]</t>
  </si>
  <si>
    <t>Z[4,3]</t>
  </si>
  <si>
    <t>Z[4,4]</t>
  </si>
  <si>
    <t>don't be hasty X</t>
  </si>
  <si>
    <t>E.Cu</t>
  </si>
  <si>
    <t>E.CO3</t>
  </si>
  <si>
    <t>E.BL</t>
  </si>
  <si>
    <t>E.H</t>
  </si>
  <si>
    <t>GoodCount</t>
  </si>
  <si>
    <t>BadCount</t>
  </si>
  <si>
    <t>NothingCount</t>
  </si>
  <si>
    <t>Don'tBeHasty</t>
  </si>
  <si>
    <t>Relax</t>
  </si>
  <si>
    <t>MaxError! &gt; 1.3 * OldMaxError! OR NothingCount &gt; 10</t>
  </si>
  <si>
    <t>MaxError! &lt; OldMaxError!</t>
  </si>
  <si>
    <t>SkipCount</t>
  </si>
  <si>
    <t>(GoodCount &gt; (3 + Iter% / 3)) AND (GoodCount &gt; DontBeHasty) AND (Relax! &lt; 1!)</t>
  </si>
  <si>
    <t>SKIP</t>
  </si>
  <si>
    <t>X =  (Zinv * R)/CToM</t>
  </si>
  <si>
    <t>CalcTotConc</t>
  </si>
  <si>
    <t>Resid</t>
  </si>
  <si>
    <t>TotConc</t>
  </si>
  <si>
    <t>CompConc  and/or SpecConc</t>
  </si>
  <si>
    <t>SpecCharge</t>
  </si>
  <si>
    <t>IonicStrength</t>
  </si>
  <si>
    <t>T.Na</t>
  </si>
  <si>
    <t>T.Cl</t>
  </si>
  <si>
    <t>T.DonnanFA</t>
  </si>
  <si>
    <t>TotConc[5]</t>
  </si>
  <si>
    <t>TotConc[6]</t>
  </si>
  <si>
    <t>TotConc[7]</t>
  </si>
  <si>
    <t>T.DOC-FA_1H</t>
  </si>
  <si>
    <t>T.DOC-FA_8H</t>
  </si>
  <si>
    <t>[Na]</t>
  </si>
  <si>
    <t>[Cl]</t>
  </si>
  <si>
    <t>DonnanFA Ratio</t>
  </si>
  <si>
    <t>[DOC-FA_1H]</t>
  </si>
  <si>
    <t>[DOC-FA_8H]</t>
  </si>
  <si>
    <t>[CuOH]</t>
  </si>
  <si>
    <t>[CuCl]</t>
  </si>
  <si>
    <t>DonnanFA-Cu</t>
  </si>
  <si>
    <t>DonnanFA-Na</t>
  </si>
  <si>
    <t>DonnanFA-Cl</t>
  </si>
  <si>
    <t>DonnanFA-H</t>
  </si>
  <si>
    <t>DonnanFA-OH</t>
  </si>
  <si>
    <t>DonnanFA-CuOH</t>
  </si>
  <si>
    <t>DonnanFA-CuCl</t>
  </si>
  <si>
    <t>DOC-FA_1</t>
  </si>
  <si>
    <t>DOC-FA_8</t>
  </si>
  <si>
    <t>DOC-FA_1-Cu</t>
  </si>
  <si>
    <t>DOC-FA_8-Cu</t>
  </si>
  <si>
    <t>DOC-FA_1-CuOH</t>
  </si>
  <si>
    <t>DOC-FA_8-CuOH</t>
  </si>
  <si>
    <t>SpecConc[11]</t>
  </si>
  <si>
    <t>SpecConc[12]</t>
  </si>
  <si>
    <t>SpecConc[13]</t>
  </si>
  <si>
    <t>SpecConc[14]</t>
  </si>
  <si>
    <t>SpecConc[15]</t>
  </si>
  <si>
    <t>SpecConc[16]</t>
  </si>
  <si>
    <t>SpecConc[17]</t>
  </si>
  <si>
    <t>SpecConc[18]</t>
  </si>
  <si>
    <t>SpecConc[19]</t>
  </si>
  <si>
    <t>SpecConc[20]</t>
  </si>
  <si>
    <t>SpecConc[21]</t>
  </si>
  <si>
    <t>SpecConc[22]</t>
  </si>
  <si>
    <t>SpecConc[23]</t>
  </si>
  <si>
    <t>SpecCtoM</t>
  </si>
  <si>
    <t>T.Na(calc)</t>
  </si>
  <si>
    <t>T.Cl(calc)</t>
  </si>
  <si>
    <t>T.DonnanFA(calc)</t>
  </si>
  <si>
    <t>T.DOC-FA_1H(calc)</t>
  </si>
  <si>
    <t>T.DOC-FA_8H(calc)</t>
  </si>
  <si>
    <t>Z_FA</t>
  </si>
  <si>
    <t>CalcTotMoles[1]</t>
  </si>
  <si>
    <t>CalcTotMoles[2]</t>
  </si>
  <si>
    <t>CalcTotMoles[3]</t>
  </si>
  <si>
    <t>CalcTotMoles[4]</t>
  </si>
  <si>
    <t>CalcTotMoles[5]</t>
  </si>
  <si>
    <t>CalcTotMoles[6]</t>
  </si>
  <si>
    <t>CalcTotMoles[7]</t>
  </si>
  <si>
    <t>SpecCtoMAdj[1]</t>
  </si>
  <si>
    <t>SpecCtoMAdj[2]</t>
  </si>
  <si>
    <t>SpecCtoMAdj[3]</t>
  </si>
  <si>
    <t>SpecCtoMAdj[4]</t>
  </si>
  <si>
    <t>SpecCtoMAdj[5]</t>
  </si>
  <si>
    <t>SpecCtoMAdj[6]</t>
  </si>
  <si>
    <t>SpecCtoMAdj[7]</t>
  </si>
  <si>
    <t>SpecCtoMAdj[8]</t>
  </si>
  <si>
    <t>SpecCtoMAdj[9]</t>
  </si>
  <si>
    <t>SpecCtoMAdj[10]</t>
  </si>
  <si>
    <t>SpecCtoMAdj[11]</t>
  </si>
  <si>
    <t>SpecCtoMAdj[12]</t>
  </si>
  <si>
    <t>SpecCtoMAdj[13]</t>
  </si>
  <si>
    <t>SpecCtoMAdj[14]</t>
  </si>
  <si>
    <t>SpecCtoMAdj[15]</t>
  </si>
  <si>
    <t>SpecCtoMAdj[16]</t>
  </si>
  <si>
    <t>SpecCtoMAdj[17]</t>
  </si>
  <si>
    <t>SpecCtoMAdj[18]</t>
  </si>
  <si>
    <t>SpecCtoMAdj[19]</t>
  </si>
  <si>
    <t>SpecCtoMAdj[20]</t>
  </si>
  <si>
    <t>SpecCtoMAdj[21]</t>
  </si>
  <si>
    <t>SpecCtoMAdj[22]</t>
  </si>
  <si>
    <t>SpecCtoMAdj[23]</t>
  </si>
  <si>
    <t>VDP(FA)</t>
  </si>
  <si>
    <t>SpecName</t>
  </si>
  <si>
    <t>Ncomp</t>
  </si>
  <si>
    <t>Nspec</t>
  </si>
  <si>
    <t>CompName</t>
  </si>
  <si>
    <t>SpecStoich</t>
  </si>
  <si>
    <t>R index</t>
  </si>
  <si>
    <t>C++ index</t>
  </si>
  <si>
    <t>Na</t>
  </si>
  <si>
    <t>Cl</t>
  </si>
  <si>
    <t>DonnanFA</t>
  </si>
  <si>
    <t>DOC-FA_1H</t>
  </si>
  <si>
    <t>DOC-FA_8H</t>
  </si>
  <si>
    <t>OH</t>
  </si>
  <si>
    <t>CuOH</t>
  </si>
  <si>
    <t>CuCl</t>
  </si>
  <si>
    <t>SpecActCorr</t>
  </si>
  <si>
    <t>Debye</t>
  </si>
  <si>
    <t>WHAMFA</t>
  </si>
  <si>
    <t>SpecDeltaH</t>
  </si>
  <si>
    <t>SpecTempKelvin</t>
  </si>
  <si>
    <t>CompType</t>
  </si>
  <si>
    <t>MassBal</t>
  </si>
  <si>
    <t>FixedAct</t>
  </si>
  <si>
    <t>DonnanChargeBal</t>
  </si>
  <si>
    <t>AqueousMC</t>
  </si>
  <si>
    <t>SolHS</t>
  </si>
  <si>
    <t>wMolWt</t>
  </si>
  <si>
    <t>wRadius</t>
  </si>
  <si>
    <t>wP</t>
  </si>
  <si>
    <t>wDLF</t>
  </si>
  <si>
    <t>wKZED</t>
  </si>
  <si>
    <t>SysTempKelvin</t>
  </si>
  <si>
    <t>HA</t>
  </si>
  <si>
    <t>FA</t>
  </si>
  <si>
    <t>TotMoles</t>
  </si>
  <si>
    <t>Iter 0</t>
  </si>
  <si>
    <t>SpecKTempAdj</t>
  </si>
  <si>
    <t>InitialGuess</t>
  </si>
  <si>
    <t>CompConc</t>
  </si>
  <si>
    <t>Round 1</t>
  </si>
  <si>
    <t>SpecConc</t>
  </si>
  <si>
    <t>ConcConc</t>
  </si>
  <si>
    <t>Round 2</t>
  </si>
  <si>
    <t>Round 3</t>
  </si>
  <si>
    <t>SpecActivityCoef</t>
  </si>
  <si>
    <t>WHAMSpecCharge</t>
  </si>
  <si>
    <t>SpecKISTempAdj</t>
  </si>
  <si>
    <t>SpecCtoMAdj</t>
  </si>
  <si>
    <t>VDP</t>
  </si>
  <si>
    <t>VD_CtoM</t>
  </si>
  <si>
    <t>SpecMoles</t>
  </si>
  <si>
    <t>CalcTotMoles</t>
  </si>
  <si>
    <t>CompError</t>
  </si>
  <si>
    <t>Iter 1</t>
  </si>
  <si>
    <t>Jacobian</t>
  </si>
  <si>
    <t>CompConcStep</t>
  </si>
  <si>
    <t>JacobianInverse</t>
  </si>
  <si>
    <t>JacobianSolve</t>
  </si>
  <si>
    <t>JacobianSolveInverse</t>
  </si>
  <si>
    <t>ResidSolve</t>
  </si>
  <si>
    <t>CompConcStepSolve</t>
  </si>
  <si>
    <t>Iter 2</t>
  </si>
  <si>
    <t>Iter 3</t>
  </si>
  <si>
    <t>Iter 4</t>
  </si>
  <si>
    <t>Iter 5</t>
  </si>
  <si>
    <t>Iter 6</t>
  </si>
  <si>
    <t>Iter 7</t>
  </si>
  <si>
    <t>CalcIonicStrength</t>
  </si>
  <si>
    <t>CalcSpecConc</t>
  </si>
  <si>
    <t>CalcWHAMSpecCharge</t>
  </si>
  <si>
    <t>CalcActivityCoef</t>
  </si>
  <si>
    <t>CalcIonicStrengthEffects</t>
  </si>
  <si>
    <t>CalcDonnanLayerVolume</t>
  </si>
  <si>
    <t>AdjustForWHAM</t>
  </si>
  <si>
    <t>UpdateTotals</t>
  </si>
  <si>
    <t>CalcIterationTotals</t>
  </si>
  <si>
    <t>CalcResidAndError</t>
  </si>
  <si>
    <t>MaxCompError</t>
  </si>
  <si>
    <t>JacobianMatrix</t>
  </si>
  <si>
    <t>CalcStep</t>
  </si>
  <si>
    <t>CompUpdate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</si>
</sst>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66">
    <xf numFmtId="0" fontId="0" fillId="0" borderId="0" xfId="0"/>
    <xf numFmtId="11" fontId="0" fillId="0" borderId="0" xfId="0" applyNumberFormat="1"/>
    <xf numFmtId="164" fontId="0" fillId="0" borderId="0" xfId="0" applyNumberFormat="1"/>
    <xf numFmtId="11" fontId="0" fillId="0" borderId="0" xfId="0" applyNumberFormat="1" applyAlignment="1">
      <alignment horizontal="right"/>
    </xf>
    <xf numFmtId="0" fontId="2" fillId="0" borderId="0" xfId="0" applyFont="1"/>
    <xf numFmtId="11" fontId="2" fillId="0" borderId="0" xfId="0" applyNumberFormat="1" applyFont="1"/>
    <xf numFmtId="11" fontId="3" fillId="0" borderId="0" xfId="0" applyNumberFormat="1" applyFont="1"/>
    <xf numFmtId="11" fontId="2" fillId="0" borderId="0" xfId="0" applyNumberFormat="1" applyFont="1" applyAlignment="1">
      <alignment wrapText="1"/>
    </xf>
    <xf numFmtId="11" fontId="4" fillId="0" borderId="0" xfId="0" applyNumberFormat="1" applyFont="1" applyAlignment="1">
      <alignment wrapText="1"/>
    </xf>
    <xf numFmtId="11" fontId="5" fillId="0" borderId="0" xfId="0" applyNumberFormat="1" applyFont="1"/>
    <xf numFmtId="11" fontId="0" fillId="0" borderId="0" xfId="0" applyNumberFormat="1" applyAlignment="1">
      <alignment horizontal="center"/>
    </xf>
    <xf numFmtId="0" fontId="5" fillId="0" borderId="0" xfId="0" applyFont="1"/>
    <xf numFmtId="11" fontId="5" fillId="0" borderId="0" xfId="0" applyNumberFormat="1" applyFont="1" applyAlignment="1">
      <alignment horizontal="center"/>
    </xf>
    <xf numFmtId="11" fontId="1" fillId="0" borderId="0" xfId="0" applyNumberFormat="1" applyFont="1"/>
    <xf numFmtId="11" fontId="1" fillId="0" borderId="0" xfId="0" applyNumberFormat="1" applyFont="1" applyAlignment="1">
      <alignment horizontal="center"/>
    </xf>
    <xf numFmtId="11" fontId="6" fillId="0" borderId="0" xfId="0" applyNumberFormat="1" applyFont="1" applyAlignment="1">
      <alignment wrapText="1"/>
    </xf>
    <xf numFmtId="0" fontId="1" fillId="0" borderId="0" xfId="0" applyFont="1"/>
    <xf numFmtId="11" fontId="2" fillId="0" borderId="4" xfId="0" applyNumberFormat="1" applyFont="1" applyBorder="1"/>
    <xf numFmtId="11" fontId="2" fillId="0" borderId="5" xfId="0" applyNumberFormat="1" applyFont="1" applyBorder="1"/>
    <xf numFmtId="11" fontId="0" fillId="0" borderId="4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2" fillId="0" borderId="4" xfId="0" applyFont="1" applyBorder="1"/>
    <xf numFmtId="11" fontId="3" fillId="0" borderId="4" xfId="0" applyNumberFormat="1" applyFont="1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2" fillId="0" borderId="4" xfId="0" applyNumberFormat="1" applyFont="1" applyBorder="1" applyAlignment="1">
      <alignment wrapText="1"/>
    </xf>
    <xf numFmtId="11" fontId="2" fillId="0" borderId="5" xfId="0" applyNumberFormat="1" applyFont="1" applyBorder="1" applyAlignment="1">
      <alignment wrapText="1"/>
    </xf>
    <xf numFmtId="0" fontId="0" fillId="0" borderId="7" xfId="0" applyBorder="1"/>
    <xf numFmtId="11" fontId="1" fillId="0" borderId="1" xfId="0" applyNumberFormat="1" applyFont="1" applyBorder="1"/>
    <xf numFmtId="11" fontId="1" fillId="0" borderId="2" xfId="0" applyNumberFormat="1" applyFont="1" applyBorder="1"/>
    <xf numFmtId="11" fontId="1" fillId="0" borderId="3" xfId="0" applyNumberFormat="1" applyFont="1" applyBorder="1"/>
    <xf numFmtId="11" fontId="6" fillId="0" borderId="4" xfId="0" applyNumberFormat="1" applyFont="1" applyBorder="1" applyAlignment="1">
      <alignment wrapText="1"/>
    </xf>
    <xf numFmtId="11" fontId="6" fillId="0" borderId="5" xfId="0" applyNumberFormat="1" applyFont="1" applyBorder="1" applyAlignment="1">
      <alignment wrapText="1"/>
    </xf>
    <xf numFmtId="11" fontId="1" fillId="0" borderId="4" xfId="0" applyNumberFormat="1" applyFont="1" applyBorder="1"/>
    <xf numFmtId="11" fontId="1" fillId="0" borderId="5" xfId="0" applyNumberFormat="1" applyFont="1" applyBorder="1"/>
    <xf numFmtId="11" fontId="1" fillId="0" borderId="6" xfId="0" applyNumberFormat="1" applyFont="1" applyBorder="1"/>
    <xf numFmtId="11" fontId="1" fillId="0" borderId="7" xfId="0" applyNumberFormat="1" applyFont="1" applyBorder="1"/>
    <xf numFmtId="11" fontId="1" fillId="0" borderId="8" xfId="0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0" xfId="1" applyNumberFormat="1" applyFont="1"/>
    <xf numFmtId="0" fontId="0" fillId="0" borderId="0" xfId="1" applyNumberFormat="1" applyFont="1"/>
    <xf numFmtId="0" fontId="7" fillId="0" borderId="0" xfId="1" applyNumberFormat="1" applyFont="1"/>
    <xf numFmtId="0" fontId="8" fillId="0" borderId="0" xfId="1" applyNumberFormat="1" applyFont="1"/>
    <xf numFmtId="0" fontId="9" fillId="0" borderId="0" xfId="1" applyNumberFormat="1" applyFont="1"/>
    <xf numFmtId="0" fontId="6" fillId="0" borderId="0" xfId="1" applyNumberFormat="1" applyFont="1"/>
    <xf numFmtId="0" fontId="1" fillId="0" borderId="0" xfId="1" applyNumberFormat="1" applyFont="1"/>
    <xf numFmtId="0" fontId="2" fillId="2" borderId="0" xfId="1" applyNumberFormat="1" applyFont="1" applyFill="1"/>
    <xf numFmtId="0" fontId="0" fillId="2" borderId="0" xfId="1" applyNumberFormat="1" applyFont="1" applyFill="1"/>
    <xf numFmtId="11" fontId="1" fillId="0" borderId="0" xfId="1" applyNumberFormat="1" applyFont="1"/>
    <xf numFmtId="11" fontId="0" fillId="2" borderId="0" xfId="1" applyNumberFormat="1" applyFont="1" applyFill="1"/>
    <xf numFmtId="11" fontId="0" fillId="0" borderId="0" xfId="1" applyNumberFormat="1" applyFont="1"/>
    <xf numFmtId="11" fontId="0" fillId="0" borderId="1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16B1-7D57-48C9-90FE-8AA49E9CA4F7}">
  <dimension ref="A1:Z22"/>
  <sheetViews>
    <sheetView workbookViewId="0">
      <selection activeCell="Z8" sqref="Z8"/>
    </sheetView>
  </sheetViews>
  <sheetFormatPr defaultRowHeight="15" x14ac:dyDescent="0.25"/>
  <cols>
    <col min="2" max="2" width="10.5703125" style="1" bestFit="1" customWidth="1"/>
    <col min="3" max="3" width="14.85546875" style="1" bestFit="1" customWidth="1"/>
    <col min="4" max="8" width="11.85546875" style="1" bestFit="1" customWidth="1"/>
    <col min="9" max="10" width="14.28515625" style="1" bestFit="1" customWidth="1"/>
    <col min="11" max="11" width="9" style="1" bestFit="1" customWidth="1"/>
    <col min="12" max="12" width="8.5703125" style="1" bestFit="1" customWidth="1"/>
    <col min="13" max="13" width="8.5703125" style="1" customWidth="1"/>
    <col min="14" max="15" width="8.5703125" style="1" hidden="1" customWidth="1"/>
    <col min="16" max="16" width="15.42578125" style="1" hidden="1" customWidth="1"/>
    <col min="17" max="18" width="13.140625" style="1" hidden="1" customWidth="1"/>
    <col min="19" max="19" width="11.5703125" style="1" hidden="1" customWidth="1"/>
    <col min="20" max="20" width="11.140625" hidden="1" customWidth="1"/>
    <col min="21" max="22" width="0" hidden="1" customWidth="1"/>
    <col min="23" max="23" width="12" hidden="1" customWidth="1"/>
  </cols>
  <sheetData>
    <row r="1" spans="1:26" x14ac:dyDescent="0.25">
      <c r="D1" s="3" t="s">
        <v>34</v>
      </c>
    </row>
    <row r="2" spans="1:26" x14ac:dyDescent="0.25">
      <c r="D2">
        <v>0</v>
      </c>
      <c r="E2">
        <v>0</v>
      </c>
      <c r="F2">
        <v>-13.997</v>
      </c>
      <c r="G2">
        <v>10.329000000000001</v>
      </c>
      <c r="H2">
        <v>16.681000000000001</v>
      </c>
    </row>
    <row r="3" spans="1:26" x14ac:dyDescent="0.25">
      <c r="D3" s="1" t="s">
        <v>35</v>
      </c>
    </row>
    <row r="4" spans="1:26" x14ac:dyDescent="0.25">
      <c r="D4" s="1">
        <f>10^D2</f>
        <v>1</v>
      </c>
      <c r="E4" s="1">
        <f t="shared" ref="E4:H4" si="0">10^E2</f>
        <v>1</v>
      </c>
      <c r="F4" s="1">
        <f t="shared" si="0"/>
        <v>1.0069316688518014E-14</v>
      </c>
      <c r="G4" s="1">
        <f t="shared" si="0"/>
        <v>21330449131.465843</v>
      </c>
      <c r="H4" s="1">
        <f t="shared" si="0"/>
        <v>4.7973344863669312E+16</v>
      </c>
    </row>
    <row r="6" spans="1:26" x14ac:dyDescent="0.25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23</v>
      </c>
      <c r="J6" s="1" t="s">
        <v>22</v>
      </c>
      <c r="K6" s="1" t="s">
        <v>20</v>
      </c>
      <c r="L6" s="1" t="s">
        <v>21</v>
      </c>
      <c r="P6" s="1" t="s">
        <v>16</v>
      </c>
      <c r="Q6" s="1" t="s">
        <v>17</v>
      </c>
      <c r="R6" s="1" t="s">
        <v>18</v>
      </c>
      <c r="S6" s="1" t="s">
        <v>19</v>
      </c>
      <c r="T6" t="s">
        <v>31</v>
      </c>
    </row>
    <row r="7" spans="1:26" s="4" customFormat="1" x14ac:dyDescent="0.25">
      <c r="A7" s="4" t="s">
        <v>12</v>
      </c>
      <c r="B7" s="5" t="s">
        <v>1</v>
      </c>
      <c r="C7" s="5" t="s">
        <v>0</v>
      </c>
      <c r="D7" s="5" t="s">
        <v>3</v>
      </c>
      <c r="E7" s="5" t="s">
        <v>2</v>
      </c>
      <c r="F7" s="5" t="s">
        <v>13</v>
      </c>
      <c r="G7" s="5" t="s">
        <v>14</v>
      </c>
      <c r="H7" s="5" t="s">
        <v>15</v>
      </c>
      <c r="I7" s="5" t="s">
        <v>5</v>
      </c>
      <c r="J7" s="5" t="s">
        <v>4</v>
      </c>
      <c r="K7" s="5" t="s">
        <v>7</v>
      </c>
      <c r="L7" s="5" t="s">
        <v>6</v>
      </c>
      <c r="M7" s="5" t="s">
        <v>58</v>
      </c>
      <c r="N7" s="5"/>
      <c r="O7" s="5"/>
      <c r="P7" s="5" t="s">
        <v>9</v>
      </c>
      <c r="Q7" s="5" t="s">
        <v>10</v>
      </c>
      <c r="R7" s="5" t="s">
        <v>11</v>
      </c>
      <c r="S7" s="5" t="s">
        <v>8</v>
      </c>
      <c r="T7" s="4" t="s">
        <v>32</v>
      </c>
      <c r="U7" s="4" t="s">
        <v>33</v>
      </c>
      <c r="Y7" s="4" t="s">
        <v>108</v>
      </c>
    </row>
    <row r="8" spans="1:26" x14ac:dyDescent="0.25">
      <c r="A8">
        <v>0</v>
      </c>
      <c r="B8" s="1">
        <v>1E-4</v>
      </c>
      <c r="C8" s="1">
        <f>E8+G8+2*H8-F8</f>
        <v>3.0925111172530849E-3</v>
      </c>
      <c r="D8" s="1">
        <f>B8/100</f>
        <v>9.9999999999999995E-7</v>
      </c>
      <c r="E8" s="1">
        <v>9.9999999999999995E-8</v>
      </c>
      <c r="F8" s="1">
        <f>E8^(-1)*$F$4</f>
        <v>1.0069316688518014E-7</v>
      </c>
      <c r="G8" s="1">
        <f>E8*D8*$G$4</f>
        <v>2.1330449131465841E-3</v>
      </c>
      <c r="H8" s="1">
        <f>E8^2*D8*$H$4</f>
        <v>4.7973344863669304E-4</v>
      </c>
      <c r="I8" s="1">
        <f>D8+G8+H8</f>
        <v>2.6137783617832771E-3</v>
      </c>
      <c r="J8" s="1">
        <f>E8+G8+2*H8-F8</f>
        <v>3.0925111172530849E-3</v>
      </c>
      <c r="K8" s="1">
        <f t="shared" ref="K8:L10" si="1">I8-B8</f>
        <v>2.5137783617832773E-3</v>
      </c>
      <c r="L8" s="1">
        <f t="shared" si="1"/>
        <v>0</v>
      </c>
      <c r="M8" cm="1">
        <f t="array" ref="M8">MAX(ABS(K8:L8/B8:C8))</f>
        <v>25.13778361783277</v>
      </c>
      <c r="P8" s="2">
        <f>1+E8*$G$4+E8^2*$H$4</f>
        <v>2613.7783617832774</v>
      </c>
      <c r="Q8" s="2">
        <f>D8*$G$4+2*E8*D8*$H$4</f>
        <v>30925.118104199704</v>
      </c>
      <c r="R8" s="2">
        <f>E8*$G$4+2*E8^2*$H$4</f>
        <v>3092.5118104199705</v>
      </c>
      <c r="S8" s="2">
        <f>1+D8*$G$4+4*E8*D8*$H$4+E8^-2*$F$4</f>
        <v>40521.794008602417</v>
      </c>
      <c r="T8" s="1" cm="1">
        <f t="array" ref="T8">MINVERSE(P8)*K8</f>
        <v>9.6174120902440485E-7</v>
      </c>
      <c r="U8">
        <v>0</v>
      </c>
      <c r="V8">
        <f>(I8-B8)/D8</f>
        <v>2513.7783617832774</v>
      </c>
      <c r="W8">
        <f>(J8-C8)/E8</f>
        <v>0</v>
      </c>
      <c r="Y8" s="1">
        <f>0.5*(SUMPRODUCT(D8:H8,$D$12:$H$12,$D$12:$H$12))</f>
        <v>1.0686228031567347E-3</v>
      </c>
      <c r="Z8" s="1">
        <f>0.5*(I8*$D$12*$D$12+J8*$E$12*$E$12)</f>
        <v>6.7738122821930967E-3</v>
      </c>
    </row>
    <row r="9" spans="1:26" x14ac:dyDescent="0.25">
      <c r="A9">
        <f>A8+1</f>
        <v>1</v>
      </c>
      <c r="B9" s="1">
        <v>1E-4</v>
      </c>
      <c r="C9" s="1">
        <f>E9+G9+2*H9-F9</f>
        <v>1.1831506977753166E-4</v>
      </c>
      <c r="D9" s="1">
        <f>D8-T8</f>
        <v>3.825879097559511E-8</v>
      </c>
      <c r="E9" s="1">
        <f t="shared" ref="E9:E10" si="2">E8-U8</f>
        <v>9.9999999999999995E-8</v>
      </c>
      <c r="F9" s="1">
        <f>E9^(-1)*$F$4</f>
        <v>1.0069316688518014E-7</v>
      </c>
      <c r="G9" s="1">
        <f>E9*D9*$G$4</f>
        <v>8.1607719473631584E-5</v>
      </c>
      <c r="H9" s="1">
        <f>E9^2*D9*$H$4</f>
        <v>1.8354021735392631E-5</v>
      </c>
      <c r="I9" s="1">
        <f>D9+G9+H9</f>
        <v>9.9999999999999802E-5</v>
      </c>
      <c r="J9" s="1">
        <f>E9+G9+2*H9-F9</f>
        <v>1.1831506977753166E-4</v>
      </c>
      <c r="K9" s="1">
        <f t="shared" si="1"/>
        <v>-2.0328790734103208E-19</v>
      </c>
      <c r="L9" s="1">
        <f t="shared" si="1"/>
        <v>0</v>
      </c>
      <c r="M9" cm="1">
        <f t="array" ref="M9">MAX(ABS(K9:L9/B9:C9))</f>
        <v>2.0328790734103208E-15</v>
      </c>
      <c r="P9" s="2">
        <f>1+E9*$G$4+E9^2*$H$4</f>
        <v>2613.7783617832774</v>
      </c>
      <c r="Q9" s="2">
        <f>D9*$G$4+2*E9*D9*$H$4</f>
        <v>1183.1576294441686</v>
      </c>
      <c r="R9" s="2">
        <f>E9*$G$4+2*E9^2*$H$4</f>
        <v>3092.5118104199705</v>
      </c>
      <c r="S9" s="2">
        <f>1+D9*$G$4+4*E9*D9*$H$4+E9^-2*$F$4</f>
        <v>1552.2449958208731</v>
      </c>
      <c r="T9" s="1" cm="1">
        <f t="array" ref="T9">MINVERSE(P9)*K9</f>
        <v>-7.7775495548267073E-23</v>
      </c>
      <c r="U9">
        <v>0</v>
      </c>
      <c r="V9">
        <f t="shared" ref="V9:V10" si="3">(I9-B9)/D9</f>
        <v>-5.3134953342019445E-12</v>
      </c>
      <c r="W9">
        <f t="shared" ref="W9:W10" si="4">(J9-C9)/E9</f>
        <v>0</v>
      </c>
      <c r="Y9" s="1">
        <f>0.5*(SUMPRODUCT(D9:H9,$D$12:$H$12,$D$12:$H$12))</f>
        <v>4.098072390220957E-5</v>
      </c>
      <c r="Z9" s="1">
        <f>0.5*(I9*$D$12*$D$12+J9*$E$12*$E$12)</f>
        <v>2.5915753488876543E-4</v>
      </c>
    </row>
    <row r="10" spans="1:26" x14ac:dyDescent="0.25">
      <c r="A10">
        <f>A9+1</f>
        <v>2</v>
      </c>
      <c r="B10" s="1">
        <v>1E-4</v>
      </c>
      <c r="C10" s="1">
        <f>E10+G10+2*H10-F10</f>
        <v>1.1831506977753193E-4</v>
      </c>
      <c r="D10" s="1">
        <f t="shared" ref="D10" si="5">D9-T9</f>
        <v>3.8258790975595189E-8</v>
      </c>
      <c r="E10" s="1">
        <f t="shared" si="2"/>
        <v>9.9999999999999995E-8</v>
      </c>
      <c r="F10" s="1">
        <f>E10^(-1)*$F$4</f>
        <v>1.0069316688518014E-7</v>
      </c>
      <c r="G10" s="1">
        <f>E10*D10*$G$4</f>
        <v>8.1607719473631774E-5</v>
      </c>
      <c r="H10" s="1">
        <f>E10^2*D10*$H$4</f>
        <v>1.8354021735392671E-5</v>
      </c>
      <c r="I10" s="1">
        <f>D10+G10+H10</f>
        <v>1.0000000000000003E-4</v>
      </c>
      <c r="J10" s="1">
        <f>E10+G10+2*H10-F10</f>
        <v>1.1831506977753193E-4</v>
      </c>
      <c r="K10" s="1">
        <f t="shared" si="1"/>
        <v>0</v>
      </c>
      <c r="L10" s="1">
        <f t="shared" si="1"/>
        <v>0</v>
      </c>
      <c r="M10" cm="1">
        <f t="array" ref="M10">MAX(ABS(K10:L10/B10:C10))</f>
        <v>0</v>
      </c>
      <c r="P10" s="2">
        <f>1+E10*$G$4+E10^2*$H$4</f>
        <v>2613.7783617832774</v>
      </c>
      <c r="Q10" s="2">
        <f>D10*$G$4+2*E10*D10*$H$4</f>
        <v>1183.1576294441711</v>
      </c>
      <c r="R10" s="2">
        <f>E10*$G$4+2*E10^2*$H$4</f>
        <v>3092.5118104199705</v>
      </c>
      <c r="S10" s="2">
        <f>1+D10*$G$4+4*E10*D10*$H$4+E10^-2*$F$4</f>
        <v>1552.2449958208765</v>
      </c>
      <c r="T10" s="1" cm="1">
        <f t="array" ref="T10">MINVERSE(P10)*K10</f>
        <v>0</v>
      </c>
      <c r="U10">
        <v>0</v>
      </c>
      <c r="V10">
        <f t="shared" si="3"/>
        <v>7.0846604456025779E-13</v>
      </c>
      <c r="W10">
        <f t="shared" si="4"/>
        <v>0</v>
      </c>
      <c r="Y10" s="1">
        <f>0.5*(SUMPRODUCT(D10:H10,$D$12:$H$12,$D$12:$H$12))</f>
        <v>4.0980723902209665E-5</v>
      </c>
      <c r="Z10" s="1">
        <f>0.5*(I10*$D$12*$D$12+J10*$E$12*$E$12)</f>
        <v>2.5915753488876602E-4</v>
      </c>
    </row>
    <row r="11" spans="1:26" x14ac:dyDescent="0.25">
      <c r="M11"/>
    </row>
    <row r="12" spans="1:26" x14ac:dyDescent="0.25">
      <c r="C12" s="1" t="s">
        <v>107</v>
      </c>
      <c r="D12">
        <v>-2</v>
      </c>
      <c r="E12">
        <v>1</v>
      </c>
      <c r="F12">
        <v>-1</v>
      </c>
      <c r="G12">
        <v>-1</v>
      </c>
      <c r="H12">
        <v>0</v>
      </c>
      <c r="M12"/>
    </row>
    <row r="13" spans="1:26" x14ac:dyDescent="0.25">
      <c r="M13"/>
    </row>
    <row r="14" spans="1:26" x14ac:dyDescent="0.25">
      <c r="M14"/>
    </row>
    <row r="15" spans="1:26" x14ac:dyDescent="0.25">
      <c r="M15"/>
    </row>
    <row r="16" spans="1:26" x14ac:dyDescent="0.25">
      <c r="M16"/>
    </row>
    <row r="17" spans="13:13" x14ac:dyDescent="0.25">
      <c r="M17"/>
    </row>
    <row r="18" spans="13:13" x14ac:dyDescent="0.25">
      <c r="M18"/>
    </row>
    <row r="19" spans="13:13" x14ac:dyDescent="0.25">
      <c r="M19"/>
    </row>
    <row r="20" spans="13:13" x14ac:dyDescent="0.25">
      <c r="M20"/>
    </row>
    <row r="21" spans="13:13" x14ac:dyDescent="0.25">
      <c r="M21"/>
    </row>
    <row r="22" spans="13:13" x14ac:dyDescent="0.25">
      <c r="M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1E89-E8B9-4A59-A931-5BCCEC22DDDE}">
  <dimension ref="A1:AD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R12" sqref="R12"/>
    </sheetView>
  </sheetViews>
  <sheetFormatPr defaultRowHeight="15" x14ac:dyDescent="0.25"/>
  <cols>
    <col min="2" max="2" width="10.5703125" style="1" customWidth="1"/>
    <col min="3" max="3" width="10.42578125" style="1" customWidth="1"/>
    <col min="4" max="4" width="10.28515625" style="1" customWidth="1"/>
    <col min="5" max="5" width="9" style="1" customWidth="1"/>
    <col min="6" max="6" width="11.85546875" style="1" customWidth="1"/>
    <col min="7" max="7" width="8.5703125" style="1" customWidth="1"/>
    <col min="8" max="8" width="9.28515625" style="1" customWidth="1"/>
    <col min="9" max="9" width="8.28515625" style="1" customWidth="1"/>
    <col min="10" max="10" width="9.28515625" style="1" customWidth="1"/>
    <col min="11" max="11" width="9" style="1" customWidth="1"/>
    <col min="12" max="14" width="14.28515625" style="1" customWidth="1"/>
    <col min="15" max="17" width="9" style="1" customWidth="1"/>
    <col min="18" max="20" width="8.5703125" style="1" customWidth="1"/>
    <col min="21" max="22" width="10.5703125" style="1" customWidth="1"/>
    <col min="23" max="24" width="10.5703125" style="13" customWidth="1"/>
    <col min="25" max="26" width="8.5703125" style="13" customWidth="1"/>
    <col min="27" max="27" width="9.42578125" style="13" customWidth="1"/>
    <col min="28" max="28" width="12" bestFit="1" customWidth="1"/>
    <col min="32" max="32" width="12" bestFit="1" customWidth="1"/>
    <col min="33" max="33" width="12.7109375" bestFit="1" customWidth="1"/>
  </cols>
  <sheetData>
    <row r="1" spans="1:30" x14ac:dyDescent="0.25">
      <c r="E1" s="3" t="s">
        <v>34</v>
      </c>
    </row>
    <row r="2" spans="1:30" x14ac:dyDescent="0.25">
      <c r="E2">
        <v>0</v>
      </c>
      <c r="F2">
        <v>0</v>
      </c>
      <c r="G2">
        <v>0</v>
      </c>
      <c r="H2">
        <v>5.4</v>
      </c>
      <c r="I2">
        <v>-13.997</v>
      </c>
      <c r="J2">
        <v>10.329000000000001</v>
      </c>
      <c r="K2">
        <v>16.681000000000001</v>
      </c>
    </row>
    <row r="3" spans="1:30" x14ac:dyDescent="0.25">
      <c r="E3" s="1" t="s">
        <v>35</v>
      </c>
    </row>
    <row r="4" spans="1:30" x14ac:dyDescent="0.25">
      <c r="E4" s="1">
        <f t="shared" ref="E4:K4" si="0">10^E2</f>
        <v>1</v>
      </c>
      <c r="F4" s="1">
        <f>10^F2</f>
        <v>1</v>
      </c>
      <c r="G4" s="1">
        <f t="shared" si="0"/>
        <v>1</v>
      </c>
      <c r="H4" s="1">
        <f t="shared" si="0"/>
        <v>251188.64315095844</v>
      </c>
      <c r="I4" s="1">
        <f t="shared" si="0"/>
        <v>1.0069316688518014E-14</v>
      </c>
      <c r="J4" s="1">
        <f t="shared" si="0"/>
        <v>21330449131.465843</v>
      </c>
      <c r="K4" s="1">
        <f t="shared" si="0"/>
        <v>4.7973344863669312E+16</v>
      </c>
    </row>
    <row r="6" spans="1:30" x14ac:dyDescent="0.25">
      <c r="E6" s="1" t="s">
        <v>71</v>
      </c>
      <c r="U6" s="10"/>
      <c r="V6" s="10"/>
      <c r="W6" s="14"/>
      <c r="X6" s="14"/>
      <c r="Y6" s="14"/>
      <c r="Z6" s="14"/>
      <c r="AA6" s="14"/>
    </row>
    <row r="7" spans="1:30" x14ac:dyDescent="0.25">
      <c r="B7">
        <v>1</v>
      </c>
      <c r="C7">
        <v>0.1</v>
      </c>
      <c r="D7">
        <v>1</v>
      </c>
      <c r="E7">
        <v>1</v>
      </c>
      <c r="F7">
        <v>0.1</v>
      </c>
      <c r="G7">
        <v>1</v>
      </c>
      <c r="H7">
        <v>0.1</v>
      </c>
      <c r="I7">
        <v>1</v>
      </c>
      <c r="J7">
        <v>1</v>
      </c>
      <c r="K7">
        <v>1</v>
      </c>
      <c r="U7" s="10"/>
      <c r="V7" s="10"/>
      <c r="W7" s="14"/>
      <c r="X7" s="14"/>
      <c r="Y7" s="14"/>
      <c r="Z7" s="14"/>
      <c r="AA7" s="14"/>
    </row>
    <row r="8" spans="1:30" x14ac:dyDescent="0.25">
      <c r="W8" s="13" t="s">
        <v>57</v>
      </c>
      <c r="X8" s="13" t="s">
        <v>57</v>
      </c>
      <c r="Y8" s="13" t="s">
        <v>57</v>
      </c>
      <c r="Z8" s="13" t="s">
        <v>57</v>
      </c>
      <c r="AA8" s="13" t="s">
        <v>57</v>
      </c>
    </row>
    <row r="9" spans="1:30" x14ac:dyDescent="0.25">
      <c r="B9" s="62" t="s">
        <v>105</v>
      </c>
      <c r="C9" s="63"/>
      <c r="D9" s="64"/>
      <c r="E9" s="62" t="s">
        <v>106</v>
      </c>
      <c r="F9" s="63"/>
      <c r="G9" s="63"/>
      <c r="H9" s="63"/>
      <c r="I9" s="63"/>
      <c r="J9" s="63"/>
      <c r="K9" s="64"/>
      <c r="L9" s="62" t="s">
        <v>103</v>
      </c>
      <c r="M9" s="63"/>
      <c r="N9" s="64"/>
      <c r="O9" s="62" t="s">
        <v>104</v>
      </c>
      <c r="P9" s="63"/>
      <c r="Q9" s="64"/>
      <c r="S9" s="26" t="s">
        <v>16</v>
      </c>
      <c r="T9" s="27" t="s">
        <v>17</v>
      </c>
      <c r="U9" s="27" t="s">
        <v>18</v>
      </c>
      <c r="V9" s="28" t="s">
        <v>19</v>
      </c>
      <c r="W9" s="32" t="s">
        <v>46</v>
      </c>
      <c r="X9" s="33" t="s">
        <v>47</v>
      </c>
      <c r="Y9" s="33" t="s">
        <v>48</v>
      </c>
      <c r="Z9" s="33" t="s">
        <v>49</v>
      </c>
      <c r="AA9" s="34" t="s">
        <v>50</v>
      </c>
      <c r="AB9" s="42" t="s">
        <v>31</v>
      </c>
      <c r="AC9" s="43"/>
      <c r="AD9" s="44"/>
    </row>
    <row r="10" spans="1:30" s="4" customFormat="1" ht="30" x14ac:dyDescent="0.25">
      <c r="A10" s="4" t="s">
        <v>12</v>
      </c>
      <c r="B10" s="24" t="s">
        <v>1</v>
      </c>
      <c r="C10" s="5" t="s">
        <v>60</v>
      </c>
      <c r="D10" s="18" t="s">
        <v>0</v>
      </c>
      <c r="E10" s="17" t="s">
        <v>3</v>
      </c>
      <c r="F10" s="5" t="s">
        <v>61</v>
      </c>
      <c r="G10" s="5" t="s">
        <v>2</v>
      </c>
      <c r="H10" s="5" t="s">
        <v>63</v>
      </c>
      <c r="I10" s="5" t="s">
        <v>13</v>
      </c>
      <c r="J10" s="5" t="s">
        <v>14</v>
      </c>
      <c r="K10" s="18" t="s">
        <v>15</v>
      </c>
      <c r="L10" s="17" t="s">
        <v>5</v>
      </c>
      <c r="M10" s="5" t="s">
        <v>67</v>
      </c>
      <c r="N10" s="18" t="s">
        <v>4</v>
      </c>
      <c r="O10" s="17" t="s">
        <v>7</v>
      </c>
      <c r="P10" s="5" t="s">
        <v>69</v>
      </c>
      <c r="Q10" s="18" t="s">
        <v>6</v>
      </c>
      <c r="R10" s="5" t="s">
        <v>58</v>
      </c>
      <c r="S10" s="29" t="s">
        <v>9</v>
      </c>
      <c r="T10" s="7" t="s">
        <v>74</v>
      </c>
      <c r="U10" s="7" t="s">
        <v>77</v>
      </c>
      <c r="V10" s="30" t="s">
        <v>78</v>
      </c>
      <c r="W10" s="35" t="s">
        <v>10</v>
      </c>
      <c r="X10" s="15" t="s">
        <v>79</v>
      </c>
      <c r="Y10" s="15" t="s">
        <v>11</v>
      </c>
      <c r="Z10" s="15" t="s">
        <v>75</v>
      </c>
      <c r="AA10" s="36" t="s">
        <v>8</v>
      </c>
      <c r="AB10" s="24" t="s">
        <v>32</v>
      </c>
      <c r="AC10" s="4" t="s">
        <v>72</v>
      </c>
      <c r="AD10" s="45" t="s">
        <v>33</v>
      </c>
    </row>
    <row r="11" spans="1:30" x14ac:dyDescent="0.25">
      <c r="A11">
        <v>0</v>
      </c>
      <c r="B11" s="25">
        <v>1E-4</v>
      </c>
      <c r="C11" s="6">
        <f>0.0000178*$C$7</f>
        <v>1.7799999999999999E-6</v>
      </c>
      <c r="D11" s="20">
        <f>G11+J11+2*K11-I11+H11*$H$7</f>
        <v>3.0925111619646635E-3</v>
      </c>
      <c r="E11" s="19">
        <f>B11/100</f>
        <v>9.9999999999999995E-7</v>
      </c>
      <c r="F11" s="1">
        <f>C11/100</f>
        <v>1.7800000000000001E-8</v>
      </c>
      <c r="G11" s="6">
        <v>9.9999999999999995E-8</v>
      </c>
      <c r="H11" s="1">
        <f>F11*G11*$H$4</f>
        <v>4.4711578480870605E-10</v>
      </c>
      <c r="I11" s="1">
        <f>G11^(-1)*$I$4</f>
        <v>1.0069316688518014E-7</v>
      </c>
      <c r="J11" s="1">
        <f>G11*E11*$J$4</f>
        <v>2.1330449131465841E-3</v>
      </c>
      <c r="K11" s="20">
        <f>G11^2*E11*$K$4</f>
        <v>4.7973344863669304E-4</v>
      </c>
      <c r="L11" s="19">
        <f>E11+J11+K11</f>
        <v>2.6137783617832771E-3</v>
      </c>
      <c r="M11" s="1">
        <f>F11*$F$7+H11*$H$7</f>
        <v>1.8247115784808706E-9</v>
      </c>
      <c r="N11" s="20">
        <f>G11+J11+2*K11-I11+H11*$H$7</f>
        <v>3.0925111619646635E-3</v>
      </c>
      <c r="O11" s="19">
        <f>L11-B11</f>
        <v>2.5137783617832773E-3</v>
      </c>
      <c r="P11" s="1">
        <f>M11-C11</f>
        <v>-1.7781752884215191E-6</v>
      </c>
      <c r="Q11" s="20">
        <f>N11-D11</f>
        <v>0</v>
      </c>
      <c r="R11" cm="1">
        <f t="array" ref="R11">MAX(ABS(O11:Q11/B11:D11))</f>
        <v>25.13778361783277</v>
      </c>
      <c r="S11" s="19">
        <f>1+G11*$J$4+G11^2*$K$4</f>
        <v>2613.7783617832774</v>
      </c>
      <c r="T11">
        <v>0</v>
      </c>
      <c r="U11">
        <f>0</f>
        <v>0</v>
      </c>
      <c r="V11" s="20">
        <f>$F$7+G11*$H$4*$H$7</f>
        <v>0.10251188643150959</v>
      </c>
      <c r="W11" s="37">
        <f>E11*$J$4+2*G11*E11*$K$4</f>
        <v>30925.118104199704</v>
      </c>
      <c r="X11" s="13">
        <f>F11*$H$4*$H$7</f>
        <v>4.4711578480870608E-4</v>
      </c>
      <c r="Y11" s="13">
        <f>G11*$J$4+2*G11^2*$K$4</f>
        <v>3092.5118104199705</v>
      </c>
      <c r="Z11" s="13">
        <f>G11*$H$4*$H$7</f>
        <v>2.5118864315095846E-3</v>
      </c>
      <c r="AA11" s="38">
        <f>1+E11*$J$4+4*G11*E11*$K$4+G11^-2*$I$4+F11*$H$4*$H$7</f>
        <v>40521.794455718205</v>
      </c>
      <c r="AB11" s="46" cm="1">
        <f t="array" ref="AB11:AC11">TRANSPOSE(MMULT(MINVERSE(_xlfn.WRAPCOLS(S11:V11,2)),TRANSPOSE(O11:P11)))</f>
        <v>9.6174120902440485E-7</v>
      </c>
      <c r="AC11" s="1">
        <v>-1.7346040057604016E-5</v>
      </c>
      <c r="AD11" s="47">
        <v>0</v>
      </c>
    </row>
    <row r="12" spans="1:30" x14ac:dyDescent="0.25">
      <c r="A12">
        <f>A11+1</f>
        <v>1</v>
      </c>
      <c r="B12" s="19">
        <f>B11</f>
        <v>1E-4</v>
      </c>
      <c r="C12" s="1">
        <f>C11</f>
        <v>1.7799999999999999E-6</v>
      </c>
      <c r="D12" s="20">
        <f t="shared" ref="D12:D62" si="1">G12+J12+2*K12-I12+H12*$H$7</f>
        <v>1.1835868577177126E-4</v>
      </c>
      <c r="E12" s="19">
        <f>E11-AB11</f>
        <v>3.825879097559511E-8</v>
      </c>
      <c r="F12" s="19">
        <f>F11-AC11</f>
        <v>1.7363840057604015E-5</v>
      </c>
      <c r="G12" s="19">
        <f>G11-AD11</f>
        <v>9.9999999999999995E-8</v>
      </c>
      <c r="H12" s="1">
        <f t="shared" ref="H12:H62" si="2">F12*G12*$H$4</f>
        <v>4.3615994239598124E-7</v>
      </c>
      <c r="I12" s="1">
        <f t="shared" ref="I12:I62" si="3">G12^(-1)*$I$4</f>
        <v>1.0069316688518014E-7</v>
      </c>
      <c r="J12" s="1">
        <f t="shared" ref="J12:J62" si="4">G12*E12*$J$4</f>
        <v>8.1607719473631584E-5</v>
      </c>
      <c r="K12" s="20">
        <f t="shared" ref="K12:K62" si="5">G12^2*E12*$K$4</f>
        <v>1.8354021735392631E-5</v>
      </c>
      <c r="L12" s="19">
        <f t="shared" ref="L12:L62" si="6">E12+J12+K12</f>
        <v>9.9999999999999802E-5</v>
      </c>
      <c r="M12" s="1">
        <f t="shared" ref="M12:M62" si="7">F12*$F$7+H12*$H$7</f>
        <v>1.7799999999999997E-6</v>
      </c>
      <c r="N12" s="20">
        <f t="shared" ref="N12:N62" si="8">G12+J12+2*K12-I12+H12*$H$7</f>
        <v>1.1835868577177126E-4</v>
      </c>
      <c r="O12" s="19">
        <f t="shared" ref="O12:O62" si="9">L12-B12</f>
        <v>-2.0328790734103208E-19</v>
      </c>
      <c r="P12" s="1">
        <f t="shared" ref="P12:P62" si="10">M12-C12</f>
        <v>0</v>
      </c>
      <c r="Q12" s="20">
        <f t="shared" ref="Q12:Q62" si="11">N12-D12</f>
        <v>0</v>
      </c>
      <c r="R12" cm="1">
        <f t="array" ref="R12">MAX(ABS(O12:Q12/B12:D12))</f>
        <v>2.0328790734103208E-15</v>
      </c>
      <c r="S12" s="19">
        <f t="shared" ref="S12:S62" si="12">1+G12*$J$4+G12^2*$K$4</f>
        <v>2613.7783617832774</v>
      </c>
      <c r="T12">
        <v>0</v>
      </c>
      <c r="U12">
        <f>0</f>
        <v>0</v>
      </c>
      <c r="V12" s="20">
        <f t="shared" ref="V12:V62" si="13">$F$7+G12*$H$4*$H$7</f>
        <v>0.10251188643150959</v>
      </c>
      <c r="W12" s="37">
        <f t="shared" ref="W12:W62" si="14">E12*$J$4+2*G12*E12*$K$4</f>
        <v>1183.1576294441686</v>
      </c>
      <c r="X12" s="13">
        <f t="shared" ref="X12:X62" si="15">F12*$H$4*$H$7</f>
        <v>0.43615994239598121</v>
      </c>
      <c r="Y12" s="13">
        <f t="shared" ref="Y12:Y62" si="16">G12*$J$4+2*G12^2*$K$4</f>
        <v>3092.5118104199705</v>
      </c>
      <c r="Z12" s="13">
        <f t="shared" ref="Z12:Z62" si="17">G12*$H$4*$H$7</f>
        <v>2.5118864315095846E-3</v>
      </c>
      <c r="AA12" s="38">
        <f t="shared" ref="AA12:AA62" si="18">1+E12*$J$4+4*G12*E12*$K$4+G12^-2*$I$4+F12*$H$4*$H$7</f>
        <v>1552.6811557632691</v>
      </c>
      <c r="AB12" s="46" cm="1">
        <f t="array" ref="AB12:AC12">TRANSPOSE(MMULT(MINVERSE(_xlfn.WRAPCOLS(S12:V12,2)),TRANSPOSE(O12:P12)))</f>
        <v>-7.7775495548267073E-23</v>
      </c>
      <c r="AC12" s="1">
        <v>0</v>
      </c>
      <c r="AD12" s="47">
        <v>0</v>
      </c>
    </row>
    <row r="13" spans="1:30" x14ac:dyDescent="0.25">
      <c r="A13">
        <f>A12+1</f>
        <v>2</v>
      </c>
      <c r="B13" s="19">
        <f t="shared" ref="B13:C28" si="19">B12</f>
        <v>1E-4</v>
      </c>
      <c r="C13" s="1">
        <f t="shared" si="19"/>
        <v>1.7799999999999999E-6</v>
      </c>
      <c r="D13" s="20">
        <f t="shared" si="1"/>
        <v>1.1835868577177153E-4</v>
      </c>
      <c r="E13" s="19">
        <f t="shared" ref="E13:E62" si="20">E12-AB12</f>
        <v>3.8258790975595189E-8</v>
      </c>
      <c r="F13" s="19">
        <f t="shared" ref="F13:F62" si="21">F12-AC12</f>
        <v>1.7363840057604015E-5</v>
      </c>
      <c r="G13" s="19">
        <f t="shared" ref="G13:G62" si="22">G12-AD12</f>
        <v>9.9999999999999995E-8</v>
      </c>
      <c r="H13" s="1">
        <f t="shared" si="2"/>
        <v>4.3615994239598124E-7</v>
      </c>
      <c r="I13" s="1">
        <f t="shared" si="3"/>
        <v>1.0069316688518014E-7</v>
      </c>
      <c r="J13" s="1">
        <f t="shared" si="4"/>
        <v>8.1607719473631774E-5</v>
      </c>
      <c r="K13" s="20">
        <f t="shared" si="5"/>
        <v>1.8354021735392671E-5</v>
      </c>
      <c r="L13" s="19">
        <f t="shared" si="6"/>
        <v>1.0000000000000003E-4</v>
      </c>
      <c r="M13" s="1">
        <f t="shared" si="7"/>
        <v>1.7799999999999997E-6</v>
      </c>
      <c r="N13" s="20">
        <f t="shared" si="8"/>
        <v>1.1835868577177153E-4</v>
      </c>
      <c r="O13" s="19">
        <f t="shared" si="9"/>
        <v>0</v>
      </c>
      <c r="P13" s="1">
        <f t="shared" si="10"/>
        <v>0</v>
      </c>
      <c r="Q13" s="20">
        <f t="shared" si="11"/>
        <v>0</v>
      </c>
      <c r="R13" cm="1">
        <f t="array" ref="R13">MAX(ABS(O13:Q13/B13:D13))</f>
        <v>0</v>
      </c>
      <c r="S13" s="19">
        <f t="shared" si="12"/>
        <v>2613.7783617832774</v>
      </c>
      <c r="T13">
        <v>0</v>
      </c>
      <c r="U13">
        <f>0</f>
        <v>0</v>
      </c>
      <c r="V13" s="20">
        <f t="shared" si="13"/>
        <v>0.10251188643150959</v>
      </c>
      <c r="W13" s="37">
        <f t="shared" si="14"/>
        <v>1183.1576294441711</v>
      </c>
      <c r="X13" s="13">
        <f t="shared" si="15"/>
        <v>0.43615994239598121</v>
      </c>
      <c r="Y13" s="13">
        <f t="shared" si="16"/>
        <v>3092.5118104199705</v>
      </c>
      <c r="Z13" s="13">
        <f t="shared" si="17"/>
        <v>2.5118864315095846E-3</v>
      </c>
      <c r="AA13" s="38">
        <f t="shared" si="18"/>
        <v>1552.6811557632725</v>
      </c>
      <c r="AB13" s="46" cm="1">
        <f t="array" ref="AB13:AC13">TRANSPOSE(MMULT(MINVERSE(_xlfn.WRAPCOLS(S13:V13,2)),TRANSPOSE(O13:P13)))</f>
        <v>0</v>
      </c>
      <c r="AC13" s="1">
        <v>0</v>
      </c>
      <c r="AD13" s="47">
        <v>0</v>
      </c>
    </row>
    <row r="14" spans="1:30" x14ac:dyDescent="0.25">
      <c r="A14">
        <f t="shared" ref="A14:A62" si="23">A13+1</f>
        <v>3</v>
      </c>
      <c r="B14" s="19">
        <f t="shared" si="19"/>
        <v>1E-4</v>
      </c>
      <c r="C14" s="1">
        <f t="shared" si="19"/>
        <v>1.7799999999999999E-6</v>
      </c>
      <c r="D14" s="20">
        <f t="shared" si="1"/>
        <v>1.1835868577177153E-4</v>
      </c>
      <c r="E14" s="19">
        <f t="shared" si="20"/>
        <v>3.8258790975595189E-8</v>
      </c>
      <c r="F14" s="19">
        <f t="shared" si="21"/>
        <v>1.7363840057604015E-5</v>
      </c>
      <c r="G14" s="19">
        <f t="shared" si="22"/>
        <v>9.9999999999999995E-8</v>
      </c>
      <c r="H14" s="1">
        <f t="shared" si="2"/>
        <v>4.3615994239598124E-7</v>
      </c>
      <c r="I14" s="1">
        <f t="shared" si="3"/>
        <v>1.0069316688518014E-7</v>
      </c>
      <c r="J14" s="1">
        <f t="shared" si="4"/>
        <v>8.1607719473631774E-5</v>
      </c>
      <c r="K14" s="20">
        <f t="shared" si="5"/>
        <v>1.8354021735392671E-5</v>
      </c>
      <c r="L14" s="19">
        <f t="shared" si="6"/>
        <v>1.0000000000000003E-4</v>
      </c>
      <c r="M14" s="1">
        <f t="shared" si="7"/>
        <v>1.7799999999999997E-6</v>
      </c>
      <c r="N14" s="20">
        <f t="shared" si="8"/>
        <v>1.1835868577177153E-4</v>
      </c>
      <c r="O14" s="19">
        <f t="shared" si="9"/>
        <v>0</v>
      </c>
      <c r="P14" s="1">
        <f t="shared" si="10"/>
        <v>0</v>
      </c>
      <c r="Q14" s="20">
        <f t="shared" si="11"/>
        <v>0</v>
      </c>
      <c r="R14" cm="1">
        <f t="array" ref="R14">MAX(ABS(O14:Q14/B14:D14))</f>
        <v>0</v>
      </c>
      <c r="S14" s="19">
        <f t="shared" si="12"/>
        <v>2613.7783617832774</v>
      </c>
      <c r="T14">
        <v>0</v>
      </c>
      <c r="U14">
        <f>0</f>
        <v>0</v>
      </c>
      <c r="V14" s="20">
        <f t="shared" si="13"/>
        <v>0.10251188643150959</v>
      </c>
      <c r="W14" s="37">
        <f t="shared" si="14"/>
        <v>1183.1576294441711</v>
      </c>
      <c r="X14" s="13">
        <f t="shared" si="15"/>
        <v>0.43615994239598121</v>
      </c>
      <c r="Y14" s="13">
        <f t="shared" si="16"/>
        <v>3092.5118104199705</v>
      </c>
      <c r="Z14" s="13">
        <f t="shared" si="17"/>
        <v>2.5118864315095846E-3</v>
      </c>
      <c r="AA14" s="38">
        <f t="shared" si="18"/>
        <v>1552.6811557632725</v>
      </c>
      <c r="AB14" s="46" cm="1">
        <f t="array" ref="AB14:AC14">TRANSPOSE(MMULT(MINVERSE(_xlfn.WRAPCOLS(S14:V14,2)),TRANSPOSE(O14:P14)))</f>
        <v>0</v>
      </c>
      <c r="AC14" s="1">
        <v>0</v>
      </c>
      <c r="AD14" s="47">
        <v>0</v>
      </c>
    </row>
    <row r="15" spans="1:30" x14ac:dyDescent="0.25">
      <c r="A15">
        <f t="shared" si="23"/>
        <v>4</v>
      </c>
      <c r="B15" s="19">
        <f t="shared" si="19"/>
        <v>1E-4</v>
      </c>
      <c r="C15" s="1">
        <f t="shared" si="19"/>
        <v>1.7799999999999999E-6</v>
      </c>
      <c r="D15" s="20">
        <f t="shared" si="1"/>
        <v>1.1835868577177153E-4</v>
      </c>
      <c r="E15" s="19">
        <f t="shared" si="20"/>
        <v>3.8258790975595189E-8</v>
      </c>
      <c r="F15" s="19">
        <f t="shared" si="21"/>
        <v>1.7363840057604015E-5</v>
      </c>
      <c r="G15" s="19">
        <f t="shared" si="22"/>
        <v>9.9999999999999995E-8</v>
      </c>
      <c r="H15" s="1">
        <f t="shared" si="2"/>
        <v>4.3615994239598124E-7</v>
      </c>
      <c r="I15" s="1">
        <f t="shared" si="3"/>
        <v>1.0069316688518014E-7</v>
      </c>
      <c r="J15" s="1">
        <f t="shared" si="4"/>
        <v>8.1607719473631774E-5</v>
      </c>
      <c r="K15" s="20">
        <f t="shared" si="5"/>
        <v>1.8354021735392671E-5</v>
      </c>
      <c r="L15" s="19">
        <f t="shared" si="6"/>
        <v>1.0000000000000003E-4</v>
      </c>
      <c r="M15" s="1">
        <f t="shared" si="7"/>
        <v>1.7799999999999997E-6</v>
      </c>
      <c r="N15" s="20">
        <f t="shared" si="8"/>
        <v>1.1835868577177153E-4</v>
      </c>
      <c r="O15" s="19">
        <f t="shared" si="9"/>
        <v>0</v>
      </c>
      <c r="P15" s="1">
        <f t="shared" si="10"/>
        <v>0</v>
      </c>
      <c r="Q15" s="20">
        <f t="shared" si="11"/>
        <v>0</v>
      </c>
      <c r="R15" cm="1">
        <f t="array" ref="R15">MAX(ABS(O15:Q15/B15:D15))</f>
        <v>0</v>
      </c>
      <c r="S15" s="19">
        <f t="shared" si="12"/>
        <v>2613.7783617832774</v>
      </c>
      <c r="T15">
        <v>0</v>
      </c>
      <c r="U15">
        <f>0</f>
        <v>0</v>
      </c>
      <c r="V15" s="20">
        <f t="shared" si="13"/>
        <v>0.10251188643150959</v>
      </c>
      <c r="W15" s="37">
        <f t="shared" si="14"/>
        <v>1183.1576294441711</v>
      </c>
      <c r="X15" s="13">
        <f t="shared" si="15"/>
        <v>0.43615994239598121</v>
      </c>
      <c r="Y15" s="13">
        <f t="shared" si="16"/>
        <v>3092.5118104199705</v>
      </c>
      <c r="Z15" s="13">
        <f t="shared" si="17"/>
        <v>2.5118864315095846E-3</v>
      </c>
      <c r="AA15" s="38">
        <f t="shared" si="18"/>
        <v>1552.6811557632725</v>
      </c>
      <c r="AB15" s="46" cm="1">
        <f t="array" ref="AB15:AC15">TRANSPOSE(MMULT(MINVERSE(_xlfn.WRAPCOLS(S15:V15,2)),TRANSPOSE(O15:P15)))</f>
        <v>0</v>
      </c>
      <c r="AC15" s="1">
        <v>0</v>
      </c>
      <c r="AD15" s="47">
        <v>0</v>
      </c>
    </row>
    <row r="16" spans="1:30" x14ac:dyDescent="0.25">
      <c r="A16">
        <f t="shared" si="23"/>
        <v>5</v>
      </c>
      <c r="B16" s="19">
        <f t="shared" si="19"/>
        <v>1E-4</v>
      </c>
      <c r="C16" s="1">
        <f t="shared" si="19"/>
        <v>1.7799999999999999E-6</v>
      </c>
      <c r="D16" s="20">
        <f t="shared" si="1"/>
        <v>1.1835868577177153E-4</v>
      </c>
      <c r="E16" s="19">
        <f t="shared" si="20"/>
        <v>3.8258790975595189E-8</v>
      </c>
      <c r="F16" s="19">
        <f t="shared" si="21"/>
        <v>1.7363840057604015E-5</v>
      </c>
      <c r="G16" s="19">
        <f t="shared" si="22"/>
        <v>9.9999999999999995E-8</v>
      </c>
      <c r="H16" s="1">
        <f t="shared" si="2"/>
        <v>4.3615994239598124E-7</v>
      </c>
      <c r="I16" s="1">
        <f t="shared" si="3"/>
        <v>1.0069316688518014E-7</v>
      </c>
      <c r="J16" s="1">
        <f t="shared" si="4"/>
        <v>8.1607719473631774E-5</v>
      </c>
      <c r="K16" s="20">
        <f t="shared" si="5"/>
        <v>1.8354021735392671E-5</v>
      </c>
      <c r="L16" s="19">
        <f t="shared" si="6"/>
        <v>1.0000000000000003E-4</v>
      </c>
      <c r="M16" s="1">
        <f t="shared" si="7"/>
        <v>1.7799999999999997E-6</v>
      </c>
      <c r="N16" s="20">
        <f t="shared" si="8"/>
        <v>1.1835868577177153E-4</v>
      </c>
      <c r="O16" s="19">
        <f t="shared" si="9"/>
        <v>0</v>
      </c>
      <c r="P16" s="1">
        <f t="shared" si="10"/>
        <v>0</v>
      </c>
      <c r="Q16" s="20">
        <f t="shared" si="11"/>
        <v>0</v>
      </c>
      <c r="R16" cm="1">
        <f t="array" ref="R16">MAX(ABS(O16:Q16/B16:D16))</f>
        <v>0</v>
      </c>
      <c r="S16" s="19">
        <f t="shared" si="12"/>
        <v>2613.7783617832774</v>
      </c>
      <c r="T16">
        <v>0</v>
      </c>
      <c r="U16">
        <f>0</f>
        <v>0</v>
      </c>
      <c r="V16" s="20">
        <f t="shared" si="13"/>
        <v>0.10251188643150959</v>
      </c>
      <c r="W16" s="37">
        <f t="shared" si="14"/>
        <v>1183.1576294441711</v>
      </c>
      <c r="X16" s="13">
        <f t="shared" si="15"/>
        <v>0.43615994239598121</v>
      </c>
      <c r="Y16" s="13">
        <f t="shared" si="16"/>
        <v>3092.5118104199705</v>
      </c>
      <c r="Z16" s="13">
        <f t="shared" si="17"/>
        <v>2.5118864315095846E-3</v>
      </c>
      <c r="AA16" s="38">
        <f t="shared" si="18"/>
        <v>1552.6811557632725</v>
      </c>
      <c r="AB16" s="46" cm="1">
        <f t="array" ref="AB16:AC16">TRANSPOSE(MMULT(MINVERSE(_xlfn.WRAPCOLS(S16:V16,2)),TRANSPOSE(O16:P16)))</f>
        <v>0</v>
      </c>
      <c r="AC16" s="1">
        <v>0</v>
      </c>
      <c r="AD16" s="47">
        <v>0</v>
      </c>
    </row>
    <row r="17" spans="1:30" x14ac:dyDescent="0.25">
      <c r="A17">
        <f t="shared" si="23"/>
        <v>6</v>
      </c>
      <c r="B17" s="19">
        <f t="shared" si="19"/>
        <v>1E-4</v>
      </c>
      <c r="C17" s="1">
        <f t="shared" si="19"/>
        <v>1.7799999999999999E-6</v>
      </c>
      <c r="D17" s="20">
        <f t="shared" si="1"/>
        <v>1.1835868577177153E-4</v>
      </c>
      <c r="E17" s="19">
        <f t="shared" si="20"/>
        <v>3.8258790975595189E-8</v>
      </c>
      <c r="F17" s="19">
        <f t="shared" si="21"/>
        <v>1.7363840057604015E-5</v>
      </c>
      <c r="G17" s="19">
        <f t="shared" si="22"/>
        <v>9.9999999999999995E-8</v>
      </c>
      <c r="H17" s="1">
        <f t="shared" si="2"/>
        <v>4.3615994239598124E-7</v>
      </c>
      <c r="I17" s="1">
        <f t="shared" si="3"/>
        <v>1.0069316688518014E-7</v>
      </c>
      <c r="J17" s="1">
        <f t="shared" si="4"/>
        <v>8.1607719473631774E-5</v>
      </c>
      <c r="K17" s="20">
        <f t="shared" si="5"/>
        <v>1.8354021735392671E-5</v>
      </c>
      <c r="L17" s="19">
        <f t="shared" si="6"/>
        <v>1.0000000000000003E-4</v>
      </c>
      <c r="M17" s="1">
        <f t="shared" si="7"/>
        <v>1.7799999999999997E-6</v>
      </c>
      <c r="N17" s="20">
        <f t="shared" si="8"/>
        <v>1.1835868577177153E-4</v>
      </c>
      <c r="O17" s="19">
        <f t="shared" si="9"/>
        <v>0</v>
      </c>
      <c r="P17" s="1">
        <f t="shared" si="10"/>
        <v>0</v>
      </c>
      <c r="Q17" s="20">
        <f t="shared" si="11"/>
        <v>0</v>
      </c>
      <c r="R17" cm="1">
        <f t="array" ref="R17">MAX(ABS(O17:Q17/B17:D17))</f>
        <v>0</v>
      </c>
      <c r="S17" s="19">
        <f t="shared" si="12"/>
        <v>2613.7783617832774</v>
      </c>
      <c r="T17">
        <v>0</v>
      </c>
      <c r="U17">
        <f>0</f>
        <v>0</v>
      </c>
      <c r="V17" s="20">
        <f t="shared" si="13"/>
        <v>0.10251188643150959</v>
      </c>
      <c r="W17" s="37">
        <f t="shared" si="14"/>
        <v>1183.1576294441711</v>
      </c>
      <c r="X17" s="13">
        <f t="shared" si="15"/>
        <v>0.43615994239598121</v>
      </c>
      <c r="Y17" s="13">
        <f t="shared" si="16"/>
        <v>3092.5118104199705</v>
      </c>
      <c r="Z17" s="13">
        <f t="shared" si="17"/>
        <v>2.5118864315095846E-3</v>
      </c>
      <c r="AA17" s="38">
        <f t="shared" si="18"/>
        <v>1552.6811557632725</v>
      </c>
      <c r="AB17" s="46" cm="1">
        <f t="array" ref="AB17:AC17">TRANSPOSE(MMULT(MINVERSE(_xlfn.WRAPCOLS(S17:V17,2)),TRANSPOSE(O17:P17)))</f>
        <v>0</v>
      </c>
      <c r="AC17" s="1">
        <v>0</v>
      </c>
      <c r="AD17" s="47">
        <v>0</v>
      </c>
    </row>
    <row r="18" spans="1:30" x14ac:dyDescent="0.25">
      <c r="A18">
        <f t="shared" si="23"/>
        <v>7</v>
      </c>
      <c r="B18" s="19">
        <f t="shared" si="19"/>
        <v>1E-4</v>
      </c>
      <c r="C18" s="1">
        <f t="shared" si="19"/>
        <v>1.7799999999999999E-6</v>
      </c>
      <c r="D18" s="20">
        <f t="shared" si="1"/>
        <v>1.1835868577177153E-4</v>
      </c>
      <c r="E18" s="19">
        <f t="shared" si="20"/>
        <v>3.8258790975595189E-8</v>
      </c>
      <c r="F18" s="19">
        <f t="shared" si="21"/>
        <v>1.7363840057604015E-5</v>
      </c>
      <c r="G18" s="19">
        <f t="shared" si="22"/>
        <v>9.9999999999999995E-8</v>
      </c>
      <c r="H18" s="1">
        <f t="shared" si="2"/>
        <v>4.3615994239598124E-7</v>
      </c>
      <c r="I18" s="1">
        <f t="shared" si="3"/>
        <v>1.0069316688518014E-7</v>
      </c>
      <c r="J18" s="1">
        <f t="shared" si="4"/>
        <v>8.1607719473631774E-5</v>
      </c>
      <c r="K18" s="20">
        <f t="shared" si="5"/>
        <v>1.8354021735392671E-5</v>
      </c>
      <c r="L18" s="19">
        <f t="shared" si="6"/>
        <v>1.0000000000000003E-4</v>
      </c>
      <c r="M18" s="1">
        <f t="shared" si="7"/>
        <v>1.7799999999999997E-6</v>
      </c>
      <c r="N18" s="20">
        <f t="shared" si="8"/>
        <v>1.1835868577177153E-4</v>
      </c>
      <c r="O18" s="19">
        <f t="shared" si="9"/>
        <v>0</v>
      </c>
      <c r="P18" s="1">
        <f t="shared" si="10"/>
        <v>0</v>
      </c>
      <c r="Q18" s="20">
        <f t="shared" si="11"/>
        <v>0</v>
      </c>
      <c r="R18" cm="1">
        <f t="array" ref="R18">MAX(ABS(O18:Q18/B18:D18))</f>
        <v>0</v>
      </c>
      <c r="S18" s="19">
        <f t="shared" si="12"/>
        <v>2613.7783617832774</v>
      </c>
      <c r="T18">
        <v>0</v>
      </c>
      <c r="U18">
        <f>0</f>
        <v>0</v>
      </c>
      <c r="V18" s="20">
        <f t="shared" si="13"/>
        <v>0.10251188643150959</v>
      </c>
      <c r="W18" s="37">
        <f t="shared" si="14"/>
        <v>1183.1576294441711</v>
      </c>
      <c r="X18" s="13">
        <f t="shared" si="15"/>
        <v>0.43615994239598121</v>
      </c>
      <c r="Y18" s="13">
        <f t="shared" si="16"/>
        <v>3092.5118104199705</v>
      </c>
      <c r="Z18" s="13">
        <f t="shared" si="17"/>
        <v>2.5118864315095846E-3</v>
      </c>
      <c r="AA18" s="38">
        <f t="shared" si="18"/>
        <v>1552.6811557632725</v>
      </c>
      <c r="AB18" s="46" cm="1">
        <f t="array" ref="AB18:AC18">TRANSPOSE(MMULT(MINVERSE(_xlfn.WRAPCOLS(S18:V18,2)),TRANSPOSE(O18:P18)))</f>
        <v>0</v>
      </c>
      <c r="AC18" s="1">
        <v>0</v>
      </c>
      <c r="AD18" s="47">
        <v>0</v>
      </c>
    </row>
    <row r="19" spans="1:30" x14ac:dyDescent="0.25">
      <c r="A19">
        <f t="shared" si="23"/>
        <v>8</v>
      </c>
      <c r="B19" s="19">
        <f t="shared" si="19"/>
        <v>1E-4</v>
      </c>
      <c r="C19" s="1">
        <f t="shared" si="19"/>
        <v>1.7799999999999999E-6</v>
      </c>
      <c r="D19" s="20">
        <f t="shared" si="1"/>
        <v>1.1835868577177153E-4</v>
      </c>
      <c r="E19" s="19">
        <f t="shared" si="20"/>
        <v>3.8258790975595189E-8</v>
      </c>
      <c r="F19" s="19">
        <f t="shared" si="21"/>
        <v>1.7363840057604015E-5</v>
      </c>
      <c r="G19" s="19">
        <f t="shared" si="22"/>
        <v>9.9999999999999995E-8</v>
      </c>
      <c r="H19" s="1">
        <f t="shared" si="2"/>
        <v>4.3615994239598124E-7</v>
      </c>
      <c r="I19" s="1">
        <f t="shared" si="3"/>
        <v>1.0069316688518014E-7</v>
      </c>
      <c r="J19" s="1">
        <f t="shared" si="4"/>
        <v>8.1607719473631774E-5</v>
      </c>
      <c r="K19" s="20">
        <f t="shared" si="5"/>
        <v>1.8354021735392671E-5</v>
      </c>
      <c r="L19" s="19">
        <f t="shared" si="6"/>
        <v>1.0000000000000003E-4</v>
      </c>
      <c r="M19" s="1">
        <f t="shared" si="7"/>
        <v>1.7799999999999997E-6</v>
      </c>
      <c r="N19" s="20">
        <f t="shared" si="8"/>
        <v>1.1835868577177153E-4</v>
      </c>
      <c r="O19" s="19">
        <f t="shared" si="9"/>
        <v>0</v>
      </c>
      <c r="P19" s="1">
        <f t="shared" si="10"/>
        <v>0</v>
      </c>
      <c r="Q19" s="20">
        <f t="shared" si="11"/>
        <v>0</v>
      </c>
      <c r="R19" cm="1">
        <f t="array" ref="R19">MAX(ABS(O19:Q19/B19:D19))</f>
        <v>0</v>
      </c>
      <c r="S19" s="19">
        <f t="shared" si="12"/>
        <v>2613.7783617832774</v>
      </c>
      <c r="T19">
        <v>0</v>
      </c>
      <c r="U19">
        <f>0</f>
        <v>0</v>
      </c>
      <c r="V19" s="20">
        <f t="shared" si="13"/>
        <v>0.10251188643150959</v>
      </c>
      <c r="W19" s="37">
        <f t="shared" si="14"/>
        <v>1183.1576294441711</v>
      </c>
      <c r="X19" s="13">
        <f t="shared" si="15"/>
        <v>0.43615994239598121</v>
      </c>
      <c r="Y19" s="13">
        <f t="shared" si="16"/>
        <v>3092.5118104199705</v>
      </c>
      <c r="Z19" s="13">
        <f t="shared" si="17"/>
        <v>2.5118864315095846E-3</v>
      </c>
      <c r="AA19" s="38">
        <f t="shared" si="18"/>
        <v>1552.6811557632725</v>
      </c>
      <c r="AB19" s="46" cm="1">
        <f t="array" ref="AB19:AC19">TRANSPOSE(MMULT(MINVERSE(_xlfn.WRAPCOLS(S19:V19,2)),TRANSPOSE(O19:P19)))</f>
        <v>0</v>
      </c>
      <c r="AC19" s="1">
        <v>0</v>
      </c>
      <c r="AD19" s="47">
        <v>0</v>
      </c>
    </row>
    <row r="20" spans="1:30" x14ac:dyDescent="0.25">
      <c r="A20">
        <f t="shared" si="23"/>
        <v>9</v>
      </c>
      <c r="B20" s="19">
        <f t="shared" si="19"/>
        <v>1E-4</v>
      </c>
      <c r="C20" s="1">
        <f t="shared" si="19"/>
        <v>1.7799999999999999E-6</v>
      </c>
      <c r="D20" s="20">
        <f t="shared" si="1"/>
        <v>1.1835868577177153E-4</v>
      </c>
      <c r="E20" s="19">
        <f t="shared" si="20"/>
        <v>3.8258790975595189E-8</v>
      </c>
      <c r="F20" s="19">
        <f t="shared" si="21"/>
        <v>1.7363840057604015E-5</v>
      </c>
      <c r="G20" s="19">
        <f t="shared" si="22"/>
        <v>9.9999999999999995E-8</v>
      </c>
      <c r="H20" s="1">
        <f t="shared" si="2"/>
        <v>4.3615994239598124E-7</v>
      </c>
      <c r="I20" s="1">
        <f t="shared" si="3"/>
        <v>1.0069316688518014E-7</v>
      </c>
      <c r="J20" s="1">
        <f t="shared" si="4"/>
        <v>8.1607719473631774E-5</v>
      </c>
      <c r="K20" s="20">
        <f t="shared" si="5"/>
        <v>1.8354021735392671E-5</v>
      </c>
      <c r="L20" s="19">
        <f t="shared" si="6"/>
        <v>1.0000000000000003E-4</v>
      </c>
      <c r="M20" s="1">
        <f t="shared" si="7"/>
        <v>1.7799999999999997E-6</v>
      </c>
      <c r="N20" s="20">
        <f t="shared" si="8"/>
        <v>1.1835868577177153E-4</v>
      </c>
      <c r="O20" s="19">
        <f t="shared" si="9"/>
        <v>0</v>
      </c>
      <c r="P20" s="1">
        <f t="shared" si="10"/>
        <v>0</v>
      </c>
      <c r="Q20" s="20">
        <f t="shared" si="11"/>
        <v>0</v>
      </c>
      <c r="R20" cm="1">
        <f t="array" ref="R20">MAX(ABS(O20:Q20/B20:D20))</f>
        <v>0</v>
      </c>
      <c r="S20" s="19">
        <f t="shared" si="12"/>
        <v>2613.7783617832774</v>
      </c>
      <c r="T20">
        <v>0</v>
      </c>
      <c r="U20">
        <f>0</f>
        <v>0</v>
      </c>
      <c r="V20" s="20">
        <f t="shared" si="13"/>
        <v>0.10251188643150959</v>
      </c>
      <c r="W20" s="37">
        <f t="shared" si="14"/>
        <v>1183.1576294441711</v>
      </c>
      <c r="X20" s="13">
        <f t="shared" si="15"/>
        <v>0.43615994239598121</v>
      </c>
      <c r="Y20" s="13">
        <f t="shared" si="16"/>
        <v>3092.5118104199705</v>
      </c>
      <c r="Z20" s="13">
        <f t="shared" si="17"/>
        <v>2.5118864315095846E-3</v>
      </c>
      <c r="AA20" s="38">
        <f t="shared" si="18"/>
        <v>1552.6811557632725</v>
      </c>
      <c r="AB20" s="46" cm="1">
        <f t="array" ref="AB20:AC20">TRANSPOSE(MMULT(MINVERSE(_xlfn.WRAPCOLS(S20:V20,2)),TRANSPOSE(O20:P20)))</f>
        <v>0</v>
      </c>
      <c r="AC20" s="1">
        <v>0</v>
      </c>
      <c r="AD20" s="47">
        <v>0</v>
      </c>
    </row>
    <row r="21" spans="1:30" x14ac:dyDescent="0.25">
      <c r="A21">
        <f t="shared" si="23"/>
        <v>10</v>
      </c>
      <c r="B21" s="19">
        <f t="shared" si="19"/>
        <v>1E-4</v>
      </c>
      <c r="C21" s="1">
        <f t="shared" si="19"/>
        <v>1.7799999999999999E-6</v>
      </c>
      <c r="D21" s="20">
        <f t="shared" si="1"/>
        <v>1.1835868577177153E-4</v>
      </c>
      <c r="E21" s="19">
        <f t="shared" si="20"/>
        <v>3.8258790975595189E-8</v>
      </c>
      <c r="F21" s="19">
        <f t="shared" si="21"/>
        <v>1.7363840057604015E-5</v>
      </c>
      <c r="G21" s="19">
        <f t="shared" si="22"/>
        <v>9.9999999999999995E-8</v>
      </c>
      <c r="H21" s="1">
        <f t="shared" si="2"/>
        <v>4.3615994239598124E-7</v>
      </c>
      <c r="I21" s="1">
        <f t="shared" si="3"/>
        <v>1.0069316688518014E-7</v>
      </c>
      <c r="J21" s="1">
        <f t="shared" si="4"/>
        <v>8.1607719473631774E-5</v>
      </c>
      <c r="K21" s="20">
        <f t="shared" si="5"/>
        <v>1.8354021735392671E-5</v>
      </c>
      <c r="L21" s="19">
        <f t="shared" si="6"/>
        <v>1.0000000000000003E-4</v>
      </c>
      <c r="M21" s="1">
        <f t="shared" si="7"/>
        <v>1.7799999999999997E-6</v>
      </c>
      <c r="N21" s="20">
        <f t="shared" si="8"/>
        <v>1.1835868577177153E-4</v>
      </c>
      <c r="O21" s="19">
        <f t="shared" si="9"/>
        <v>0</v>
      </c>
      <c r="P21" s="1">
        <f t="shared" si="10"/>
        <v>0</v>
      </c>
      <c r="Q21" s="20">
        <f t="shared" si="11"/>
        <v>0</v>
      </c>
      <c r="R21" cm="1">
        <f t="array" ref="R21">MAX(ABS(O21:Q21/B21:D21))</f>
        <v>0</v>
      </c>
      <c r="S21" s="19">
        <f t="shared" si="12"/>
        <v>2613.7783617832774</v>
      </c>
      <c r="T21">
        <v>0</v>
      </c>
      <c r="U21">
        <f>0</f>
        <v>0</v>
      </c>
      <c r="V21" s="20">
        <f t="shared" si="13"/>
        <v>0.10251188643150959</v>
      </c>
      <c r="W21" s="37">
        <f t="shared" si="14"/>
        <v>1183.1576294441711</v>
      </c>
      <c r="X21" s="13">
        <f t="shared" si="15"/>
        <v>0.43615994239598121</v>
      </c>
      <c r="Y21" s="13">
        <f t="shared" si="16"/>
        <v>3092.5118104199705</v>
      </c>
      <c r="Z21" s="13">
        <f t="shared" si="17"/>
        <v>2.5118864315095846E-3</v>
      </c>
      <c r="AA21" s="38">
        <f t="shared" si="18"/>
        <v>1552.6811557632725</v>
      </c>
      <c r="AB21" s="46" cm="1">
        <f t="array" ref="AB21:AC21">TRANSPOSE(MMULT(MINVERSE(_xlfn.WRAPCOLS(S21:V21,2)),TRANSPOSE(O21:P21)))</f>
        <v>0</v>
      </c>
      <c r="AC21" s="1">
        <v>0</v>
      </c>
      <c r="AD21" s="47">
        <v>0</v>
      </c>
    </row>
    <row r="22" spans="1:30" x14ac:dyDescent="0.25">
      <c r="A22">
        <f t="shared" si="23"/>
        <v>11</v>
      </c>
      <c r="B22" s="19">
        <f t="shared" si="19"/>
        <v>1E-4</v>
      </c>
      <c r="C22" s="1">
        <f t="shared" si="19"/>
        <v>1.7799999999999999E-6</v>
      </c>
      <c r="D22" s="20">
        <f t="shared" si="1"/>
        <v>1.1835868577177153E-4</v>
      </c>
      <c r="E22" s="19">
        <f t="shared" si="20"/>
        <v>3.8258790975595189E-8</v>
      </c>
      <c r="F22" s="19">
        <f t="shared" si="21"/>
        <v>1.7363840057604015E-5</v>
      </c>
      <c r="G22" s="19">
        <f t="shared" si="22"/>
        <v>9.9999999999999995E-8</v>
      </c>
      <c r="H22" s="1">
        <f t="shared" si="2"/>
        <v>4.3615994239598124E-7</v>
      </c>
      <c r="I22" s="1">
        <f t="shared" si="3"/>
        <v>1.0069316688518014E-7</v>
      </c>
      <c r="J22" s="1">
        <f t="shared" si="4"/>
        <v>8.1607719473631774E-5</v>
      </c>
      <c r="K22" s="20">
        <f t="shared" si="5"/>
        <v>1.8354021735392671E-5</v>
      </c>
      <c r="L22" s="19">
        <f t="shared" si="6"/>
        <v>1.0000000000000003E-4</v>
      </c>
      <c r="M22" s="1">
        <f t="shared" si="7"/>
        <v>1.7799999999999997E-6</v>
      </c>
      <c r="N22" s="20">
        <f t="shared" si="8"/>
        <v>1.1835868577177153E-4</v>
      </c>
      <c r="O22" s="19">
        <f t="shared" si="9"/>
        <v>0</v>
      </c>
      <c r="P22" s="1">
        <f t="shared" si="10"/>
        <v>0</v>
      </c>
      <c r="Q22" s="20">
        <f t="shared" si="11"/>
        <v>0</v>
      </c>
      <c r="R22" cm="1">
        <f t="array" ref="R22">MAX(ABS(O22:Q22/B22:D22))</f>
        <v>0</v>
      </c>
      <c r="S22" s="19">
        <f t="shared" si="12"/>
        <v>2613.7783617832774</v>
      </c>
      <c r="T22">
        <v>0</v>
      </c>
      <c r="U22">
        <f>0</f>
        <v>0</v>
      </c>
      <c r="V22" s="20">
        <f t="shared" si="13"/>
        <v>0.10251188643150959</v>
      </c>
      <c r="W22" s="37">
        <f t="shared" si="14"/>
        <v>1183.1576294441711</v>
      </c>
      <c r="X22" s="13">
        <f t="shared" si="15"/>
        <v>0.43615994239598121</v>
      </c>
      <c r="Y22" s="13">
        <f t="shared" si="16"/>
        <v>3092.5118104199705</v>
      </c>
      <c r="Z22" s="13">
        <f t="shared" si="17"/>
        <v>2.5118864315095846E-3</v>
      </c>
      <c r="AA22" s="38">
        <f t="shared" si="18"/>
        <v>1552.6811557632725</v>
      </c>
      <c r="AB22" s="46" cm="1">
        <f t="array" ref="AB22:AC22">TRANSPOSE(MMULT(MINVERSE(_xlfn.WRAPCOLS(S22:V22,2)),TRANSPOSE(O22:P22)))</f>
        <v>0</v>
      </c>
      <c r="AC22" s="1">
        <v>0</v>
      </c>
      <c r="AD22" s="47">
        <v>0</v>
      </c>
    </row>
    <row r="23" spans="1:30" x14ac:dyDescent="0.25">
      <c r="A23">
        <f t="shared" si="23"/>
        <v>12</v>
      </c>
      <c r="B23" s="19">
        <f t="shared" si="19"/>
        <v>1E-4</v>
      </c>
      <c r="C23" s="1">
        <f t="shared" si="19"/>
        <v>1.7799999999999999E-6</v>
      </c>
      <c r="D23" s="20">
        <f t="shared" si="1"/>
        <v>1.1835868577177153E-4</v>
      </c>
      <c r="E23" s="19">
        <f t="shared" si="20"/>
        <v>3.8258790975595189E-8</v>
      </c>
      <c r="F23" s="19">
        <f t="shared" si="21"/>
        <v>1.7363840057604015E-5</v>
      </c>
      <c r="G23" s="19">
        <f t="shared" si="22"/>
        <v>9.9999999999999995E-8</v>
      </c>
      <c r="H23" s="1">
        <f t="shared" si="2"/>
        <v>4.3615994239598124E-7</v>
      </c>
      <c r="I23" s="1">
        <f t="shared" si="3"/>
        <v>1.0069316688518014E-7</v>
      </c>
      <c r="J23" s="1">
        <f t="shared" si="4"/>
        <v>8.1607719473631774E-5</v>
      </c>
      <c r="K23" s="20">
        <f t="shared" si="5"/>
        <v>1.8354021735392671E-5</v>
      </c>
      <c r="L23" s="19">
        <f t="shared" si="6"/>
        <v>1.0000000000000003E-4</v>
      </c>
      <c r="M23" s="1">
        <f t="shared" si="7"/>
        <v>1.7799999999999997E-6</v>
      </c>
      <c r="N23" s="20">
        <f t="shared" si="8"/>
        <v>1.1835868577177153E-4</v>
      </c>
      <c r="O23" s="19">
        <f t="shared" si="9"/>
        <v>0</v>
      </c>
      <c r="P23" s="1">
        <f t="shared" si="10"/>
        <v>0</v>
      </c>
      <c r="Q23" s="20">
        <f t="shared" si="11"/>
        <v>0</v>
      </c>
      <c r="R23" cm="1">
        <f t="array" ref="R23">MAX(ABS(O23:Q23/B23:D23))</f>
        <v>0</v>
      </c>
      <c r="S23" s="19">
        <f t="shared" si="12"/>
        <v>2613.7783617832774</v>
      </c>
      <c r="T23">
        <v>0</v>
      </c>
      <c r="U23">
        <f>0</f>
        <v>0</v>
      </c>
      <c r="V23" s="20">
        <f t="shared" si="13"/>
        <v>0.10251188643150959</v>
      </c>
      <c r="W23" s="37">
        <f t="shared" si="14"/>
        <v>1183.1576294441711</v>
      </c>
      <c r="X23" s="13">
        <f t="shared" si="15"/>
        <v>0.43615994239598121</v>
      </c>
      <c r="Y23" s="13">
        <f t="shared" si="16"/>
        <v>3092.5118104199705</v>
      </c>
      <c r="Z23" s="13">
        <f t="shared" si="17"/>
        <v>2.5118864315095846E-3</v>
      </c>
      <c r="AA23" s="38">
        <f t="shared" si="18"/>
        <v>1552.6811557632725</v>
      </c>
      <c r="AB23" s="46" cm="1">
        <f t="array" ref="AB23:AC23">TRANSPOSE(MMULT(MINVERSE(_xlfn.WRAPCOLS(S23:V23,2)),TRANSPOSE(O23:P23)))</f>
        <v>0</v>
      </c>
      <c r="AC23" s="1">
        <v>0</v>
      </c>
      <c r="AD23" s="47">
        <v>0</v>
      </c>
    </row>
    <row r="24" spans="1:30" x14ac:dyDescent="0.25">
      <c r="A24">
        <f t="shared" si="23"/>
        <v>13</v>
      </c>
      <c r="B24" s="19">
        <f t="shared" si="19"/>
        <v>1E-4</v>
      </c>
      <c r="C24" s="1">
        <f t="shared" si="19"/>
        <v>1.7799999999999999E-6</v>
      </c>
      <c r="D24" s="20">
        <f t="shared" si="1"/>
        <v>1.1835868577177153E-4</v>
      </c>
      <c r="E24" s="19">
        <f t="shared" si="20"/>
        <v>3.8258790975595189E-8</v>
      </c>
      <c r="F24" s="19">
        <f t="shared" si="21"/>
        <v>1.7363840057604015E-5</v>
      </c>
      <c r="G24" s="19">
        <f t="shared" si="22"/>
        <v>9.9999999999999995E-8</v>
      </c>
      <c r="H24" s="1">
        <f t="shared" si="2"/>
        <v>4.3615994239598124E-7</v>
      </c>
      <c r="I24" s="1">
        <f t="shared" si="3"/>
        <v>1.0069316688518014E-7</v>
      </c>
      <c r="J24" s="1">
        <f t="shared" si="4"/>
        <v>8.1607719473631774E-5</v>
      </c>
      <c r="K24" s="20">
        <f t="shared" si="5"/>
        <v>1.8354021735392671E-5</v>
      </c>
      <c r="L24" s="19">
        <f t="shared" si="6"/>
        <v>1.0000000000000003E-4</v>
      </c>
      <c r="M24" s="1">
        <f t="shared" si="7"/>
        <v>1.7799999999999997E-6</v>
      </c>
      <c r="N24" s="20">
        <f t="shared" si="8"/>
        <v>1.1835868577177153E-4</v>
      </c>
      <c r="O24" s="19">
        <f t="shared" si="9"/>
        <v>0</v>
      </c>
      <c r="P24" s="1">
        <f t="shared" si="10"/>
        <v>0</v>
      </c>
      <c r="Q24" s="20">
        <f t="shared" si="11"/>
        <v>0</v>
      </c>
      <c r="R24" cm="1">
        <f t="array" ref="R24">MAX(ABS(O24:Q24/B24:D24))</f>
        <v>0</v>
      </c>
      <c r="S24" s="19">
        <f t="shared" si="12"/>
        <v>2613.7783617832774</v>
      </c>
      <c r="T24">
        <v>0</v>
      </c>
      <c r="U24">
        <f>0</f>
        <v>0</v>
      </c>
      <c r="V24" s="20">
        <f t="shared" si="13"/>
        <v>0.10251188643150959</v>
      </c>
      <c r="W24" s="37">
        <f t="shared" si="14"/>
        <v>1183.1576294441711</v>
      </c>
      <c r="X24" s="13">
        <f t="shared" si="15"/>
        <v>0.43615994239598121</v>
      </c>
      <c r="Y24" s="13">
        <f t="shared" si="16"/>
        <v>3092.5118104199705</v>
      </c>
      <c r="Z24" s="13">
        <f t="shared" si="17"/>
        <v>2.5118864315095846E-3</v>
      </c>
      <c r="AA24" s="38">
        <f t="shared" si="18"/>
        <v>1552.6811557632725</v>
      </c>
      <c r="AB24" s="46" cm="1">
        <f t="array" ref="AB24:AC24">TRANSPOSE(MMULT(MINVERSE(_xlfn.WRAPCOLS(S24:V24,2)),TRANSPOSE(O24:P24)))</f>
        <v>0</v>
      </c>
      <c r="AC24" s="1">
        <v>0</v>
      </c>
      <c r="AD24" s="47">
        <v>0</v>
      </c>
    </row>
    <row r="25" spans="1:30" x14ac:dyDescent="0.25">
      <c r="A25">
        <f t="shared" si="23"/>
        <v>14</v>
      </c>
      <c r="B25" s="19">
        <f t="shared" si="19"/>
        <v>1E-4</v>
      </c>
      <c r="C25" s="1">
        <f t="shared" si="19"/>
        <v>1.7799999999999999E-6</v>
      </c>
      <c r="D25" s="20">
        <f t="shared" si="1"/>
        <v>1.1835868577177153E-4</v>
      </c>
      <c r="E25" s="19">
        <f t="shared" si="20"/>
        <v>3.8258790975595189E-8</v>
      </c>
      <c r="F25" s="19">
        <f t="shared" si="21"/>
        <v>1.7363840057604015E-5</v>
      </c>
      <c r="G25" s="19">
        <f t="shared" si="22"/>
        <v>9.9999999999999995E-8</v>
      </c>
      <c r="H25" s="1">
        <f t="shared" si="2"/>
        <v>4.3615994239598124E-7</v>
      </c>
      <c r="I25" s="1">
        <f t="shared" si="3"/>
        <v>1.0069316688518014E-7</v>
      </c>
      <c r="J25" s="1">
        <f t="shared" si="4"/>
        <v>8.1607719473631774E-5</v>
      </c>
      <c r="K25" s="20">
        <f t="shared" si="5"/>
        <v>1.8354021735392671E-5</v>
      </c>
      <c r="L25" s="19">
        <f t="shared" si="6"/>
        <v>1.0000000000000003E-4</v>
      </c>
      <c r="M25" s="1">
        <f t="shared" si="7"/>
        <v>1.7799999999999997E-6</v>
      </c>
      <c r="N25" s="20">
        <f t="shared" si="8"/>
        <v>1.1835868577177153E-4</v>
      </c>
      <c r="O25" s="19">
        <f t="shared" si="9"/>
        <v>0</v>
      </c>
      <c r="P25" s="1">
        <f t="shared" si="10"/>
        <v>0</v>
      </c>
      <c r="Q25" s="20">
        <f t="shared" si="11"/>
        <v>0</v>
      </c>
      <c r="R25" cm="1">
        <f t="array" ref="R25">MAX(ABS(O25:Q25/B25:D25))</f>
        <v>0</v>
      </c>
      <c r="S25" s="19">
        <f t="shared" si="12"/>
        <v>2613.7783617832774</v>
      </c>
      <c r="T25">
        <v>0</v>
      </c>
      <c r="U25">
        <f>0</f>
        <v>0</v>
      </c>
      <c r="V25" s="20">
        <f t="shared" si="13"/>
        <v>0.10251188643150959</v>
      </c>
      <c r="W25" s="37">
        <f t="shared" si="14"/>
        <v>1183.1576294441711</v>
      </c>
      <c r="X25" s="13">
        <f t="shared" si="15"/>
        <v>0.43615994239598121</v>
      </c>
      <c r="Y25" s="13">
        <f t="shared" si="16"/>
        <v>3092.5118104199705</v>
      </c>
      <c r="Z25" s="13">
        <f t="shared" si="17"/>
        <v>2.5118864315095846E-3</v>
      </c>
      <c r="AA25" s="38">
        <f t="shared" si="18"/>
        <v>1552.6811557632725</v>
      </c>
      <c r="AB25" s="46" cm="1">
        <f t="array" ref="AB25:AC25">TRANSPOSE(MMULT(MINVERSE(_xlfn.WRAPCOLS(S25:V25,2)),TRANSPOSE(O25:P25)))</f>
        <v>0</v>
      </c>
      <c r="AC25" s="1">
        <v>0</v>
      </c>
      <c r="AD25" s="47">
        <v>0</v>
      </c>
    </row>
    <row r="26" spans="1:30" x14ac:dyDescent="0.25">
      <c r="A26">
        <f t="shared" si="23"/>
        <v>15</v>
      </c>
      <c r="B26" s="19">
        <f t="shared" si="19"/>
        <v>1E-4</v>
      </c>
      <c r="C26" s="1">
        <f t="shared" si="19"/>
        <v>1.7799999999999999E-6</v>
      </c>
      <c r="D26" s="20">
        <f t="shared" si="1"/>
        <v>1.1835868577177153E-4</v>
      </c>
      <c r="E26" s="19">
        <f t="shared" si="20"/>
        <v>3.8258790975595189E-8</v>
      </c>
      <c r="F26" s="19">
        <f t="shared" si="21"/>
        <v>1.7363840057604015E-5</v>
      </c>
      <c r="G26" s="19">
        <f t="shared" si="22"/>
        <v>9.9999999999999995E-8</v>
      </c>
      <c r="H26" s="1">
        <f t="shared" si="2"/>
        <v>4.3615994239598124E-7</v>
      </c>
      <c r="I26" s="1">
        <f t="shared" si="3"/>
        <v>1.0069316688518014E-7</v>
      </c>
      <c r="J26" s="1">
        <f t="shared" si="4"/>
        <v>8.1607719473631774E-5</v>
      </c>
      <c r="K26" s="20">
        <f t="shared" si="5"/>
        <v>1.8354021735392671E-5</v>
      </c>
      <c r="L26" s="19">
        <f t="shared" si="6"/>
        <v>1.0000000000000003E-4</v>
      </c>
      <c r="M26" s="1">
        <f t="shared" si="7"/>
        <v>1.7799999999999997E-6</v>
      </c>
      <c r="N26" s="20">
        <f t="shared" si="8"/>
        <v>1.1835868577177153E-4</v>
      </c>
      <c r="O26" s="19">
        <f t="shared" si="9"/>
        <v>0</v>
      </c>
      <c r="P26" s="1">
        <f t="shared" si="10"/>
        <v>0</v>
      </c>
      <c r="Q26" s="20">
        <f t="shared" si="11"/>
        <v>0</v>
      </c>
      <c r="R26" cm="1">
        <f t="array" ref="R26">MAX(ABS(O26:Q26/B26:D26))</f>
        <v>0</v>
      </c>
      <c r="S26" s="19">
        <f t="shared" si="12"/>
        <v>2613.7783617832774</v>
      </c>
      <c r="T26">
        <v>0</v>
      </c>
      <c r="U26">
        <f>0</f>
        <v>0</v>
      </c>
      <c r="V26" s="20">
        <f t="shared" si="13"/>
        <v>0.10251188643150959</v>
      </c>
      <c r="W26" s="37">
        <f t="shared" si="14"/>
        <v>1183.1576294441711</v>
      </c>
      <c r="X26" s="13">
        <f t="shared" si="15"/>
        <v>0.43615994239598121</v>
      </c>
      <c r="Y26" s="13">
        <f t="shared" si="16"/>
        <v>3092.5118104199705</v>
      </c>
      <c r="Z26" s="13">
        <f t="shared" si="17"/>
        <v>2.5118864315095846E-3</v>
      </c>
      <c r="AA26" s="38">
        <f t="shared" si="18"/>
        <v>1552.6811557632725</v>
      </c>
      <c r="AB26" s="46" cm="1">
        <f t="array" ref="AB26:AC26">TRANSPOSE(MMULT(MINVERSE(_xlfn.WRAPCOLS(S26:V26,2)),TRANSPOSE(O26:P26)))</f>
        <v>0</v>
      </c>
      <c r="AC26" s="1">
        <v>0</v>
      </c>
      <c r="AD26" s="47">
        <v>0</v>
      </c>
    </row>
    <row r="27" spans="1:30" x14ac:dyDescent="0.25">
      <c r="A27">
        <f t="shared" si="23"/>
        <v>16</v>
      </c>
      <c r="B27" s="19">
        <f t="shared" si="19"/>
        <v>1E-4</v>
      </c>
      <c r="C27" s="1">
        <f t="shared" si="19"/>
        <v>1.7799999999999999E-6</v>
      </c>
      <c r="D27" s="20">
        <f t="shared" si="1"/>
        <v>1.1835868577177153E-4</v>
      </c>
      <c r="E27" s="19">
        <f t="shared" si="20"/>
        <v>3.8258790975595189E-8</v>
      </c>
      <c r="F27" s="19">
        <f t="shared" si="21"/>
        <v>1.7363840057604015E-5</v>
      </c>
      <c r="G27" s="19">
        <f t="shared" si="22"/>
        <v>9.9999999999999995E-8</v>
      </c>
      <c r="H27" s="1">
        <f t="shared" si="2"/>
        <v>4.3615994239598124E-7</v>
      </c>
      <c r="I27" s="1">
        <f t="shared" si="3"/>
        <v>1.0069316688518014E-7</v>
      </c>
      <c r="J27" s="1">
        <f t="shared" si="4"/>
        <v>8.1607719473631774E-5</v>
      </c>
      <c r="K27" s="20">
        <f t="shared" si="5"/>
        <v>1.8354021735392671E-5</v>
      </c>
      <c r="L27" s="19">
        <f t="shared" si="6"/>
        <v>1.0000000000000003E-4</v>
      </c>
      <c r="M27" s="1">
        <f t="shared" si="7"/>
        <v>1.7799999999999997E-6</v>
      </c>
      <c r="N27" s="20">
        <f t="shared" si="8"/>
        <v>1.1835868577177153E-4</v>
      </c>
      <c r="O27" s="19">
        <f t="shared" si="9"/>
        <v>0</v>
      </c>
      <c r="P27" s="1">
        <f t="shared" si="10"/>
        <v>0</v>
      </c>
      <c r="Q27" s="20">
        <f t="shared" si="11"/>
        <v>0</v>
      </c>
      <c r="R27" cm="1">
        <f t="array" ref="R27">MAX(ABS(O27:Q27/B27:D27))</f>
        <v>0</v>
      </c>
      <c r="S27" s="19">
        <f t="shared" si="12"/>
        <v>2613.7783617832774</v>
      </c>
      <c r="T27">
        <v>0</v>
      </c>
      <c r="U27">
        <f>0</f>
        <v>0</v>
      </c>
      <c r="V27" s="20">
        <f t="shared" si="13"/>
        <v>0.10251188643150959</v>
      </c>
      <c r="W27" s="37">
        <f t="shared" si="14"/>
        <v>1183.1576294441711</v>
      </c>
      <c r="X27" s="13">
        <f t="shared" si="15"/>
        <v>0.43615994239598121</v>
      </c>
      <c r="Y27" s="13">
        <f t="shared" si="16"/>
        <v>3092.5118104199705</v>
      </c>
      <c r="Z27" s="13">
        <f t="shared" si="17"/>
        <v>2.5118864315095846E-3</v>
      </c>
      <c r="AA27" s="38">
        <f t="shared" si="18"/>
        <v>1552.6811557632725</v>
      </c>
      <c r="AB27" s="46" cm="1">
        <f t="array" ref="AB27:AC27">TRANSPOSE(MMULT(MINVERSE(_xlfn.WRAPCOLS(S27:V27,2)),TRANSPOSE(O27:P27)))</f>
        <v>0</v>
      </c>
      <c r="AC27" s="1">
        <v>0</v>
      </c>
      <c r="AD27" s="47">
        <v>0</v>
      </c>
    </row>
    <row r="28" spans="1:30" x14ac:dyDescent="0.25">
      <c r="A28">
        <f t="shared" si="23"/>
        <v>17</v>
      </c>
      <c r="B28" s="19">
        <f t="shared" si="19"/>
        <v>1E-4</v>
      </c>
      <c r="C28" s="1">
        <f t="shared" si="19"/>
        <v>1.7799999999999999E-6</v>
      </c>
      <c r="D28" s="20">
        <f t="shared" si="1"/>
        <v>1.1835868577177153E-4</v>
      </c>
      <c r="E28" s="19">
        <f t="shared" si="20"/>
        <v>3.8258790975595189E-8</v>
      </c>
      <c r="F28" s="19">
        <f t="shared" si="21"/>
        <v>1.7363840057604015E-5</v>
      </c>
      <c r="G28" s="19">
        <f t="shared" si="22"/>
        <v>9.9999999999999995E-8</v>
      </c>
      <c r="H28" s="1">
        <f t="shared" si="2"/>
        <v>4.3615994239598124E-7</v>
      </c>
      <c r="I28" s="1">
        <f t="shared" si="3"/>
        <v>1.0069316688518014E-7</v>
      </c>
      <c r="J28" s="1">
        <f t="shared" si="4"/>
        <v>8.1607719473631774E-5</v>
      </c>
      <c r="K28" s="20">
        <f t="shared" si="5"/>
        <v>1.8354021735392671E-5</v>
      </c>
      <c r="L28" s="19">
        <f t="shared" si="6"/>
        <v>1.0000000000000003E-4</v>
      </c>
      <c r="M28" s="1">
        <f t="shared" si="7"/>
        <v>1.7799999999999997E-6</v>
      </c>
      <c r="N28" s="20">
        <f t="shared" si="8"/>
        <v>1.1835868577177153E-4</v>
      </c>
      <c r="O28" s="19">
        <f t="shared" si="9"/>
        <v>0</v>
      </c>
      <c r="P28" s="1">
        <f t="shared" si="10"/>
        <v>0</v>
      </c>
      <c r="Q28" s="20">
        <f t="shared" si="11"/>
        <v>0</v>
      </c>
      <c r="R28" cm="1">
        <f t="array" ref="R28">MAX(ABS(O28:Q28/B28:D28))</f>
        <v>0</v>
      </c>
      <c r="S28" s="19">
        <f t="shared" si="12"/>
        <v>2613.7783617832774</v>
      </c>
      <c r="T28">
        <v>0</v>
      </c>
      <c r="U28">
        <f>0</f>
        <v>0</v>
      </c>
      <c r="V28" s="20">
        <f t="shared" si="13"/>
        <v>0.10251188643150959</v>
      </c>
      <c r="W28" s="37">
        <f t="shared" si="14"/>
        <v>1183.1576294441711</v>
      </c>
      <c r="X28" s="13">
        <f t="shared" si="15"/>
        <v>0.43615994239598121</v>
      </c>
      <c r="Y28" s="13">
        <f t="shared" si="16"/>
        <v>3092.5118104199705</v>
      </c>
      <c r="Z28" s="13">
        <f t="shared" si="17"/>
        <v>2.5118864315095846E-3</v>
      </c>
      <c r="AA28" s="38">
        <f t="shared" si="18"/>
        <v>1552.6811557632725</v>
      </c>
      <c r="AB28" s="46" cm="1">
        <f t="array" ref="AB28:AC28">TRANSPOSE(MMULT(MINVERSE(_xlfn.WRAPCOLS(S28:V28,2)),TRANSPOSE(O28:P28)))</f>
        <v>0</v>
      </c>
      <c r="AC28" s="1">
        <v>0</v>
      </c>
      <c r="AD28" s="47">
        <v>0</v>
      </c>
    </row>
    <row r="29" spans="1:30" x14ac:dyDescent="0.25">
      <c r="A29">
        <f t="shared" si="23"/>
        <v>18</v>
      </c>
      <c r="B29" s="19">
        <f t="shared" ref="B29:C44" si="24">B28</f>
        <v>1E-4</v>
      </c>
      <c r="C29" s="1">
        <f t="shared" si="24"/>
        <v>1.7799999999999999E-6</v>
      </c>
      <c r="D29" s="20">
        <f t="shared" si="1"/>
        <v>1.1835868577177153E-4</v>
      </c>
      <c r="E29" s="19">
        <f t="shared" si="20"/>
        <v>3.8258790975595189E-8</v>
      </c>
      <c r="F29" s="19">
        <f t="shared" si="21"/>
        <v>1.7363840057604015E-5</v>
      </c>
      <c r="G29" s="19">
        <f t="shared" si="22"/>
        <v>9.9999999999999995E-8</v>
      </c>
      <c r="H29" s="1">
        <f t="shared" si="2"/>
        <v>4.3615994239598124E-7</v>
      </c>
      <c r="I29" s="1">
        <f t="shared" si="3"/>
        <v>1.0069316688518014E-7</v>
      </c>
      <c r="J29" s="1">
        <f t="shared" si="4"/>
        <v>8.1607719473631774E-5</v>
      </c>
      <c r="K29" s="20">
        <f t="shared" si="5"/>
        <v>1.8354021735392671E-5</v>
      </c>
      <c r="L29" s="19">
        <f t="shared" si="6"/>
        <v>1.0000000000000003E-4</v>
      </c>
      <c r="M29" s="1">
        <f t="shared" si="7"/>
        <v>1.7799999999999997E-6</v>
      </c>
      <c r="N29" s="20">
        <f t="shared" si="8"/>
        <v>1.1835868577177153E-4</v>
      </c>
      <c r="O29" s="19">
        <f t="shared" si="9"/>
        <v>0</v>
      </c>
      <c r="P29" s="1">
        <f t="shared" si="10"/>
        <v>0</v>
      </c>
      <c r="Q29" s="20">
        <f t="shared" si="11"/>
        <v>0</v>
      </c>
      <c r="R29" cm="1">
        <f t="array" ref="R29">MAX(ABS(O29:Q29/B29:D29))</f>
        <v>0</v>
      </c>
      <c r="S29" s="19">
        <f t="shared" si="12"/>
        <v>2613.7783617832774</v>
      </c>
      <c r="T29">
        <v>0</v>
      </c>
      <c r="U29">
        <f>0</f>
        <v>0</v>
      </c>
      <c r="V29" s="20">
        <f t="shared" si="13"/>
        <v>0.10251188643150959</v>
      </c>
      <c r="W29" s="37">
        <f t="shared" si="14"/>
        <v>1183.1576294441711</v>
      </c>
      <c r="X29" s="13">
        <f t="shared" si="15"/>
        <v>0.43615994239598121</v>
      </c>
      <c r="Y29" s="13">
        <f t="shared" si="16"/>
        <v>3092.5118104199705</v>
      </c>
      <c r="Z29" s="13">
        <f t="shared" si="17"/>
        <v>2.5118864315095846E-3</v>
      </c>
      <c r="AA29" s="38">
        <f t="shared" si="18"/>
        <v>1552.6811557632725</v>
      </c>
      <c r="AB29" s="46" cm="1">
        <f t="array" ref="AB29:AC29">TRANSPOSE(MMULT(MINVERSE(_xlfn.WRAPCOLS(S29:V29,2)),TRANSPOSE(O29:P29)))</f>
        <v>0</v>
      </c>
      <c r="AC29" s="1">
        <v>0</v>
      </c>
      <c r="AD29" s="47">
        <v>0</v>
      </c>
    </row>
    <row r="30" spans="1:30" x14ac:dyDescent="0.25">
      <c r="A30">
        <f t="shared" si="23"/>
        <v>19</v>
      </c>
      <c r="B30" s="19">
        <f t="shared" si="24"/>
        <v>1E-4</v>
      </c>
      <c r="C30" s="1">
        <f t="shared" si="24"/>
        <v>1.7799999999999999E-6</v>
      </c>
      <c r="D30" s="20">
        <f t="shared" si="1"/>
        <v>1.1835868577177153E-4</v>
      </c>
      <c r="E30" s="19">
        <f t="shared" si="20"/>
        <v>3.8258790975595189E-8</v>
      </c>
      <c r="F30" s="19">
        <f t="shared" si="21"/>
        <v>1.7363840057604015E-5</v>
      </c>
      <c r="G30" s="19">
        <f t="shared" si="22"/>
        <v>9.9999999999999995E-8</v>
      </c>
      <c r="H30" s="1">
        <f t="shared" si="2"/>
        <v>4.3615994239598124E-7</v>
      </c>
      <c r="I30" s="1">
        <f t="shared" si="3"/>
        <v>1.0069316688518014E-7</v>
      </c>
      <c r="J30" s="1">
        <f t="shared" si="4"/>
        <v>8.1607719473631774E-5</v>
      </c>
      <c r="K30" s="20">
        <f t="shared" si="5"/>
        <v>1.8354021735392671E-5</v>
      </c>
      <c r="L30" s="19">
        <f t="shared" si="6"/>
        <v>1.0000000000000003E-4</v>
      </c>
      <c r="M30" s="1">
        <f t="shared" si="7"/>
        <v>1.7799999999999997E-6</v>
      </c>
      <c r="N30" s="20">
        <f t="shared" si="8"/>
        <v>1.1835868577177153E-4</v>
      </c>
      <c r="O30" s="19">
        <f t="shared" si="9"/>
        <v>0</v>
      </c>
      <c r="P30" s="1">
        <f t="shared" si="10"/>
        <v>0</v>
      </c>
      <c r="Q30" s="20">
        <f t="shared" si="11"/>
        <v>0</v>
      </c>
      <c r="R30" cm="1">
        <f t="array" ref="R30">MAX(ABS(O30:Q30/B30:D30))</f>
        <v>0</v>
      </c>
      <c r="S30" s="19">
        <f t="shared" si="12"/>
        <v>2613.7783617832774</v>
      </c>
      <c r="T30">
        <v>0</v>
      </c>
      <c r="U30">
        <f>0</f>
        <v>0</v>
      </c>
      <c r="V30" s="20">
        <f t="shared" si="13"/>
        <v>0.10251188643150959</v>
      </c>
      <c r="W30" s="37">
        <f t="shared" si="14"/>
        <v>1183.1576294441711</v>
      </c>
      <c r="X30" s="13">
        <f t="shared" si="15"/>
        <v>0.43615994239598121</v>
      </c>
      <c r="Y30" s="13">
        <f t="shared" si="16"/>
        <v>3092.5118104199705</v>
      </c>
      <c r="Z30" s="13">
        <f t="shared" si="17"/>
        <v>2.5118864315095846E-3</v>
      </c>
      <c r="AA30" s="38">
        <f t="shared" si="18"/>
        <v>1552.6811557632725</v>
      </c>
      <c r="AB30" s="46" cm="1">
        <f t="array" ref="AB30:AC30">TRANSPOSE(MMULT(MINVERSE(_xlfn.WRAPCOLS(S30:V30,2)),TRANSPOSE(O30:P30)))</f>
        <v>0</v>
      </c>
      <c r="AC30" s="1">
        <v>0</v>
      </c>
      <c r="AD30" s="47">
        <v>0</v>
      </c>
    </row>
    <row r="31" spans="1:30" x14ac:dyDescent="0.25">
      <c r="A31">
        <f t="shared" si="23"/>
        <v>20</v>
      </c>
      <c r="B31" s="19">
        <f t="shared" si="24"/>
        <v>1E-4</v>
      </c>
      <c r="C31" s="1">
        <f t="shared" si="24"/>
        <v>1.7799999999999999E-6</v>
      </c>
      <c r="D31" s="20">
        <f t="shared" si="1"/>
        <v>1.1835868577177153E-4</v>
      </c>
      <c r="E31" s="19">
        <f t="shared" si="20"/>
        <v>3.8258790975595189E-8</v>
      </c>
      <c r="F31" s="19">
        <f t="shared" si="21"/>
        <v>1.7363840057604015E-5</v>
      </c>
      <c r="G31" s="19">
        <f t="shared" si="22"/>
        <v>9.9999999999999995E-8</v>
      </c>
      <c r="H31" s="1">
        <f t="shared" si="2"/>
        <v>4.3615994239598124E-7</v>
      </c>
      <c r="I31" s="1">
        <f t="shared" si="3"/>
        <v>1.0069316688518014E-7</v>
      </c>
      <c r="J31" s="1">
        <f t="shared" si="4"/>
        <v>8.1607719473631774E-5</v>
      </c>
      <c r="K31" s="20">
        <f t="shared" si="5"/>
        <v>1.8354021735392671E-5</v>
      </c>
      <c r="L31" s="19">
        <f t="shared" si="6"/>
        <v>1.0000000000000003E-4</v>
      </c>
      <c r="M31" s="1">
        <f t="shared" si="7"/>
        <v>1.7799999999999997E-6</v>
      </c>
      <c r="N31" s="20">
        <f t="shared" si="8"/>
        <v>1.1835868577177153E-4</v>
      </c>
      <c r="O31" s="19">
        <f t="shared" si="9"/>
        <v>0</v>
      </c>
      <c r="P31" s="1">
        <f t="shared" si="10"/>
        <v>0</v>
      </c>
      <c r="Q31" s="20">
        <f t="shared" si="11"/>
        <v>0</v>
      </c>
      <c r="R31" cm="1">
        <f t="array" ref="R31">MAX(ABS(O31:Q31/B31:D31))</f>
        <v>0</v>
      </c>
      <c r="S31" s="19">
        <f t="shared" si="12"/>
        <v>2613.7783617832774</v>
      </c>
      <c r="T31">
        <v>0</v>
      </c>
      <c r="U31">
        <f>0</f>
        <v>0</v>
      </c>
      <c r="V31" s="20">
        <f t="shared" si="13"/>
        <v>0.10251188643150959</v>
      </c>
      <c r="W31" s="37">
        <f t="shared" si="14"/>
        <v>1183.1576294441711</v>
      </c>
      <c r="X31" s="13">
        <f t="shared" si="15"/>
        <v>0.43615994239598121</v>
      </c>
      <c r="Y31" s="13">
        <f t="shared" si="16"/>
        <v>3092.5118104199705</v>
      </c>
      <c r="Z31" s="13">
        <f t="shared" si="17"/>
        <v>2.5118864315095846E-3</v>
      </c>
      <c r="AA31" s="38">
        <f t="shared" si="18"/>
        <v>1552.6811557632725</v>
      </c>
      <c r="AB31" s="46" cm="1">
        <f t="array" ref="AB31:AC31">TRANSPOSE(MMULT(MINVERSE(_xlfn.WRAPCOLS(S31:V31,2)),TRANSPOSE(O31:P31)))</f>
        <v>0</v>
      </c>
      <c r="AC31" s="1">
        <v>0</v>
      </c>
      <c r="AD31" s="47">
        <v>0</v>
      </c>
    </row>
    <row r="32" spans="1:30" x14ac:dyDescent="0.25">
      <c r="A32">
        <f t="shared" si="23"/>
        <v>21</v>
      </c>
      <c r="B32" s="19">
        <f t="shared" si="24"/>
        <v>1E-4</v>
      </c>
      <c r="C32" s="1">
        <f t="shared" si="24"/>
        <v>1.7799999999999999E-6</v>
      </c>
      <c r="D32" s="20">
        <f t="shared" si="1"/>
        <v>1.1835868577177153E-4</v>
      </c>
      <c r="E32" s="19">
        <f t="shared" si="20"/>
        <v>3.8258790975595189E-8</v>
      </c>
      <c r="F32" s="19">
        <f t="shared" si="21"/>
        <v>1.7363840057604015E-5</v>
      </c>
      <c r="G32" s="19">
        <f t="shared" si="22"/>
        <v>9.9999999999999995E-8</v>
      </c>
      <c r="H32" s="1">
        <f t="shared" si="2"/>
        <v>4.3615994239598124E-7</v>
      </c>
      <c r="I32" s="1">
        <f t="shared" si="3"/>
        <v>1.0069316688518014E-7</v>
      </c>
      <c r="J32" s="1">
        <f t="shared" si="4"/>
        <v>8.1607719473631774E-5</v>
      </c>
      <c r="K32" s="20">
        <f t="shared" si="5"/>
        <v>1.8354021735392671E-5</v>
      </c>
      <c r="L32" s="19">
        <f t="shared" si="6"/>
        <v>1.0000000000000003E-4</v>
      </c>
      <c r="M32" s="1">
        <f t="shared" si="7"/>
        <v>1.7799999999999997E-6</v>
      </c>
      <c r="N32" s="20">
        <f t="shared" si="8"/>
        <v>1.1835868577177153E-4</v>
      </c>
      <c r="O32" s="19">
        <f t="shared" si="9"/>
        <v>0</v>
      </c>
      <c r="P32" s="1">
        <f t="shared" si="10"/>
        <v>0</v>
      </c>
      <c r="Q32" s="20">
        <f t="shared" si="11"/>
        <v>0</v>
      </c>
      <c r="R32" cm="1">
        <f t="array" ref="R32">MAX(ABS(O32:Q32/B32:D32))</f>
        <v>0</v>
      </c>
      <c r="S32" s="19">
        <f t="shared" si="12"/>
        <v>2613.7783617832774</v>
      </c>
      <c r="T32">
        <v>0</v>
      </c>
      <c r="U32">
        <f>0</f>
        <v>0</v>
      </c>
      <c r="V32" s="20">
        <f t="shared" si="13"/>
        <v>0.10251188643150959</v>
      </c>
      <c r="W32" s="37">
        <f t="shared" si="14"/>
        <v>1183.1576294441711</v>
      </c>
      <c r="X32" s="13">
        <f t="shared" si="15"/>
        <v>0.43615994239598121</v>
      </c>
      <c r="Y32" s="13">
        <f t="shared" si="16"/>
        <v>3092.5118104199705</v>
      </c>
      <c r="Z32" s="13">
        <f t="shared" si="17"/>
        <v>2.5118864315095846E-3</v>
      </c>
      <c r="AA32" s="38">
        <f t="shared" si="18"/>
        <v>1552.6811557632725</v>
      </c>
      <c r="AB32" s="46" cm="1">
        <f t="array" ref="AB32:AC32">TRANSPOSE(MMULT(MINVERSE(_xlfn.WRAPCOLS(S32:V32,2)),TRANSPOSE(O32:P32)))</f>
        <v>0</v>
      </c>
      <c r="AC32" s="1">
        <v>0</v>
      </c>
      <c r="AD32" s="47">
        <v>0</v>
      </c>
    </row>
    <row r="33" spans="1:30" x14ac:dyDescent="0.25">
      <c r="A33">
        <f t="shared" si="23"/>
        <v>22</v>
      </c>
      <c r="B33" s="19">
        <f t="shared" si="24"/>
        <v>1E-4</v>
      </c>
      <c r="C33" s="1">
        <f t="shared" si="24"/>
        <v>1.7799999999999999E-6</v>
      </c>
      <c r="D33" s="20">
        <f t="shared" si="1"/>
        <v>1.1835868577177153E-4</v>
      </c>
      <c r="E33" s="19">
        <f t="shared" si="20"/>
        <v>3.8258790975595189E-8</v>
      </c>
      <c r="F33" s="19">
        <f t="shared" si="21"/>
        <v>1.7363840057604015E-5</v>
      </c>
      <c r="G33" s="19">
        <f t="shared" si="22"/>
        <v>9.9999999999999995E-8</v>
      </c>
      <c r="H33" s="1">
        <f t="shared" si="2"/>
        <v>4.3615994239598124E-7</v>
      </c>
      <c r="I33" s="1">
        <f t="shared" si="3"/>
        <v>1.0069316688518014E-7</v>
      </c>
      <c r="J33" s="1">
        <f t="shared" si="4"/>
        <v>8.1607719473631774E-5</v>
      </c>
      <c r="K33" s="20">
        <f t="shared" si="5"/>
        <v>1.8354021735392671E-5</v>
      </c>
      <c r="L33" s="19">
        <f t="shared" si="6"/>
        <v>1.0000000000000003E-4</v>
      </c>
      <c r="M33" s="1">
        <f t="shared" si="7"/>
        <v>1.7799999999999997E-6</v>
      </c>
      <c r="N33" s="20">
        <f t="shared" si="8"/>
        <v>1.1835868577177153E-4</v>
      </c>
      <c r="O33" s="19">
        <f t="shared" si="9"/>
        <v>0</v>
      </c>
      <c r="P33" s="1">
        <f t="shared" si="10"/>
        <v>0</v>
      </c>
      <c r="Q33" s="20">
        <f t="shared" si="11"/>
        <v>0</v>
      </c>
      <c r="R33" cm="1">
        <f t="array" ref="R33">MAX(ABS(O33:Q33/B33:D33))</f>
        <v>0</v>
      </c>
      <c r="S33" s="19">
        <f t="shared" si="12"/>
        <v>2613.7783617832774</v>
      </c>
      <c r="T33">
        <v>0</v>
      </c>
      <c r="U33">
        <f>0</f>
        <v>0</v>
      </c>
      <c r="V33" s="20">
        <f t="shared" si="13"/>
        <v>0.10251188643150959</v>
      </c>
      <c r="W33" s="37">
        <f t="shared" si="14"/>
        <v>1183.1576294441711</v>
      </c>
      <c r="X33" s="13">
        <f t="shared" si="15"/>
        <v>0.43615994239598121</v>
      </c>
      <c r="Y33" s="13">
        <f t="shared" si="16"/>
        <v>3092.5118104199705</v>
      </c>
      <c r="Z33" s="13">
        <f t="shared" si="17"/>
        <v>2.5118864315095846E-3</v>
      </c>
      <c r="AA33" s="38">
        <f t="shared" si="18"/>
        <v>1552.6811557632725</v>
      </c>
      <c r="AB33" s="46" cm="1">
        <f t="array" ref="AB33:AC33">TRANSPOSE(MMULT(MINVERSE(_xlfn.WRAPCOLS(S33:V33,2)),TRANSPOSE(O33:P33)))</f>
        <v>0</v>
      </c>
      <c r="AC33" s="1">
        <v>0</v>
      </c>
      <c r="AD33" s="47">
        <v>0</v>
      </c>
    </row>
    <row r="34" spans="1:30" x14ac:dyDescent="0.25">
      <c r="A34">
        <f t="shared" si="23"/>
        <v>23</v>
      </c>
      <c r="B34" s="19">
        <f t="shared" si="24"/>
        <v>1E-4</v>
      </c>
      <c r="C34" s="1">
        <f t="shared" si="24"/>
        <v>1.7799999999999999E-6</v>
      </c>
      <c r="D34" s="20">
        <f t="shared" si="1"/>
        <v>1.1835868577177153E-4</v>
      </c>
      <c r="E34" s="19">
        <f t="shared" si="20"/>
        <v>3.8258790975595189E-8</v>
      </c>
      <c r="F34" s="19">
        <f t="shared" si="21"/>
        <v>1.7363840057604015E-5</v>
      </c>
      <c r="G34" s="19">
        <f t="shared" si="22"/>
        <v>9.9999999999999995E-8</v>
      </c>
      <c r="H34" s="1">
        <f t="shared" si="2"/>
        <v>4.3615994239598124E-7</v>
      </c>
      <c r="I34" s="1">
        <f t="shared" si="3"/>
        <v>1.0069316688518014E-7</v>
      </c>
      <c r="J34" s="1">
        <f t="shared" si="4"/>
        <v>8.1607719473631774E-5</v>
      </c>
      <c r="K34" s="20">
        <f t="shared" si="5"/>
        <v>1.8354021735392671E-5</v>
      </c>
      <c r="L34" s="19">
        <f t="shared" si="6"/>
        <v>1.0000000000000003E-4</v>
      </c>
      <c r="M34" s="1">
        <f t="shared" si="7"/>
        <v>1.7799999999999997E-6</v>
      </c>
      <c r="N34" s="20">
        <f t="shared" si="8"/>
        <v>1.1835868577177153E-4</v>
      </c>
      <c r="O34" s="19">
        <f t="shared" si="9"/>
        <v>0</v>
      </c>
      <c r="P34" s="1">
        <f t="shared" si="10"/>
        <v>0</v>
      </c>
      <c r="Q34" s="20">
        <f t="shared" si="11"/>
        <v>0</v>
      </c>
      <c r="R34" cm="1">
        <f t="array" ref="R34">MAX(ABS(O34:Q34/B34:D34))</f>
        <v>0</v>
      </c>
      <c r="S34" s="19">
        <f t="shared" si="12"/>
        <v>2613.7783617832774</v>
      </c>
      <c r="T34">
        <v>0</v>
      </c>
      <c r="U34">
        <f>0</f>
        <v>0</v>
      </c>
      <c r="V34" s="20">
        <f t="shared" si="13"/>
        <v>0.10251188643150959</v>
      </c>
      <c r="W34" s="37">
        <f t="shared" si="14"/>
        <v>1183.1576294441711</v>
      </c>
      <c r="X34" s="13">
        <f t="shared" si="15"/>
        <v>0.43615994239598121</v>
      </c>
      <c r="Y34" s="13">
        <f t="shared" si="16"/>
        <v>3092.5118104199705</v>
      </c>
      <c r="Z34" s="13">
        <f t="shared" si="17"/>
        <v>2.5118864315095846E-3</v>
      </c>
      <c r="AA34" s="38">
        <f t="shared" si="18"/>
        <v>1552.6811557632725</v>
      </c>
      <c r="AB34" s="46" cm="1">
        <f t="array" ref="AB34:AC34">TRANSPOSE(MMULT(MINVERSE(_xlfn.WRAPCOLS(S34:V34,2)),TRANSPOSE(O34:P34)))</f>
        <v>0</v>
      </c>
      <c r="AC34" s="1">
        <v>0</v>
      </c>
      <c r="AD34" s="47">
        <v>0</v>
      </c>
    </row>
    <row r="35" spans="1:30" x14ac:dyDescent="0.25">
      <c r="A35">
        <f t="shared" si="23"/>
        <v>24</v>
      </c>
      <c r="B35" s="19">
        <f t="shared" si="24"/>
        <v>1E-4</v>
      </c>
      <c r="C35" s="1">
        <f t="shared" si="24"/>
        <v>1.7799999999999999E-6</v>
      </c>
      <c r="D35" s="20">
        <f t="shared" si="1"/>
        <v>1.1835868577177153E-4</v>
      </c>
      <c r="E35" s="19">
        <f t="shared" si="20"/>
        <v>3.8258790975595189E-8</v>
      </c>
      <c r="F35" s="19">
        <f t="shared" si="21"/>
        <v>1.7363840057604015E-5</v>
      </c>
      <c r="G35" s="19">
        <f t="shared" si="22"/>
        <v>9.9999999999999995E-8</v>
      </c>
      <c r="H35" s="1">
        <f t="shared" si="2"/>
        <v>4.3615994239598124E-7</v>
      </c>
      <c r="I35" s="1">
        <f t="shared" si="3"/>
        <v>1.0069316688518014E-7</v>
      </c>
      <c r="J35" s="1">
        <f t="shared" si="4"/>
        <v>8.1607719473631774E-5</v>
      </c>
      <c r="K35" s="20">
        <f t="shared" si="5"/>
        <v>1.8354021735392671E-5</v>
      </c>
      <c r="L35" s="19">
        <f t="shared" si="6"/>
        <v>1.0000000000000003E-4</v>
      </c>
      <c r="M35" s="1">
        <f t="shared" si="7"/>
        <v>1.7799999999999997E-6</v>
      </c>
      <c r="N35" s="20">
        <f t="shared" si="8"/>
        <v>1.1835868577177153E-4</v>
      </c>
      <c r="O35" s="19">
        <f t="shared" si="9"/>
        <v>0</v>
      </c>
      <c r="P35" s="1">
        <f t="shared" si="10"/>
        <v>0</v>
      </c>
      <c r="Q35" s="20">
        <f t="shared" si="11"/>
        <v>0</v>
      </c>
      <c r="R35" cm="1">
        <f t="array" ref="R35">MAX(ABS(O35:Q35/B35:D35))</f>
        <v>0</v>
      </c>
      <c r="S35" s="19">
        <f t="shared" si="12"/>
        <v>2613.7783617832774</v>
      </c>
      <c r="T35">
        <v>0</v>
      </c>
      <c r="U35">
        <f>0</f>
        <v>0</v>
      </c>
      <c r="V35" s="20">
        <f t="shared" si="13"/>
        <v>0.10251188643150959</v>
      </c>
      <c r="W35" s="37">
        <f t="shared" si="14"/>
        <v>1183.1576294441711</v>
      </c>
      <c r="X35" s="13">
        <f t="shared" si="15"/>
        <v>0.43615994239598121</v>
      </c>
      <c r="Y35" s="13">
        <f t="shared" si="16"/>
        <v>3092.5118104199705</v>
      </c>
      <c r="Z35" s="13">
        <f t="shared" si="17"/>
        <v>2.5118864315095846E-3</v>
      </c>
      <c r="AA35" s="38">
        <f t="shared" si="18"/>
        <v>1552.6811557632725</v>
      </c>
      <c r="AB35" s="46" cm="1">
        <f t="array" ref="AB35:AC35">TRANSPOSE(MMULT(MINVERSE(_xlfn.WRAPCOLS(S35:V35,2)),TRANSPOSE(O35:P35)))</f>
        <v>0</v>
      </c>
      <c r="AC35" s="1">
        <v>0</v>
      </c>
      <c r="AD35" s="47">
        <v>0</v>
      </c>
    </row>
    <row r="36" spans="1:30" x14ac:dyDescent="0.25">
      <c r="A36">
        <f t="shared" si="23"/>
        <v>25</v>
      </c>
      <c r="B36" s="19">
        <f t="shared" si="24"/>
        <v>1E-4</v>
      </c>
      <c r="C36" s="1">
        <f t="shared" si="24"/>
        <v>1.7799999999999999E-6</v>
      </c>
      <c r="D36" s="20">
        <f t="shared" si="1"/>
        <v>1.1835868577177153E-4</v>
      </c>
      <c r="E36" s="19">
        <f t="shared" si="20"/>
        <v>3.8258790975595189E-8</v>
      </c>
      <c r="F36" s="19">
        <f t="shared" si="21"/>
        <v>1.7363840057604015E-5</v>
      </c>
      <c r="G36" s="19">
        <f t="shared" si="22"/>
        <v>9.9999999999999995E-8</v>
      </c>
      <c r="H36" s="1">
        <f t="shared" si="2"/>
        <v>4.3615994239598124E-7</v>
      </c>
      <c r="I36" s="1">
        <f t="shared" si="3"/>
        <v>1.0069316688518014E-7</v>
      </c>
      <c r="J36" s="1">
        <f t="shared" si="4"/>
        <v>8.1607719473631774E-5</v>
      </c>
      <c r="K36" s="20">
        <f t="shared" si="5"/>
        <v>1.8354021735392671E-5</v>
      </c>
      <c r="L36" s="19">
        <f t="shared" si="6"/>
        <v>1.0000000000000003E-4</v>
      </c>
      <c r="M36" s="1">
        <f t="shared" si="7"/>
        <v>1.7799999999999997E-6</v>
      </c>
      <c r="N36" s="20">
        <f t="shared" si="8"/>
        <v>1.1835868577177153E-4</v>
      </c>
      <c r="O36" s="19">
        <f t="shared" si="9"/>
        <v>0</v>
      </c>
      <c r="P36" s="1">
        <f t="shared" si="10"/>
        <v>0</v>
      </c>
      <c r="Q36" s="20">
        <f t="shared" si="11"/>
        <v>0</v>
      </c>
      <c r="R36" cm="1">
        <f t="array" ref="R36">MAX(ABS(O36:Q36/B36:D36))</f>
        <v>0</v>
      </c>
      <c r="S36" s="19">
        <f t="shared" si="12"/>
        <v>2613.7783617832774</v>
      </c>
      <c r="T36">
        <v>0</v>
      </c>
      <c r="U36">
        <f>0</f>
        <v>0</v>
      </c>
      <c r="V36" s="20">
        <f t="shared" si="13"/>
        <v>0.10251188643150959</v>
      </c>
      <c r="W36" s="37">
        <f t="shared" si="14"/>
        <v>1183.1576294441711</v>
      </c>
      <c r="X36" s="13">
        <f t="shared" si="15"/>
        <v>0.43615994239598121</v>
      </c>
      <c r="Y36" s="13">
        <f t="shared" si="16"/>
        <v>3092.5118104199705</v>
      </c>
      <c r="Z36" s="13">
        <f t="shared" si="17"/>
        <v>2.5118864315095846E-3</v>
      </c>
      <c r="AA36" s="38">
        <f t="shared" si="18"/>
        <v>1552.6811557632725</v>
      </c>
      <c r="AB36" s="46" cm="1">
        <f t="array" ref="AB36:AC36">TRANSPOSE(MMULT(MINVERSE(_xlfn.WRAPCOLS(S36:V36,2)),TRANSPOSE(O36:P36)))</f>
        <v>0</v>
      </c>
      <c r="AC36" s="1">
        <v>0</v>
      </c>
      <c r="AD36" s="47">
        <v>0</v>
      </c>
    </row>
    <row r="37" spans="1:30" x14ac:dyDescent="0.25">
      <c r="A37">
        <f t="shared" si="23"/>
        <v>26</v>
      </c>
      <c r="B37" s="19">
        <f t="shared" si="24"/>
        <v>1E-4</v>
      </c>
      <c r="C37" s="1">
        <f t="shared" si="24"/>
        <v>1.7799999999999999E-6</v>
      </c>
      <c r="D37" s="20">
        <f t="shared" si="1"/>
        <v>1.1835868577177153E-4</v>
      </c>
      <c r="E37" s="19">
        <f t="shared" si="20"/>
        <v>3.8258790975595189E-8</v>
      </c>
      <c r="F37" s="19">
        <f t="shared" si="21"/>
        <v>1.7363840057604015E-5</v>
      </c>
      <c r="G37" s="19">
        <f t="shared" si="22"/>
        <v>9.9999999999999995E-8</v>
      </c>
      <c r="H37" s="1">
        <f t="shared" si="2"/>
        <v>4.3615994239598124E-7</v>
      </c>
      <c r="I37" s="1">
        <f t="shared" si="3"/>
        <v>1.0069316688518014E-7</v>
      </c>
      <c r="J37" s="1">
        <f t="shared" si="4"/>
        <v>8.1607719473631774E-5</v>
      </c>
      <c r="K37" s="20">
        <f t="shared" si="5"/>
        <v>1.8354021735392671E-5</v>
      </c>
      <c r="L37" s="19">
        <f t="shared" si="6"/>
        <v>1.0000000000000003E-4</v>
      </c>
      <c r="M37" s="1">
        <f t="shared" si="7"/>
        <v>1.7799999999999997E-6</v>
      </c>
      <c r="N37" s="20">
        <f t="shared" si="8"/>
        <v>1.1835868577177153E-4</v>
      </c>
      <c r="O37" s="19">
        <f t="shared" si="9"/>
        <v>0</v>
      </c>
      <c r="P37" s="1">
        <f t="shared" si="10"/>
        <v>0</v>
      </c>
      <c r="Q37" s="20">
        <f t="shared" si="11"/>
        <v>0</v>
      </c>
      <c r="R37" cm="1">
        <f t="array" ref="R37">MAX(ABS(O37:Q37/B37:D37))</f>
        <v>0</v>
      </c>
      <c r="S37" s="19">
        <f t="shared" si="12"/>
        <v>2613.7783617832774</v>
      </c>
      <c r="T37">
        <v>0</v>
      </c>
      <c r="U37">
        <f>0</f>
        <v>0</v>
      </c>
      <c r="V37" s="20">
        <f t="shared" si="13"/>
        <v>0.10251188643150959</v>
      </c>
      <c r="W37" s="37">
        <f t="shared" si="14"/>
        <v>1183.1576294441711</v>
      </c>
      <c r="X37" s="13">
        <f t="shared" si="15"/>
        <v>0.43615994239598121</v>
      </c>
      <c r="Y37" s="13">
        <f t="shared" si="16"/>
        <v>3092.5118104199705</v>
      </c>
      <c r="Z37" s="13">
        <f t="shared" si="17"/>
        <v>2.5118864315095846E-3</v>
      </c>
      <c r="AA37" s="38">
        <f t="shared" si="18"/>
        <v>1552.6811557632725</v>
      </c>
      <c r="AB37" s="46" cm="1">
        <f t="array" ref="AB37:AC37">TRANSPOSE(MMULT(MINVERSE(_xlfn.WRAPCOLS(S37:V37,2)),TRANSPOSE(O37:P37)))</f>
        <v>0</v>
      </c>
      <c r="AC37" s="1">
        <v>0</v>
      </c>
      <c r="AD37" s="47">
        <v>0</v>
      </c>
    </row>
    <row r="38" spans="1:30" x14ac:dyDescent="0.25">
      <c r="A38">
        <f t="shared" si="23"/>
        <v>27</v>
      </c>
      <c r="B38" s="19">
        <f t="shared" si="24"/>
        <v>1E-4</v>
      </c>
      <c r="C38" s="1">
        <f t="shared" si="24"/>
        <v>1.7799999999999999E-6</v>
      </c>
      <c r="D38" s="20">
        <f t="shared" si="1"/>
        <v>1.1835868577177153E-4</v>
      </c>
      <c r="E38" s="19">
        <f t="shared" si="20"/>
        <v>3.8258790975595189E-8</v>
      </c>
      <c r="F38" s="19">
        <f t="shared" si="21"/>
        <v>1.7363840057604015E-5</v>
      </c>
      <c r="G38" s="19">
        <f t="shared" si="22"/>
        <v>9.9999999999999995E-8</v>
      </c>
      <c r="H38" s="1">
        <f t="shared" si="2"/>
        <v>4.3615994239598124E-7</v>
      </c>
      <c r="I38" s="1">
        <f t="shared" si="3"/>
        <v>1.0069316688518014E-7</v>
      </c>
      <c r="J38" s="1">
        <f t="shared" si="4"/>
        <v>8.1607719473631774E-5</v>
      </c>
      <c r="K38" s="20">
        <f t="shared" si="5"/>
        <v>1.8354021735392671E-5</v>
      </c>
      <c r="L38" s="19">
        <f t="shared" si="6"/>
        <v>1.0000000000000003E-4</v>
      </c>
      <c r="M38" s="1">
        <f t="shared" si="7"/>
        <v>1.7799999999999997E-6</v>
      </c>
      <c r="N38" s="20">
        <f t="shared" si="8"/>
        <v>1.1835868577177153E-4</v>
      </c>
      <c r="O38" s="19">
        <f t="shared" si="9"/>
        <v>0</v>
      </c>
      <c r="P38" s="1">
        <f t="shared" si="10"/>
        <v>0</v>
      </c>
      <c r="Q38" s="20">
        <f t="shared" si="11"/>
        <v>0</v>
      </c>
      <c r="R38" cm="1">
        <f t="array" ref="R38">MAX(ABS(O38:Q38/B38:D38))</f>
        <v>0</v>
      </c>
      <c r="S38" s="19">
        <f t="shared" si="12"/>
        <v>2613.7783617832774</v>
      </c>
      <c r="T38">
        <v>0</v>
      </c>
      <c r="U38">
        <f>0</f>
        <v>0</v>
      </c>
      <c r="V38" s="20">
        <f t="shared" si="13"/>
        <v>0.10251188643150959</v>
      </c>
      <c r="W38" s="37">
        <f t="shared" si="14"/>
        <v>1183.1576294441711</v>
      </c>
      <c r="X38" s="13">
        <f t="shared" si="15"/>
        <v>0.43615994239598121</v>
      </c>
      <c r="Y38" s="13">
        <f t="shared" si="16"/>
        <v>3092.5118104199705</v>
      </c>
      <c r="Z38" s="13">
        <f t="shared" si="17"/>
        <v>2.5118864315095846E-3</v>
      </c>
      <c r="AA38" s="38">
        <f t="shared" si="18"/>
        <v>1552.6811557632725</v>
      </c>
      <c r="AB38" s="46" cm="1">
        <f t="array" ref="AB38:AC38">TRANSPOSE(MMULT(MINVERSE(_xlfn.WRAPCOLS(S38:V38,2)),TRANSPOSE(O38:P38)))</f>
        <v>0</v>
      </c>
      <c r="AC38" s="1">
        <v>0</v>
      </c>
      <c r="AD38" s="47">
        <v>0</v>
      </c>
    </row>
    <row r="39" spans="1:30" x14ac:dyDescent="0.25">
      <c r="A39">
        <f t="shared" si="23"/>
        <v>28</v>
      </c>
      <c r="B39" s="19">
        <f t="shared" si="24"/>
        <v>1E-4</v>
      </c>
      <c r="C39" s="1">
        <f t="shared" si="24"/>
        <v>1.7799999999999999E-6</v>
      </c>
      <c r="D39" s="20">
        <f t="shared" si="1"/>
        <v>1.1835868577177153E-4</v>
      </c>
      <c r="E39" s="19">
        <f t="shared" si="20"/>
        <v>3.8258790975595189E-8</v>
      </c>
      <c r="F39" s="19">
        <f t="shared" si="21"/>
        <v>1.7363840057604015E-5</v>
      </c>
      <c r="G39" s="19">
        <f t="shared" si="22"/>
        <v>9.9999999999999995E-8</v>
      </c>
      <c r="H39" s="1">
        <f t="shared" si="2"/>
        <v>4.3615994239598124E-7</v>
      </c>
      <c r="I39" s="1">
        <f t="shared" si="3"/>
        <v>1.0069316688518014E-7</v>
      </c>
      <c r="J39" s="1">
        <f t="shared" si="4"/>
        <v>8.1607719473631774E-5</v>
      </c>
      <c r="K39" s="20">
        <f t="shared" si="5"/>
        <v>1.8354021735392671E-5</v>
      </c>
      <c r="L39" s="19">
        <f t="shared" si="6"/>
        <v>1.0000000000000003E-4</v>
      </c>
      <c r="M39" s="1">
        <f t="shared" si="7"/>
        <v>1.7799999999999997E-6</v>
      </c>
      <c r="N39" s="20">
        <f t="shared" si="8"/>
        <v>1.1835868577177153E-4</v>
      </c>
      <c r="O39" s="19">
        <f t="shared" si="9"/>
        <v>0</v>
      </c>
      <c r="P39" s="1">
        <f t="shared" si="10"/>
        <v>0</v>
      </c>
      <c r="Q39" s="20">
        <f t="shared" si="11"/>
        <v>0</v>
      </c>
      <c r="R39" cm="1">
        <f t="array" ref="R39">MAX(ABS(O39:Q39/B39:D39))</f>
        <v>0</v>
      </c>
      <c r="S39" s="19">
        <f t="shared" si="12"/>
        <v>2613.7783617832774</v>
      </c>
      <c r="T39">
        <v>0</v>
      </c>
      <c r="U39">
        <f>0</f>
        <v>0</v>
      </c>
      <c r="V39" s="20">
        <f t="shared" si="13"/>
        <v>0.10251188643150959</v>
      </c>
      <c r="W39" s="37">
        <f t="shared" si="14"/>
        <v>1183.1576294441711</v>
      </c>
      <c r="X39" s="13">
        <f t="shared" si="15"/>
        <v>0.43615994239598121</v>
      </c>
      <c r="Y39" s="13">
        <f t="shared" si="16"/>
        <v>3092.5118104199705</v>
      </c>
      <c r="Z39" s="13">
        <f t="shared" si="17"/>
        <v>2.5118864315095846E-3</v>
      </c>
      <c r="AA39" s="38">
        <f t="shared" si="18"/>
        <v>1552.6811557632725</v>
      </c>
      <c r="AB39" s="46" cm="1">
        <f t="array" ref="AB39:AC39">TRANSPOSE(MMULT(MINVERSE(_xlfn.WRAPCOLS(S39:V39,2)),TRANSPOSE(O39:P39)))</f>
        <v>0</v>
      </c>
      <c r="AC39" s="1">
        <v>0</v>
      </c>
      <c r="AD39" s="47">
        <v>0</v>
      </c>
    </row>
    <row r="40" spans="1:30" x14ac:dyDescent="0.25">
      <c r="A40">
        <f t="shared" si="23"/>
        <v>29</v>
      </c>
      <c r="B40" s="19">
        <f t="shared" si="24"/>
        <v>1E-4</v>
      </c>
      <c r="C40" s="1">
        <f t="shared" si="24"/>
        <v>1.7799999999999999E-6</v>
      </c>
      <c r="D40" s="20">
        <f t="shared" si="1"/>
        <v>1.1835868577177153E-4</v>
      </c>
      <c r="E40" s="19">
        <f t="shared" si="20"/>
        <v>3.8258790975595189E-8</v>
      </c>
      <c r="F40" s="19">
        <f t="shared" si="21"/>
        <v>1.7363840057604015E-5</v>
      </c>
      <c r="G40" s="19">
        <f t="shared" si="22"/>
        <v>9.9999999999999995E-8</v>
      </c>
      <c r="H40" s="1">
        <f t="shared" si="2"/>
        <v>4.3615994239598124E-7</v>
      </c>
      <c r="I40" s="1">
        <f t="shared" si="3"/>
        <v>1.0069316688518014E-7</v>
      </c>
      <c r="J40" s="1">
        <f t="shared" si="4"/>
        <v>8.1607719473631774E-5</v>
      </c>
      <c r="K40" s="20">
        <f t="shared" si="5"/>
        <v>1.8354021735392671E-5</v>
      </c>
      <c r="L40" s="19">
        <f t="shared" si="6"/>
        <v>1.0000000000000003E-4</v>
      </c>
      <c r="M40" s="1">
        <f t="shared" si="7"/>
        <v>1.7799999999999997E-6</v>
      </c>
      <c r="N40" s="20">
        <f t="shared" si="8"/>
        <v>1.1835868577177153E-4</v>
      </c>
      <c r="O40" s="19">
        <f t="shared" si="9"/>
        <v>0</v>
      </c>
      <c r="P40" s="1">
        <f t="shared" si="10"/>
        <v>0</v>
      </c>
      <c r="Q40" s="20">
        <f t="shared" si="11"/>
        <v>0</v>
      </c>
      <c r="R40" cm="1">
        <f t="array" ref="R40">MAX(ABS(O40:Q40/B40:D40))</f>
        <v>0</v>
      </c>
      <c r="S40" s="19">
        <f t="shared" si="12"/>
        <v>2613.7783617832774</v>
      </c>
      <c r="T40">
        <v>0</v>
      </c>
      <c r="U40">
        <f>0</f>
        <v>0</v>
      </c>
      <c r="V40" s="20">
        <f t="shared" si="13"/>
        <v>0.10251188643150959</v>
      </c>
      <c r="W40" s="37">
        <f t="shared" si="14"/>
        <v>1183.1576294441711</v>
      </c>
      <c r="X40" s="13">
        <f t="shared" si="15"/>
        <v>0.43615994239598121</v>
      </c>
      <c r="Y40" s="13">
        <f t="shared" si="16"/>
        <v>3092.5118104199705</v>
      </c>
      <c r="Z40" s="13">
        <f t="shared" si="17"/>
        <v>2.5118864315095846E-3</v>
      </c>
      <c r="AA40" s="38">
        <f t="shared" si="18"/>
        <v>1552.6811557632725</v>
      </c>
      <c r="AB40" s="46" cm="1">
        <f t="array" ref="AB40:AC40">TRANSPOSE(MMULT(MINVERSE(_xlfn.WRAPCOLS(S40:V40,2)),TRANSPOSE(O40:P40)))</f>
        <v>0</v>
      </c>
      <c r="AC40" s="1">
        <v>0</v>
      </c>
      <c r="AD40" s="47">
        <v>0</v>
      </c>
    </row>
    <row r="41" spans="1:30" x14ac:dyDescent="0.25">
      <c r="A41">
        <f t="shared" si="23"/>
        <v>30</v>
      </c>
      <c r="B41" s="19">
        <f t="shared" si="24"/>
        <v>1E-4</v>
      </c>
      <c r="C41" s="1">
        <f t="shared" si="24"/>
        <v>1.7799999999999999E-6</v>
      </c>
      <c r="D41" s="20">
        <f t="shared" si="1"/>
        <v>1.1835868577177153E-4</v>
      </c>
      <c r="E41" s="19">
        <f t="shared" si="20"/>
        <v>3.8258790975595189E-8</v>
      </c>
      <c r="F41" s="19">
        <f t="shared" si="21"/>
        <v>1.7363840057604015E-5</v>
      </c>
      <c r="G41" s="19">
        <f t="shared" si="22"/>
        <v>9.9999999999999995E-8</v>
      </c>
      <c r="H41" s="1">
        <f t="shared" si="2"/>
        <v>4.3615994239598124E-7</v>
      </c>
      <c r="I41" s="1">
        <f t="shared" si="3"/>
        <v>1.0069316688518014E-7</v>
      </c>
      <c r="J41" s="1">
        <f t="shared" si="4"/>
        <v>8.1607719473631774E-5</v>
      </c>
      <c r="K41" s="20">
        <f t="shared" si="5"/>
        <v>1.8354021735392671E-5</v>
      </c>
      <c r="L41" s="19">
        <f t="shared" si="6"/>
        <v>1.0000000000000003E-4</v>
      </c>
      <c r="M41" s="1">
        <f t="shared" si="7"/>
        <v>1.7799999999999997E-6</v>
      </c>
      <c r="N41" s="20">
        <f t="shared" si="8"/>
        <v>1.1835868577177153E-4</v>
      </c>
      <c r="O41" s="19">
        <f t="shared" si="9"/>
        <v>0</v>
      </c>
      <c r="P41" s="1">
        <f t="shared" si="10"/>
        <v>0</v>
      </c>
      <c r="Q41" s="20">
        <f t="shared" si="11"/>
        <v>0</v>
      </c>
      <c r="R41" cm="1">
        <f t="array" ref="R41">MAX(ABS(O41:Q41/B41:D41))</f>
        <v>0</v>
      </c>
      <c r="S41" s="19">
        <f t="shared" si="12"/>
        <v>2613.7783617832774</v>
      </c>
      <c r="T41">
        <v>0</v>
      </c>
      <c r="U41">
        <f>0</f>
        <v>0</v>
      </c>
      <c r="V41" s="20">
        <f t="shared" si="13"/>
        <v>0.10251188643150959</v>
      </c>
      <c r="W41" s="37">
        <f t="shared" si="14"/>
        <v>1183.1576294441711</v>
      </c>
      <c r="X41" s="13">
        <f t="shared" si="15"/>
        <v>0.43615994239598121</v>
      </c>
      <c r="Y41" s="13">
        <f t="shared" si="16"/>
        <v>3092.5118104199705</v>
      </c>
      <c r="Z41" s="13">
        <f t="shared" si="17"/>
        <v>2.5118864315095846E-3</v>
      </c>
      <c r="AA41" s="38">
        <f t="shared" si="18"/>
        <v>1552.6811557632725</v>
      </c>
      <c r="AB41" s="46" cm="1">
        <f t="array" ref="AB41:AC41">TRANSPOSE(MMULT(MINVERSE(_xlfn.WRAPCOLS(S41:V41,2)),TRANSPOSE(O41:P41)))</f>
        <v>0</v>
      </c>
      <c r="AC41" s="1">
        <v>0</v>
      </c>
      <c r="AD41" s="47">
        <v>0</v>
      </c>
    </row>
    <row r="42" spans="1:30" x14ac:dyDescent="0.25">
      <c r="A42">
        <f t="shared" si="23"/>
        <v>31</v>
      </c>
      <c r="B42" s="19">
        <f t="shared" si="24"/>
        <v>1E-4</v>
      </c>
      <c r="C42" s="1">
        <f t="shared" si="24"/>
        <v>1.7799999999999999E-6</v>
      </c>
      <c r="D42" s="20">
        <f t="shared" si="1"/>
        <v>1.1835868577177153E-4</v>
      </c>
      <c r="E42" s="19">
        <f t="shared" si="20"/>
        <v>3.8258790975595189E-8</v>
      </c>
      <c r="F42" s="19">
        <f t="shared" si="21"/>
        <v>1.7363840057604015E-5</v>
      </c>
      <c r="G42" s="19">
        <f t="shared" si="22"/>
        <v>9.9999999999999995E-8</v>
      </c>
      <c r="H42" s="1">
        <f t="shared" si="2"/>
        <v>4.3615994239598124E-7</v>
      </c>
      <c r="I42" s="1">
        <f t="shared" si="3"/>
        <v>1.0069316688518014E-7</v>
      </c>
      <c r="J42" s="1">
        <f t="shared" si="4"/>
        <v>8.1607719473631774E-5</v>
      </c>
      <c r="K42" s="20">
        <f t="shared" si="5"/>
        <v>1.8354021735392671E-5</v>
      </c>
      <c r="L42" s="19">
        <f t="shared" si="6"/>
        <v>1.0000000000000003E-4</v>
      </c>
      <c r="M42" s="1">
        <f t="shared" si="7"/>
        <v>1.7799999999999997E-6</v>
      </c>
      <c r="N42" s="20">
        <f t="shared" si="8"/>
        <v>1.1835868577177153E-4</v>
      </c>
      <c r="O42" s="19">
        <f t="shared" si="9"/>
        <v>0</v>
      </c>
      <c r="P42" s="1">
        <f t="shared" si="10"/>
        <v>0</v>
      </c>
      <c r="Q42" s="20">
        <f t="shared" si="11"/>
        <v>0</v>
      </c>
      <c r="R42" cm="1">
        <f t="array" ref="R42">MAX(ABS(O42:Q42/B42:D42))</f>
        <v>0</v>
      </c>
      <c r="S42" s="19">
        <f t="shared" si="12"/>
        <v>2613.7783617832774</v>
      </c>
      <c r="T42">
        <v>0</v>
      </c>
      <c r="U42">
        <f>0</f>
        <v>0</v>
      </c>
      <c r="V42" s="20">
        <f t="shared" si="13"/>
        <v>0.10251188643150959</v>
      </c>
      <c r="W42" s="37">
        <f t="shared" si="14"/>
        <v>1183.1576294441711</v>
      </c>
      <c r="X42" s="13">
        <f t="shared" si="15"/>
        <v>0.43615994239598121</v>
      </c>
      <c r="Y42" s="13">
        <f t="shared" si="16"/>
        <v>3092.5118104199705</v>
      </c>
      <c r="Z42" s="13">
        <f t="shared" si="17"/>
        <v>2.5118864315095846E-3</v>
      </c>
      <c r="AA42" s="38">
        <f t="shared" si="18"/>
        <v>1552.6811557632725</v>
      </c>
      <c r="AB42" s="46" cm="1">
        <f t="array" ref="AB42:AC42">TRANSPOSE(MMULT(MINVERSE(_xlfn.WRAPCOLS(S42:V42,2)),TRANSPOSE(O42:P42)))</f>
        <v>0</v>
      </c>
      <c r="AC42" s="1">
        <v>0</v>
      </c>
      <c r="AD42" s="47">
        <v>0</v>
      </c>
    </row>
    <row r="43" spans="1:30" x14ac:dyDescent="0.25">
      <c r="A43">
        <f t="shared" si="23"/>
        <v>32</v>
      </c>
      <c r="B43" s="19">
        <f t="shared" si="24"/>
        <v>1E-4</v>
      </c>
      <c r="C43" s="1">
        <f t="shared" si="24"/>
        <v>1.7799999999999999E-6</v>
      </c>
      <c r="D43" s="20">
        <f t="shared" si="1"/>
        <v>1.1835868577177153E-4</v>
      </c>
      <c r="E43" s="19">
        <f t="shared" si="20"/>
        <v>3.8258790975595189E-8</v>
      </c>
      <c r="F43" s="19">
        <f t="shared" si="21"/>
        <v>1.7363840057604015E-5</v>
      </c>
      <c r="G43" s="19">
        <f t="shared" si="22"/>
        <v>9.9999999999999995E-8</v>
      </c>
      <c r="H43" s="1">
        <f t="shared" si="2"/>
        <v>4.3615994239598124E-7</v>
      </c>
      <c r="I43" s="1">
        <f t="shared" si="3"/>
        <v>1.0069316688518014E-7</v>
      </c>
      <c r="J43" s="1">
        <f t="shared" si="4"/>
        <v>8.1607719473631774E-5</v>
      </c>
      <c r="K43" s="20">
        <f t="shared" si="5"/>
        <v>1.8354021735392671E-5</v>
      </c>
      <c r="L43" s="19">
        <f t="shared" si="6"/>
        <v>1.0000000000000003E-4</v>
      </c>
      <c r="M43" s="1">
        <f t="shared" si="7"/>
        <v>1.7799999999999997E-6</v>
      </c>
      <c r="N43" s="20">
        <f t="shared" si="8"/>
        <v>1.1835868577177153E-4</v>
      </c>
      <c r="O43" s="19">
        <f t="shared" si="9"/>
        <v>0</v>
      </c>
      <c r="P43" s="1">
        <f t="shared" si="10"/>
        <v>0</v>
      </c>
      <c r="Q43" s="20">
        <f t="shared" si="11"/>
        <v>0</v>
      </c>
      <c r="R43" cm="1">
        <f t="array" ref="R43">MAX(ABS(O43:Q43/B43:D43))</f>
        <v>0</v>
      </c>
      <c r="S43" s="19">
        <f t="shared" si="12"/>
        <v>2613.7783617832774</v>
      </c>
      <c r="T43">
        <v>0</v>
      </c>
      <c r="U43">
        <f>0</f>
        <v>0</v>
      </c>
      <c r="V43" s="20">
        <f t="shared" si="13"/>
        <v>0.10251188643150959</v>
      </c>
      <c r="W43" s="37">
        <f t="shared" si="14"/>
        <v>1183.1576294441711</v>
      </c>
      <c r="X43" s="13">
        <f t="shared" si="15"/>
        <v>0.43615994239598121</v>
      </c>
      <c r="Y43" s="13">
        <f t="shared" si="16"/>
        <v>3092.5118104199705</v>
      </c>
      <c r="Z43" s="13">
        <f t="shared" si="17"/>
        <v>2.5118864315095846E-3</v>
      </c>
      <c r="AA43" s="38">
        <f t="shared" si="18"/>
        <v>1552.6811557632725</v>
      </c>
      <c r="AB43" s="46" cm="1">
        <f t="array" ref="AB43:AC43">TRANSPOSE(MMULT(MINVERSE(_xlfn.WRAPCOLS(S43:V43,2)),TRANSPOSE(O43:P43)))</f>
        <v>0</v>
      </c>
      <c r="AC43" s="1">
        <v>0</v>
      </c>
      <c r="AD43" s="47">
        <v>0</v>
      </c>
    </row>
    <row r="44" spans="1:30" x14ac:dyDescent="0.25">
      <c r="A44">
        <f t="shared" si="23"/>
        <v>33</v>
      </c>
      <c r="B44" s="19">
        <f t="shared" si="24"/>
        <v>1E-4</v>
      </c>
      <c r="C44" s="1">
        <f t="shared" si="24"/>
        <v>1.7799999999999999E-6</v>
      </c>
      <c r="D44" s="20">
        <f t="shared" si="1"/>
        <v>1.1835868577177153E-4</v>
      </c>
      <c r="E44" s="19">
        <f t="shared" si="20"/>
        <v>3.8258790975595189E-8</v>
      </c>
      <c r="F44" s="19">
        <f t="shared" si="21"/>
        <v>1.7363840057604015E-5</v>
      </c>
      <c r="G44" s="19">
        <f t="shared" si="22"/>
        <v>9.9999999999999995E-8</v>
      </c>
      <c r="H44" s="1">
        <f t="shared" si="2"/>
        <v>4.3615994239598124E-7</v>
      </c>
      <c r="I44" s="1">
        <f t="shared" si="3"/>
        <v>1.0069316688518014E-7</v>
      </c>
      <c r="J44" s="1">
        <f t="shared" si="4"/>
        <v>8.1607719473631774E-5</v>
      </c>
      <c r="K44" s="20">
        <f t="shared" si="5"/>
        <v>1.8354021735392671E-5</v>
      </c>
      <c r="L44" s="19">
        <f t="shared" si="6"/>
        <v>1.0000000000000003E-4</v>
      </c>
      <c r="M44" s="1">
        <f t="shared" si="7"/>
        <v>1.7799999999999997E-6</v>
      </c>
      <c r="N44" s="20">
        <f t="shared" si="8"/>
        <v>1.1835868577177153E-4</v>
      </c>
      <c r="O44" s="19">
        <f t="shared" si="9"/>
        <v>0</v>
      </c>
      <c r="P44" s="1">
        <f t="shared" si="10"/>
        <v>0</v>
      </c>
      <c r="Q44" s="20">
        <f t="shared" si="11"/>
        <v>0</v>
      </c>
      <c r="R44" cm="1">
        <f t="array" ref="R44">MAX(ABS(O44:Q44/B44:D44))</f>
        <v>0</v>
      </c>
      <c r="S44" s="19">
        <f t="shared" si="12"/>
        <v>2613.7783617832774</v>
      </c>
      <c r="T44">
        <v>0</v>
      </c>
      <c r="U44">
        <f>0</f>
        <v>0</v>
      </c>
      <c r="V44" s="20">
        <f t="shared" si="13"/>
        <v>0.10251188643150959</v>
      </c>
      <c r="W44" s="37">
        <f t="shared" si="14"/>
        <v>1183.1576294441711</v>
      </c>
      <c r="X44" s="13">
        <f t="shared" si="15"/>
        <v>0.43615994239598121</v>
      </c>
      <c r="Y44" s="13">
        <f t="shared" si="16"/>
        <v>3092.5118104199705</v>
      </c>
      <c r="Z44" s="13">
        <f t="shared" si="17"/>
        <v>2.5118864315095846E-3</v>
      </c>
      <c r="AA44" s="38">
        <f t="shared" si="18"/>
        <v>1552.6811557632725</v>
      </c>
      <c r="AB44" s="46" cm="1">
        <f t="array" ref="AB44:AC44">TRANSPOSE(MMULT(MINVERSE(_xlfn.WRAPCOLS(S44:V44,2)),TRANSPOSE(O44:P44)))</f>
        <v>0</v>
      </c>
      <c r="AC44" s="1">
        <v>0</v>
      </c>
      <c r="AD44" s="47">
        <v>0</v>
      </c>
    </row>
    <row r="45" spans="1:30" x14ac:dyDescent="0.25">
      <c r="A45">
        <f t="shared" si="23"/>
        <v>34</v>
      </c>
      <c r="B45" s="19">
        <f t="shared" ref="B45:C60" si="25">B44</f>
        <v>1E-4</v>
      </c>
      <c r="C45" s="1">
        <f t="shared" si="25"/>
        <v>1.7799999999999999E-6</v>
      </c>
      <c r="D45" s="20">
        <f t="shared" si="1"/>
        <v>1.1835868577177153E-4</v>
      </c>
      <c r="E45" s="19">
        <f t="shared" si="20"/>
        <v>3.8258790975595189E-8</v>
      </c>
      <c r="F45" s="19">
        <f t="shared" si="21"/>
        <v>1.7363840057604015E-5</v>
      </c>
      <c r="G45" s="19">
        <f t="shared" si="22"/>
        <v>9.9999999999999995E-8</v>
      </c>
      <c r="H45" s="1">
        <f t="shared" si="2"/>
        <v>4.3615994239598124E-7</v>
      </c>
      <c r="I45" s="1">
        <f t="shared" si="3"/>
        <v>1.0069316688518014E-7</v>
      </c>
      <c r="J45" s="1">
        <f t="shared" si="4"/>
        <v>8.1607719473631774E-5</v>
      </c>
      <c r="K45" s="20">
        <f t="shared" si="5"/>
        <v>1.8354021735392671E-5</v>
      </c>
      <c r="L45" s="19">
        <f t="shared" si="6"/>
        <v>1.0000000000000003E-4</v>
      </c>
      <c r="M45" s="1">
        <f t="shared" si="7"/>
        <v>1.7799999999999997E-6</v>
      </c>
      <c r="N45" s="20">
        <f t="shared" si="8"/>
        <v>1.1835868577177153E-4</v>
      </c>
      <c r="O45" s="19">
        <f t="shared" si="9"/>
        <v>0</v>
      </c>
      <c r="P45" s="1">
        <f t="shared" si="10"/>
        <v>0</v>
      </c>
      <c r="Q45" s="20">
        <f t="shared" si="11"/>
        <v>0</v>
      </c>
      <c r="R45" cm="1">
        <f t="array" ref="R45">MAX(ABS(O45:Q45/B45:D45))</f>
        <v>0</v>
      </c>
      <c r="S45" s="19">
        <f t="shared" si="12"/>
        <v>2613.7783617832774</v>
      </c>
      <c r="T45">
        <v>0</v>
      </c>
      <c r="U45">
        <f>0</f>
        <v>0</v>
      </c>
      <c r="V45" s="20">
        <f t="shared" si="13"/>
        <v>0.10251188643150959</v>
      </c>
      <c r="W45" s="37">
        <f t="shared" si="14"/>
        <v>1183.1576294441711</v>
      </c>
      <c r="X45" s="13">
        <f t="shared" si="15"/>
        <v>0.43615994239598121</v>
      </c>
      <c r="Y45" s="13">
        <f t="shared" si="16"/>
        <v>3092.5118104199705</v>
      </c>
      <c r="Z45" s="13">
        <f t="shared" si="17"/>
        <v>2.5118864315095846E-3</v>
      </c>
      <c r="AA45" s="38">
        <f t="shared" si="18"/>
        <v>1552.6811557632725</v>
      </c>
      <c r="AB45" s="46" cm="1">
        <f t="array" ref="AB45:AC45">TRANSPOSE(MMULT(MINVERSE(_xlfn.WRAPCOLS(S45:V45,2)),TRANSPOSE(O45:P45)))</f>
        <v>0</v>
      </c>
      <c r="AC45" s="1">
        <v>0</v>
      </c>
      <c r="AD45" s="47">
        <v>0</v>
      </c>
    </row>
    <row r="46" spans="1:30" x14ac:dyDescent="0.25">
      <c r="A46">
        <f t="shared" si="23"/>
        <v>35</v>
      </c>
      <c r="B46" s="19">
        <f t="shared" si="25"/>
        <v>1E-4</v>
      </c>
      <c r="C46" s="1">
        <f t="shared" si="25"/>
        <v>1.7799999999999999E-6</v>
      </c>
      <c r="D46" s="20">
        <f t="shared" si="1"/>
        <v>1.1835868577177153E-4</v>
      </c>
      <c r="E46" s="19">
        <f t="shared" si="20"/>
        <v>3.8258790975595189E-8</v>
      </c>
      <c r="F46" s="19">
        <f t="shared" si="21"/>
        <v>1.7363840057604015E-5</v>
      </c>
      <c r="G46" s="19">
        <f t="shared" si="22"/>
        <v>9.9999999999999995E-8</v>
      </c>
      <c r="H46" s="1">
        <f t="shared" si="2"/>
        <v>4.3615994239598124E-7</v>
      </c>
      <c r="I46" s="1">
        <f t="shared" si="3"/>
        <v>1.0069316688518014E-7</v>
      </c>
      <c r="J46" s="1">
        <f t="shared" si="4"/>
        <v>8.1607719473631774E-5</v>
      </c>
      <c r="K46" s="20">
        <f t="shared" si="5"/>
        <v>1.8354021735392671E-5</v>
      </c>
      <c r="L46" s="19">
        <f t="shared" si="6"/>
        <v>1.0000000000000003E-4</v>
      </c>
      <c r="M46" s="1">
        <f t="shared" si="7"/>
        <v>1.7799999999999997E-6</v>
      </c>
      <c r="N46" s="20">
        <f t="shared" si="8"/>
        <v>1.1835868577177153E-4</v>
      </c>
      <c r="O46" s="19">
        <f t="shared" si="9"/>
        <v>0</v>
      </c>
      <c r="P46" s="1">
        <f t="shared" si="10"/>
        <v>0</v>
      </c>
      <c r="Q46" s="20">
        <f t="shared" si="11"/>
        <v>0</v>
      </c>
      <c r="R46" cm="1">
        <f t="array" ref="R46">MAX(ABS(O46:Q46/B46:D46))</f>
        <v>0</v>
      </c>
      <c r="S46" s="19">
        <f t="shared" si="12"/>
        <v>2613.7783617832774</v>
      </c>
      <c r="T46">
        <v>0</v>
      </c>
      <c r="U46">
        <f>0</f>
        <v>0</v>
      </c>
      <c r="V46" s="20">
        <f t="shared" si="13"/>
        <v>0.10251188643150959</v>
      </c>
      <c r="W46" s="37">
        <f t="shared" si="14"/>
        <v>1183.1576294441711</v>
      </c>
      <c r="X46" s="13">
        <f t="shared" si="15"/>
        <v>0.43615994239598121</v>
      </c>
      <c r="Y46" s="13">
        <f t="shared" si="16"/>
        <v>3092.5118104199705</v>
      </c>
      <c r="Z46" s="13">
        <f t="shared" si="17"/>
        <v>2.5118864315095846E-3</v>
      </c>
      <c r="AA46" s="38">
        <f t="shared" si="18"/>
        <v>1552.6811557632725</v>
      </c>
      <c r="AB46" s="46" cm="1">
        <f t="array" ref="AB46:AC46">TRANSPOSE(MMULT(MINVERSE(_xlfn.WRAPCOLS(S46:V46,2)),TRANSPOSE(O46:P46)))</f>
        <v>0</v>
      </c>
      <c r="AC46" s="1">
        <v>0</v>
      </c>
      <c r="AD46" s="47">
        <v>0</v>
      </c>
    </row>
    <row r="47" spans="1:30" x14ac:dyDescent="0.25">
      <c r="A47">
        <f t="shared" si="23"/>
        <v>36</v>
      </c>
      <c r="B47" s="19">
        <f t="shared" si="25"/>
        <v>1E-4</v>
      </c>
      <c r="C47" s="1">
        <f t="shared" si="25"/>
        <v>1.7799999999999999E-6</v>
      </c>
      <c r="D47" s="20">
        <f t="shared" si="1"/>
        <v>1.1835868577177153E-4</v>
      </c>
      <c r="E47" s="19">
        <f t="shared" si="20"/>
        <v>3.8258790975595189E-8</v>
      </c>
      <c r="F47" s="19">
        <f t="shared" si="21"/>
        <v>1.7363840057604015E-5</v>
      </c>
      <c r="G47" s="19">
        <f t="shared" si="22"/>
        <v>9.9999999999999995E-8</v>
      </c>
      <c r="H47" s="1">
        <f t="shared" si="2"/>
        <v>4.3615994239598124E-7</v>
      </c>
      <c r="I47" s="1">
        <f t="shared" si="3"/>
        <v>1.0069316688518014E-7</v>
      </c>
      <c r="J47" s="1">
        <f t="shared" si="4"/>
        <v>8.1607719473631774E-5</v>
      </c>
      <c r="K47" s="20">
        <f t="shared" si="5"/>
        <v>1.8354021735392671E-5</v>
      </c>
      <c r="L47" s="19">
        <f t="shared" si="6"/>
        <v>1.0000000000000003E-4</v>
      </c>
      <c r="M47" s="1">
        <f t="shared" si="7"/>
        <v>1.7799999999999997E-6</v>
      </c>
      <c r="N47" s="20">
        <f t="shared" si="8"/>
        <v>1.1835868577177153E-4</v>
      </c>
      <c r="O47" s="19">
        <f t="shared" si="9"/>
        <v>0</v>
      </c>
      <c r="P47" s="1">
        <f t="shared" si="10"/>
        <v>0</v>
      </c>
      <c r="Q47" s="20">
        <f t="shared" si="11"/>
        <v>0</v>
      </c>
      <c r="R47" cm="1">
        <f t="array" ref="R47">MAX(ABS(O47:Q47/B47:D47))</f>
        <v>0</v>
      </c>
      <c r="S47" s="19">
        <f t="shared" si="12"/>
        <v>2613.7783617832774</v>
      </c>
      <c r="T47">
        <v>0</v>
      </c>
      <c r="U47">
        <f>0</f>
        <v>0</v>
      </c>
      <c r="V47" s="20">
        <f t="shared" si="13"/>
        <v>0.10251188643150959</v>
      </c>
      <c r="W47" s="37">
        <f t="shared" si="14"/>
        <v>1183.1576294441711</v>
      </c>
      <c r="X47" s="13">
        <f t="shared" si="15"/>
        <v>0.43615994239598121</v>
      </c>
      <c r="Y47" s="13">
        <f t="shared" si="16"/>
        <v>3092.5118104199705</v>
      </c>
      <c r="Z47" s="13">
        <f t="shared" si="17"/>
        <v>2.5118864315095846E-3</v>
      </c>
      <c r="AA47" s="38">
        <f t="shared" si="18"/>
        <v>1552.6811557632725</v>
      </c>
      <c r="AB47" s="46" cm="1">
        <f t="array" ref="AB47:AC47">TRANSPOSE(MMULT(MINVERSE(_xlfn.WRAPCOLS(S47:V47,2)),TRANSPOSE(O47:P47)))</f>
        <v>0</v>
      </c>
      <c r="AC47" s="1">
        <v>0</v>
      </c>
      <c r="AD47" s="47">
        <v>0</v>
      </c>
    </row>
    <row r="48" spans="1:30" x14ac:dyDescent="0.25">
      <c r="A48">
        <f t="shared" si="23"/>
        <v>37</v>
      </c>
      <c r="B48" s="19">
        <f t="shared" si="25"/>
        <v>1E-4</v>
      </c>
      <c r="C48" s="1">
        <f t="shared" si="25"/>
        <v>1.7799999999999999E-6</v>
      </c>
      <c r="D48" s="20">
        <f t="shared" si="1"/>
        <v>1.1835868577177153E-4</v>
      </c>
      <c r="E48" s="19">
        <f t="shared" si="20"/>
        <v>3.8258790975595189E-8</v>
      </c>
      <c r="F48" s="19">
        <f t="shared" si="21"/>
        <v>1.7363840057604015E-5</v>
      </c>
      <c r="G48" s="19">
        <f t="shared" si="22"/>
        <v>9.9999999999999995E-8</v>
      </c>
      <c r="H48" s="1">
        <f t="shared" si="2"/>
        <v>4.3615994239598124E-7</v>
      </c>
      <c r="I48" s="1">
        <f t="shared" si="3"/>
        <v>1.0069316688518014E-7</v>
      </c>
      <c r="J48" s="1">
        <f t="shared" si="4"/>
        <v>8.1607719473631774E-5</v>
      </c>
      <c r="K48" s="20">
        <f t="shared" si="5"/>
        <v>1.8354021735392671E-5</v>
      </c>
      <c r="L48" s="19">
        <f t="shared" si="6"/>
        <v>1.0000000000000003E-4</v>
      </c>
      <c r="M48" s="1">
        <f t="shared" si="7"/>
        <v>1.7799999999999997E-6</v>
      </c>
      <c r="N48" s="20">
        <f t="shared" si="8"/>
        <v>1.1835868577177153E-4</v>
      </c>
      <c r="O48" s="19">
        <f t="shared" si="9"/>
        <v>0</v>
      </c>
      <c r="P48" s="1">
        <f t="shared" si="10"/>
        <v>0</v>
      </c>
      <c r="Q48" s="20">
        <f t="shared" si="11"/>
        <v>0</v>
      </c>
      <c r="R48" cm="1">
        <f t="array" ref="R48">MAX(ABS(O48:Q48/B48:D48))</f>
        <v>0</v>
      </c>
      <c r="S48" s="19">
        <f t="shared" si="12"/>
        <v>2613.7783617832774</v>
      </c>
      <c r="T48">
        <v>0</v>
      </c>
      <c r="U48">
        <f>0</f>
        <v>0</v>
      </c>
      <c r="V48" s="20">
        <f t="shared" si="13"/>
        <v>0.10251188643150959</v>
      </c>
      <c r="W48" s="37">
        <f t="shared" si="14"/>
        <v>1183.1576294441711</v>
      </c>
      <c r="X48" s="13">
        <f t="shared" si="15"/>
        <v>0.43615994239598121</v>
      </c>
      <c r="Y48" s="13">
        <f t="shared" si="16"/>
        <v>3092.5118104199705</v>
      </c>
      <c r="Z48" s="13">
        <f t="shared" si="17"/>
        <v>2.5118864315095846E-3</v>
      </c>
      <c r="AA48" s="38">
        <f t="shared" si="18"/>
        <v>1552.6811557632725</v>
      </c>
      <c r="AB48" s="46" cm="1">
        <f t="array" ref="AB48:AC48">TRANSPOSE(MMULT(MINVERSE(_xlfn.WRAPCOLS(S48:V48,2)),TRANSPOSE(O48:P48)))</f>
        <v>0</v>
      </c>
      <c r="AC48" s="1">
        <v>0</v>
      </c>
      <c r="AD48" s="47">
        <v>0</v>
      </c>
    </row>
    <row r="49" spans="1:30" x14ac:dyDescent="0.25">
      <c r="A49">
        <f t="shared" si="23"/>
        <v>38</v>
      </c>
      <c r="B49" s="19">
        <f t="shared" si="25"/>
        <v>1E-4</v>
      </c>
      <c r="C49" s="1">
        <f t="shared" si="25"/>
        <v>1.7799999999999999E-6</v>
      </c>
      <c r="D49" s="20">
        <f t="shared" si="1"/>
        <v>1.1835868577177153E-4</v>
      </c>
      <c r="E49" s="19">
        <f t="shared" si="20"/>
        <v>3.8258790975595189E-8</v>
      </c>
      <c r="F49" s="19">
        <f t="shared" si="21"/>
        <v>1.7363840057604015E-5</v>
      </c>
      <c r="G49" s="19">
        <f t="shared" si="22"/>
        <v>9.9999999999999995E-8</v>
      </c>
      <c r="H49" s="1">
        <f t="shared" si="2"/>
        <v>4.3615994239598124E-7</v>
      </c>
      <c r="I49" s="1">
        <f t="shared" si="3"/>
        <v>1.0069316688518014E-7</v>
      </c>
      <c r="J49" s="1">
        <f t="shared" si="4"/>
        <v>8.1607719473631774E-5</v>
      </c>
      <c r="K49" s="20">
        <f t="shared" si="5"/>
        <v>1.8354021735392671E-5</v>
      </c>
      <c r="L49" s="19">
        <f t="shared" si="6"/>
        <v>1.0000000000000003E-4</v>
      </c>
      <c r="M49" s="1">
        <f t="shared" si="7"/>
        <v>1.7799999999999997E-6</v>
      </c>
      <c r="N49" s="20">
        <f t="shared" si="8"/>
        <v>1.1835868577177153E-4</v>
      </c>
      <c r="O49" s="19">
        <f t="shared" si="9"/>
        <v>0</v>
      </c>
      <c r="P49" s="1">
        <f t="shared" si="10"/>
        <v>0</v>
      </c>
      <c r="Q49" s="20">
        <f t="shared" si="11"/>
        <v>0</v>
      </c>
      <c r="R49" cm="1">
        <f t="array" ref="R49">MAX(ABS(O49:Q49/B49:D49))</f>
        <v>0</v>
      </c>
      <c r="S49" s="19">
        <f t="shared" si="12"/>
        <v>2613.7783617832774</v>
      </c>
      <c r="T49">
        <v>0</v>
      </c>
      <c r="U49">
        <f>0</f>
        <v>0</v>
      </c>
      <c r="V49" s="20">
        <f t="shared" si="13"/>
        <v>0.10251188643150959</v>
      </c>
      <c r="W49" s="37">
        <f t="shared" si="14"/>
        <v>1183.1576294441711</v>
      </c>
      <c r="X49" s="13">
        <f t="shared" si="15"/>
        <v>0.43615994239598121</v>
      </c>
      <c r="Y49" s="13">
        <f t="shared" si="16"/>
        <v>3092.5118104199705</v>
      </c>
      <c r="Z49" s="13">
        <f t="shared" si="17"/>
        <v>2.5118864315095846E-3</v>
      </c>
      <c r="AA49" s="38">
        <f t="shared" si="18"/>
        <v>1552.6811557632725</v>
      </c>
      <c r="AB49" s="46" cm="1">
        <f t="array" ref="AB49:AC49">TRANSPOSE(MMULT(MINVERSE(_xlfn.WRAPCOLS(S49:V49,2)),TRANSPOSE(O49:P49)))</f>
        <v>0</v>
      </c>
      <c r="AC49" s="1">
        <v>0</v>
      </c>
      <c r="AD49" s="47">
        <v>0</v>
      </c>
    </row>
    <row r="50" spans="1:30" x14ac:dyDescent="0.25">
      <c r="A50">
        <f t="shared" si="23"/>
        <v>39</v>
      </c>
      <c r="B50" s="19">
        <f t="shared" si="25"/>
        <v>1E-4</v>
      </c>
      <c r="C50" s="1">
        <f t="shared" si="25"/>
        <v>1.7799999999999999E-6</v>
      </c>
      <c r="D50" s="20">
        <f t="shared" si="1"/>
        <v>1.1835868577177153E-4</v>
      </c>
      <c r="E50" s="19">
        <f t="shared" si="20"/>
        <v>3.8258790975595189E-8</v>
      </c>
      <c r="F50" s="19">
        <f t="shared" si="21"/>
        <v>1.7363840057604015E-5</v>
      </c>
      <c r="G50" s="19">
        <f t="shared" si="22"/>
        <v>9.9999999999999995E-8</v>
      </c>
      <c r="H50" s="1">
        <f t="shared" si="2"/>
        <v>4.3615994239598124E-7</v>
      </c>
      <c r="I50" s="1">
        <f t="shared" si="3"/>
        <v>1.0069316688518014E-7</v>
      </c>
      <c r="J50" s="1">
        <f t="shared" si="4"/>
        <v>8.1607719473631774E-5</v>
      </c>
      <c r="K50" s="20">
        <f t="shared" si="5"/>
        <v>1.8354021735392671E-5</v>
      </c>
      <c r="L50" s="19">
        <f t="shared" si="6"/>
        <v>1.0000000000000003E-4</v>
      </c>
      <c r="M50" s="1">
        <f t="shared" si="7"/>
        <v>1.7799999999999997E-6</v>
      </c>
      <c r="N50" s="20">
        <f t="shared" si="8"/>
        <v>1.1835868577177153E-4</v>
      </c>
      <c r="O50" s="19">
        <f t="shared" si="9"/>
        <v>0</v>
      </c>
      <c r="P50" s="1">
        <f t="shared" si="10"/>
        <v>0</v>
      </c>
      <c r="Q50" s="20">
        <f t="shared" si="11"/>
        <v>0</v>
      </c>
      <c r="R50" cm="1">
        <f t="array" ref="R50">MAX(ABS(O50:Q50/B50:D50))</f>
        <v>0</v>
      </c>
      <c r="S50" s="19">
        <f t="shared" si="12"/>
        <v>2613.7783617832774</v>
      </c>
      <c r="T50">
        <v>0</v>
      </c>
      <c r="U50">
        <f>0</f>
        <v>0</v>
      </c>
      <c r="V50" s="20">
        <f t="shared" si="13"/>
        <v>0.10251188643150959</v>
      </c>
      <c r="W50" s="37">
        <f t="shared" si="14"/>
        <v>1183.1576294441711</v>
      </c>
      <c r="X50" s="13">
        <f t="shared" si="15"/>
        <v>0.43615994239598121</v>
      </c>
      <c r="Y50" s="13">
        <f t="shared" si="16"/>
        <v>3092.5118104199705</v>
      </c>
      <c r="Z50" s="13">
        <f t="shared" si="17"/>
        <v>2.5118864315095846E-3</v>
      </c>
      <c r="AA50" s="38">
        <f t="shared" si="18"/>
        <v>1552.6811557632725</v>
      </c>
      <c r="AB50" s="46" cm="1">
        <f t="array" ref="AB50:AC50">TRANSPOSE(MMULT(MINVERSE(_xlfn.WRAPCOLS(S50:V50,2)),TRANSPOSE(O50:P50)))</f>
        <v>0</v>
      </c>
      <c r="AC50" s="1">
        <v>0</v>
      </c>
      <c r="AD50" s="47">
        <v>0</v>
      </c>
    </row>
    <row r="51" spans="1:30" x14ac:dyDescent="0.25">
      <c r="A51">
        <f t="shared" si="23"/>
        <v>40</v>
      </c>
      <c r="B51" s="19">
        <f t="shared" si="25"/>
        <v>1E-4</v>
      </c>
      <c r="C51" s="1">
        <f t="shared" si="25"/>
        <v>1.7799999999999999E-6</v>
      </c>
      <c r="D51" s="20">
        <f t="shared" si="1"/>
        <v>1.1835868577177153E-4</v>
      </c>
      <c r="E51" s="19">
        <f t="shared" si="20"/>
        <v>3.8258790975595189E-8</v>
      </c>
      <c r="F51" s="19">
        <f t="shared" si="21"/>
        <v>1.7363840057604015E-5</v>
      </c>
      <c r="G51" s="19">
        <f t="shared" si="22"/>
        <v>9.9999999999999995E-8</v>
      </c>
      <c r="H51" s="1">
        <f t="shared" si="2"/>
        <v>4.3615994239598124E-7</v>
      </c>
      <c r="I51" s="1">
        <f t="shared" si="3"/>
        <v>1.0069316688518014E-7</v>
      </c>
      <c r="J51" s="1">
        <f t="shared" si="4"/>
        <v>8.1607719473631774E-5</v>
      </c>
      <c r="K51" s="20">
        <f t="shared" si="5"/>
        <v>1.8354021735392671E-5</v>
      </c>
      <c r="L51" s="19">
        <f t="shared" si="6"/>
        <v>1.0000000000000003E-4</v>
      </c>
      <c r="M51" s="1">
        <f t="shared" si="7"/>
        <v>1.7799999999999997E-6</v>
      </c>
      <c r="N51" s="20">
        <f t="shared" si="8"/>
        <v>1.1835868577177153E-4</v>
      </c>
      <c r="O51" s="19">
        <f t="shared" si="9"/>
        <v>0</v>
      </c>
      <c r="P51" s="1">
        <f t="shared" si="10"/>
        <v>0</v>
      </c>
      <c r="Q51" s="20">
        <f t="shared" si="11"/>
        <v>0</v>
      </c>
      <c r="R51" cm="1">
        <f t="array" ref="R51">MAX(ABS(O51:Q51/B51:D51))</f>
        <v>0</v>
      </c>
      <c r="S51" s="19">
        <f t="shared" si="12"/>
        <v>2613.7783617832774</v>
      </c>
      <c r="T51">
        <v>0</v>
      </c>
      <c r="U51">
        <f>0</f>
        <v>0</v>
      </c>
      <c r="V51" s="20">
        <f t="shared" si="13"/>
        <v>0.10251188643150959</v>
      </c>
      <c r="W51" s="37">
        <f t="shared" si="14"/>
        <v>1183.1576294441711</v>
      </c>
      <c r="X51" s="13">
        <f t="shared" si="15"/>
        <v>0.43615994239598121</v>
      </c>
      <c r="Y51" s="13">
        <f t="shared" si="16"/>
        <v>3092.5118104199705</v>
      </c>
      <c r="Z51" s="13">
        <f t="shared" si="17"/>
        <v>2.5118864315095846E-3</v>
      </c>
      <c r="AA51" s="38">
        <f t="shared" si="18"/>
        <v>1552.6811557632725</v>
      </c>
      <c r="AB51" s="46" cm="1">
        <f t="array" ref="AB51:AC51">TRANSPOSE(MMULT(MINVERSE(_xlfn.WRAPCOLS(S51:V51,2)),TRANSPOSE(O51:P51)))</f>
        <v>0</v>
      </c>
      <c r="AC51" s="1">
        <v>0</v>
      </c>
      <c r="AD51" s="47">
        <v>0</v>
      </c>
    </row>
    <row r="52" spans="1:30" x14ac:dyDescent="0.25">
      <c r="A52">
        <f t="shared" si="23"/>
        <v>41</v>
      </c>
      <c r="B52" s="19">
        <f t="shared" si="25"/>
        <v>1E-4</v>
      </c>
      <c r="C52" s="1">
        <f t="shared" si="25"/>
        <v>1.7799999999999999E-6</v>
      </c>
      <c r="D52" s="20">
        <f t="shared" si="1"/>
        <v>1.1835868577177153E-4</v>
      </c>
      <c r="E52" s="19">
        <f t="shared" si="20"/>
        <v>3.8258790975595189E-8</v>
      </c>
      <c r="F52" s="19">
        <f t="shared" si="21"/>
        <v>1.7363840057604015E-5</v>
      </c>
      <c r="G52" s="19">
        <f t="shared" si="22"/>
        <v>9.9999999999999995E-8</v>
      </c>
      <c r="H52" s="1">
        <f t="shared" si="2"/>
        <v>4.3615994239598124E-7</v>
      </c>
      <c r="I52" s="1">
        <f t="shared" si="3"/>
        <v>1.0069316688518014E-7</v>
      </c>
      <c r="J52" s="1">
        <f t="shared" si="4"/>
        <v>8.1607719473631774E-5</v>
      </c>
      <c r="K52" s="20">
        <f t="shared" si="5"/>
        <v>1.8354021735392671E-5</v>
      </c>
      <c r="L52" s="19">
        <f t="shared" si="6"/>
        <v>1.0000000000000003E-4</v>
      </c>
      <c r="M52" s="1">
        <f t="shared" si="7"/>
        <v>1.7799999999999997E-6</v>
      </c>
      <c r="N52" s="20">
        <f t="shared" si="8"/>
        <v>1.1835868577177153E-4</v>
      </c>
      <c r="O52" s="19">
        <f t="shared" si="9"/>
        <v>0</v>
      </c>
      <c r="P52" s="1">
        <f t="shared" si="10"/>
        <v>0</v>
      </c>
      <c r="Q52" s="20">
        <f t="shared" si="11"/>
        <v>0</v>
      </c>
      <c r="R52" cm="1">
        <f t="array" ref="R52">MAX(ABS(O52:Q52/B52:D52))</f>
        <v>0</v>
      </c>
      <c r="S52" s="19">
        <f t="shared" si="12"/>
        <v>2613.7783617832774</v>
      </c>
      <c r="T52">
        <v>0</v>
      </c>
      <c r="U52">
        <f>0</f>
        <v>0</v>
      </c>
      <c r="V52" s="20">
        <f t="shared" si="13"/>
        <v>0.10251188643150959</v>
      </c>
      <c r="W52" s="37">
        <f t="shared" si="14"/>
        <v>1183.1576294441711</v>
      </c>
      <c r="X52" s="13">
        <f t="shared" si="15"/>
        <v>0.43615994239598121</v>
      </c>
      <c r="Y52" s="13">
        <f t="shared" si="16"/>
        <v>3092.5118104199705</v>
      </c>
      <c r="Z52" s="13">
        <f t="shared" si="17"/>
        <v>2.5118864315095846E-3</v>
      </c>
      <c r="AA52" s="38">
        <f t="shared" si="18"/>
        <v>1552.6811557632725</v>
      </c>
      <c r="AB52" s="46" cm="1">
        <f t="array" ref="AB52:AC52">TRANSPOSE(MMULT(MINVERSE(_xlfn.WRAPCOLS(S52:V52,2)),TRANSPOSE(O52:P52)))</f>
        <v>0</v>
      </c>
      <c r="AC52" s="1">
        <v>0</v>
      </c>
      <c r="AD52" s="47">
        <v>0</v>
      </c>
    </row>
    <row r="53" spans="1:30" x14ac:dyDescent="0.25">
      <c r="A53">
        <f t="shared" si="23"/>
        <v>42</v>
      </c>
      <c r="B53" s="19">
        <f t="shared" si="25"/>
        <v>1E-4</v>
      </c>
      <c r="C53" s="1">
        <f t="shared" si="25"/>
        <v>1.7799999999999999E-6</v>
      </c>
      <c r="D53" s="20">
        <f t="shared" si="1"/>
        <v>1.1835868577177153E-4</v>
      </c>
      <c r="E53" s="19">
        <f t="shared" si="20"/>
        <v>3.8258790975595189E-8</v>
      </c>
      <c r="F53" s="19">
        <f t="shared" si="21"/>
        <v>1.7363840057604015E-5</v>
      </c>
      <c r="G53" s="19">
        <f t="shared" si="22"/>
        <v>9.9999999999999995E-8</v>
      </c>
      <c r="H53" s="1">
        <f t="shared" si="2"/>
        <v>4.3615994239598124E-7</v>
      </c>
      <c r="I53" s="1">
        <f t="shared" si="3"/>
        <v>1.0069316688518014E-7</v>
      </c>
      <c r="J53" s="1">
        <f t="shared" si="4"/>
        <v>8.1607719473631774E-5</v>
      </c>
      <c r="K53" s="20">
        <f t="shared" si="5"/>
        <v>1.8354021735392671E-5</v>
      </c>
      <c r="L53" s="19">
        <f t="shared" si="6"/>
        <v>1.0000000000000003E-4</v>
      </c>
      <c r="M53" s="1">
        <f t="shared" si="7"/>
        <v>1.7799999999999997E-6</v>
      </c>
      <c r="N53" s="20">
        <f t="shared" si="8"/>
        <v>1.1835868577177153E-4</v>
      </c>
      <c r="O53" s="19">
        <f t="shared" si="9"/>
        <v>0</v>
      </c>
      <c r="P53" s="1">
        <f t="shared" si="10"/>
        <v>0</v>
      </c>
      <c r="Q53" s="20">
        <f t="shared" si="11"/>
        <v>0</v>
      </c>
      <c r="R53" cm="1">
        <f t="array" ref="R53">MAX(ABS(O53:Q53/B53:D53))</f>
        <v>0</v>
      </c>
      <c r="S53" s="19">
        <f t="shared" si="12"/>
        <v>2613.7783617832774</v>
      </c>
      <c r="T53">
        <v>0</v>
      </c>
      <c r="U53">
        <f>0</f>
        <v>0</v>
      </c>
      <c r="V53" s="20">
        <f t="shared" si="13"/>
        <v>0.10251188643150959</v>
      </c>
      <c r="W53" s="37">
        <f t="shared" si="14"/>
        <v>1183.1576294441711</v>
      </c>
      <c r="X53" s="13">
        <f t="shared" si="15"/>
        <v>0.43615994239598121</v>
      </c>
      <c r="Y53" s="13">
        <f t="shared" si="16"/>
        <v>3092.5118104199705</v>
      </c>
      <c r="Z53" s="13">
        <f t="shared" si="17"/>
        <v>2.5118864315095846E-3</v>
      </c>
      <c r="AA53" s="38">
        <f t="shared" si="18"/>
        <v>1552.6811557632725</v>
      </c>
      <c r="AB53" s="46" cm="1">
        <f t="array" ref="AB53:AC53">TRANSPOSE(MMULT(MINVERSE(_xlfn.WRAPCOLS(S53:V53,2)),TRANSPOSE(O53:P53)))</f>
        <v>0</v>
      </c>
      <c r="AC53" s="1">
        <v>0</v>
      </c>
      <c r="AD53" s="47">
        <v>0</v>
      </c>
    </row>
    <row r="54" spans="1:30" x14ac:dyDescent="0.25">
      <c r="A54">
        <f t="shared" si="23"/>
        <v>43</v>
      </c>
      <c r="B54" s="19">
        <f t="shared" si="25"/>
        <v>1E-4</v>
      </c>
      <c r="C54" s="1">
        <f t="shared" si="25"/>
        <v>1.7799999999999999E-6</v>
      </c>
      <c r="D54" s="20">
        <f t="shared" si="1"/>
        <v>1.1835868577177153E-4</v>
      </c>
      <c r="E54" s="19">
        <f t="shared" si="20"/>
        <v>3.8258790975595189E-8</v>
      </c>
      <c r="F54" s="19">
        <f t="shared" si="21"/>
        <v>1.7363840057604015E-5</v>
      </c>
      <c r="G54" s="19">
        <f t="shared" si="22"/>
        <v>9.9999999999999995E-8</v>
      </c>
      <c r="H54" s="1">
        <f t="shared" si="2"/>
        <v>4.3615994239598124E-7</v>
      </c>
      <c r="I54" s="1">
        <f t="shared" si="3"/>
        <v>1.0069316688518014E-7</v>
      </c>
      <c r="J54" s="1">
        <f t="shared" si="4"/>
        <v>8.1607719473631774E-5</v>
      </c>
      <c r="K54" s="20">
        <f t="shared" si="5"/>
        <v>1.8354021735392671E-5</v>
      </c>
      <c r="L54" s="19">
        <f t="shared" si="6"/>
        <v>1.0000000000000003E-4</v>
      </c>
      <c r="M54" s="1">
        <f t="shared" si="7"/>
        <v>1.7799999999999997E-6</v>
      </c>
      <c r="N54" s="20">
        <f t="shared" si="8"/>
        <v>1.1835868577177153E-4</v>
      </c>
      <c r="O54" s="19">
        <f t="shared" si="9"/>
        <v>0</v>
      </c>
      <c r="P54" s="1">
        <f t="shared" si="10"/>
        <v>0</v>
      </c>
      <c r="Q54" s="20">
        <f t="shared" si="11"/>
        <v>0</v>
      </c>
      <c r="R54" cm="1">
        <f t="array" ref="R54">MAX(ABS(O54:Q54/B54:D54))</f>
        <v>0</v>
      </c>
      <c r="S54" s="19">
        <f t="shared" si="12"/>
        <v>2613.7783617832774</v>
      </c>
      <c r="T54">
        <v>0</v>
      </c>
      <c r="U54">
        <f>0</f>
        <v>0</v>
      </c>
      <c r="V54" s="20">
        <f t="shared" si="13"/>
        <v>0.10251188643150959</v>
      </c>
      <c r="W54" s="37">
        <f t="shared" si="14"/>
        <v>1183.1576294441711</v>
      </c>
      <c r="X54" s="13">
        <f t="shared" si="15"/>
        <v>0.43615994239598121</v>
      </c>
      <c r="Y54" s="13">
        <f t="shared" si="16"/>
        <v>3092.5118104199705</v>
      </c>
      <c r="Z54" s="13">
        <f t="shared" si="17"/>
        <v>2.5118864315095846E-3</v>
      </c>
      <c r="AA54" s="38">
        <f t="shared" si="18"/>
        <v>1552.6811557632725</v>
      </c>
      <c r="AB54" s="46" cm="1">
        <f t="array" ref="AB54:AC54">TRANSPOSE(MMULT(MINVERSE(_xlfn.WRAPCOLS(S54:V54,2)),TRANSPOSE(O54:P54)))</f>
        <v>0</v>
      </c>
      <c r="AC54" s="1">
        <v>0</v>
      </c>
      <c r="AD54" s="47">
        <v>0</v>
      </c>
    </row>
    <row r="55" spans="1:30" x14ac:dyDescent="0.25">
      <c r="A55">
        <f t="shared" si="23"/>
        <v>44</v>
      </c>
      <c r="B55" s="19">
        <f t="shared" si="25"/>
        <v>1E-4</v>
      </c>
      <c r="C55" s="1">
        <f t="shared" si="25"/>
        <v>1.7799999999999999E-6</v>
      </c>
      <c r="D55" s="20">
        <f t="shared" si="1"/>
        <v>1.1835868577177153E-4</v>
      </c>
      <c r="E55" s="19">
        <f t="shared" si="20"/>
        <v>3.8258790975595189E-8</v>
      </c>
      <c r="F55" s="19">
        <f t="shared" si="21"/>
        <v>1.7363840057604015E-5</v>
      </c>
      <c r="G55" s="19">
        <f t="shared" si="22"/>
        <v>9.9999999999999995E-8</v>
      </c>
      <c r="H55" s="1">
        <f t="shared" si="2"/>
        <v>4.3615994239598124E-7</v>
      </c>
      <c r="I55" s="1">
        <f t="shared" si="3"/>
        <v>1.0069316688518014E-7</v>
      </c>
      <c r="J55" s="1">
        <f t="shared" si="4"/>
        <v>8.1607719473631774E-5</v>
      </c>
      <c r="K55" s="20">
        <f t="shared" si="5"/>
        <v>1.8354021735392671E-5</v>
      </c>
      <c r="L55" s="19">
        <f t="shared" si="6"/>
        <v>1.0000000000000003E-4</v>
      </c>
      <c r="M55" s="1">
        <f t="shared" si="7"/>
        <v>1.7799999999999997E-6</v>
      </c>
      <c r="N55" s="20">
        <f t="shared" si="8"/>
        <v>1.1835868577177153E-4</v>
      </c>
      <c r="O55" s="19">
        <f t="shared" si="9"/>
        <v>0</v>
      </c>
      <c r="P55" s="1">
        <f t="shared" si="10"/>
        <v>0</v>
      </c>
      <c r="Q55" s="20">
        <f t="shared" si="11"/>
        <v>0</v>
      </c>
      <c r="R55" cm="1">
        <f t="array" ref="R55">MAX(ABS(O55:Q55/B55:D55))</f>
        <v>0</v>
      </c>
      <c r="S55" s="19">
        <f t="shared" si="12"/>
        <v>2613.7783617832774</v>
      </c>
      <c r="T55">
        <v>0</v>
      </c>
      <c r="U55">
        <f>0</f>
        <v>0</v>
      </c>
      <c r="V55" s="20">
        <f t="shared" si="13"/>
        <v>0.10251188643150959</v>
      </c>
      <c r="W55" s="37">
        <f t="shared" si="14"/>
        <v>1183.1576294441711</v>
      </c>
      <c r="X55" s="13">
        <f t="shared" si="15"/>
        <v>0.43615994239598121</v>
      </c>
      <c r="Y55" s="13">
        <f t="shared" si="16"/>
        <v>3092.5118104199705</v>
      </c>
      <c r="Z55" s="13">
        <f t="shared" si="17"/>
        <v>2.5118864315095846E-3</v>
      </c>
      <c r="AA55" s="38">
        <f t="shared" si="18"/>
        <v>1552.6811557632725</v>
      </c>
      <c r="AB55" s="46" cm="1">
        <f t="array" ref="AB55:AC55">TRANSPOSE(MMULT(MINVERSE(_xlfn.WRAPCOLS(S55:V55,2)),TRANSPOSE(O55:P55)))</f>
        <v>0</v>
      </c>
      <c r="AC55" s="1">
        <v>0</v>
      </c>
      <c r="AD55" s="47">
        <v>0</v>
      </c>
    </row>
    <row r="56" spans="1:30" x14ac:dyDescent="0.25">
      <c r="A56">
        <f t="shared" si="23"/>
        <v>45</v>
      </c>
      <c r="B56" s="19">
        <f t="shared" si="25"/>
        <v>1E-4</v>
      </c>
      <c r="C56" s="1">
        <f t="shared" si="25"/>
        <v>1.7799999999999999E-6</v>
      </c>
      <c r="D56" s="20">
        <f t="shared" si="1"/>
        <v>1.1835868577177153E-4</v>
      </c>
      <c r="E56" s="19">
        <f t="shared" si="20"/>
        <v>3.8258790975595189E-8</v>
      </c>
      <c r="F56" s="19">
        <f t="shared" si="21"/>
        <v>1.7363840057604015E-5</v>
      </c>
      <c r="G56" s="19">
        <f t="shared" si="22"/>
        <v>9.9999999999999995E-8</v>
      </c>
      <c r="H56" s="1">
        <f t="shared" si="2"/>
        <v>4.3615994239598124E-7</v>
      </c>
      <c r="I56" s="1">
        <f t="shared" si="3"/>
        <v>1.0069316688518014E-7</v>
      </c>
      <c r="J56" s="1">
        <f t="shared" si="4"/>
        <v>8.1607719473631774E-5</v>
      </c>
      <c r="K56" s="20">
        <f t="shared" si="5"/>
        <v>1.8354021735392671E-5</v>
      </c>
      <c r="L56" s="19">
        <f t="shared" si="6"/>
        <v>1.0000000000000003E-4</v>
      </c>
      <c r="M56" s="1">
        <f t="shared" si="7"/>
        <v>1.7799999999999997E-6</v>
      </c>
      <c r="N56" s="20">
        <f t="shared" si="8"/>
        <v>1.1835868577177153E-4</v>
      </c>
      <c r="O56" s="19">
        <f t="shared" si="9"/>
        <v>0</v>
      </c>
      <c r="P56" s="1">
        <f t="shared" si="10"/>
        <v>0</v>
      </c>
      <c r="Q56" s="20">
        <f t="shared" si="11"/>
        <v>0</v>
      </c>
      <c r="R56" cm="1">
        <f t="array" ref="R56">MAX(ABS(O56:Q56/B56:D56))</f>
        <v>0</v>
      </c>
      <c r="S56" s="19">
        <f t="shared" si="12"/>
        <v>2613.7783617832774</v>
      </c>
      <c r="T56">
        <v>0</v>
      </c>
      <c r="U56">
        <f>0</f>
        <v>0</v>
      </c>
      <c r="V56" s="20">
        <f t="shared" si="13"/>
        <v>0.10251188643150959</v>
      </c>
      <c r="W56" s="37">
        <f t="shared" si="14"/>
        <v>1183.1576294441711</v>
      </c>
      <c r="X56" s="13">
        <f t="shared" si="15"/>
        <v>0.43615994239598121</v>
      </c>
      <c r="Y56" s="13">
        <f t="shared" si="16"/>
        <v>3092.5118104199705</v>
      </c>
      <c r="Z56" s="13">
        <f t="shared" si="17"/>
        <v>2.5118864315095846E-3</v>
      </c>
      <c r="AA56" s="38">
        <f t="shared" si="18"/>
        <v>1552.6811557632725</v>
      </c>
      <c r="AB56" s="46" cm="1">
        <f t="array" ref="AB56:AC56">TRANSPOSE(MMULT(MINVERSE(_xlfn.WRAPCOLS(S56:V56,2)),TRANSPOSE(O56:P56)))</f>
        <v>0</v>
      </c>
      <c r="AC56" s="1">
        <v>0</v>
      </c>
      <c r="AD56" s="47">
        <v>0</v>
      </c>
    </row>
    <row r="57" spans="1:30" x14ac:dyDescent="0.25">
      <c r="A57">
        <f t="shared" si="23"/>
        <v>46</v>
      </c>
      <c r="B57" s="19">
        <f t="shared" si="25"/>
        <v>1E-4</v>
      </c>
      <c r="C57" s="1">
        <f t="shared" si="25"/>
        <v>1.7799999999999999E-6</v>
      </c>
      <c r="D57" s="20">
        <f t="shared" si="1"/>
        <v>1.1835868577177153E-4</v>
      </c>
      <c r="E57" s="19">
        <f t="shared" si="20"/>
        <v>3.8258790975595189E-8</v>
      </c>
      <c r="F57" s="19">
        <f t="shared" si="21"/>
        <v>1.7363840057604015E-5</v>
      </c>
      <c r="G57" s="19">
        <f t="shared" si="22"/>
        <v>9.9999999999999995E-8</v>
      </c>
      <c r="H57" s="1">
        <f t="shared" si="2"/>
        <v>4.3615994239598124E-7</v>
      </c>
      <c r="I57" s="1">
        <f t="shared" si="3"/>
        <v>1.0069316688518014E-7</v>
      </c>
      <c r="J57" s="1">
        <f t="shared" si="4"/>
        <v>8.1607719473631774E-5</v>
      </c>
      <c r="K57" s="20">
        <f t="shared" si="5"/>
        <v>1.8354021735392671E-5</v>
      </c>
      <c r="L57" s="19">
        <f t="shared" si="6"/>
        <v>1.0000000000000003E-4</v>
      </c>
      <c r="M57" s="1">
        <f t="shared" si="7"/>
        <v>1.7799999999999997E-6</v>
      </c>
      <c r="N57" s="20">
        <f t="shared" si="8"/>
        <v>1.1835868577177153E-4</v>
      </c>
      <c r="O57" s="19">
        <f t="shared" si="9"/>
        <v>0</v>
      </c>
      <c r="P57" s="1">
        <f t="shared" si="10"/>
        <v>0</v>
      </c>
      <c r="Q57" s="20">
        <f t="shared" si="11"/>
        <v>0</v>
      </c>
      <c r="R57" cm="1">
        <f t="array" ref="R57">MAX(ABS(O57:Q57/B57:D57))</f>
        <v>0</v>
      </c>
      <c r="S57" s="19">
        <f t="shared" si="12"/>
        <v>2613.7783617832774</v>
      </c>
      <c r="T57">
        <v>0</v>
      </c>
      <c r="U57">
        <f>0</f>
        <v>0</v>
      </c>
      <c r="V57" s="20">
        <f t="shared" si="13"/>
        <v>0.10251188643150959</v>
      </c>
      <c r="W57" s="37">
        <f t="shared" si="14"/>
        <v>1183.1576294441711</v>
      </c>
      <c r="X57" s="13">
        <f t="shared" si="15"/>
        <v>0.43615994239598121</v>
      </c>
      <c r="Y57" s="13">
        <f t="shared" si="16"/>
        <v>3092.5118104199705</v>
      </c>
      <c r="Z57" s="13">
        <f t="shared" si="17"/>
        <v>2.5118864315095846E-3</v>
      </c>
      <c r="AA57" s="38">
        <f t="shared" si="18"/>
        <v>1552.6811557632725</v>
      </c>
      <c r="AB57" s="46" cm="1">
        <f t="array" ref="AB57:AC57">TRANSPOSE(MMULT(MINVERSE(_xlfn.WRAPCOLS(S57:V57,2)),TRANSPOSE(O57:P57)))</f>
        <v>0</v>
      </c>
      <c r="AC57" s="1">
        <v>0</v>
      </c>
      <c r="AD57" s="47">
        <v>0</v>
      </c>
    </row>
    <row r="58" spans="1:30" x14ac:dyDescent="0.25">
      <c r="A58">
        <f t="shared" si="23"/>
        <v>47</v>
      </c>
      <c r="B58" s="19">
        <f t="shared" si="25"/>
        <v>1E-4</v>
      </c>
      <c r="C58" s="1">
        <f t="shared" si="25"/>
        <v>1.7799999999999999E-6</v>
      </c>
      <c r="D58" s="20">
        <f t="shared" si="1"/>
        <v>1.1835868577177153E-4</v>
      </c>
      <c r="E58" s="19">
        <f t="shared" si="20"/>
        <v>3.8258790975595189E-8</v>
      </c>
      <c r="F58" s="19">
        <f t="shared" si="21"/>
        <v>1.7363840057604015E-5</v>
      </c>
      <c r="G58" s="19">
        <f t="shared" si="22"/>
        <v>9.9999999999999995E-8</v>
      </c>
      <c r="H58" s="1">
        <f t="shared" si="2"/>
        <v>4.3615994239598124E-7</v>
      </c>
      <c r="I58" s="1">
        <f t="shared" si="3"/>
        <v>1.0069316688518014E-7</v>
      </c>
      <c r="J58" s="1">
        <f t="shared" si="4"/>
        <v>8.1607719473631774E-5</v>
      </c>
      <c r="K58" s="20">
        <f t="shared" si="5"/>
        <v>1.8354021735392671E-5</v>
      </c>
      <c r="L58" s="19">
        <f t="shared" si="6"/>
        <v>1.0000000000000003E-4</v>
      </c>
      <c r="M58" s="1">
        <f t="shared" si="7"/>
        <v>1.7799999999999997E-6</v>
      </c>
      <c r="N58" s="20">
        <f t="shared" si="8"/>
        <v>1.1835868577177153E-4</v>
      </c>
      <c r="O58" s="19">
        <f t="shared" si="9"/>
        <v>0</v>
      </c>
      <c r="P58" s="1">
        <f t="shared" si="10"/>
        <v>0</v>
      </c>
      <c r="Q58" s="20">
        <f t="shared" si="11"/>
        <v>0</v>
      </c>
      <c r="R58" cm="1">
        <f t="array" ref="R58">MAX(ABS(O58:Q58/B58:D58))</f>
        <v>0</v>
      </c>
      <c r="S58" s="19">
        <f t="shared" si="12"/>
        <v>2613.7783617832774</v>
      </c>
      <c r="T58">
        <v>0</v>
      </c>
      <c r="U58">
        <f>0</f>
        <v>0</v>
      </c>
      <c r="V58" s="20">
        <f t="shared" si="13"/>
        <v>0.10251188643150959</v>
      </c>
      <c r="W58" s="37">
        <f t="shared" si="14"/>
        <v>1183.1576294441711</v>
      </c>
      <c r="X58" s="13">
        <f t="shared" si="15"/>
        <v>0.43615994239598121</v>
      </c>
      <c r="Y58" s="13">
        <f t="shared" si="16"/>
        <v>3092.5118104199705</v>
      </c>
      <c r="Z58" s="13">
        <f t="shared" si="17"/>
        <v>2.5118864315095846E-3</v>
      </c>
      <c r="AA58" s="38">
        <f t="shared" si="18"/>
        <v>1552.6811557632725</v>
      </c>
      <c r="AB58" s="46" cm="1">
        <f t="array" ref="AB58:AC58">TRANSPOSE(MMULT(MINVERSE(_xlfn.WRAPCOLS(S58:V58,2)),TRANSPOSE(O58:P58)))</f>
        <v>0</v>
      </c>
      <c r="AC58" s="1">
        <v>0</v>
      </c>
      <c r="AD58" s="47">
        <v>0</v>
      </c>
    </row>
    <row r="59" spans="1:30" x14ac:dyDescent="0.25">
      <c r="A59">
        <f t="shared" si="23"/>
        <v>48</v>
      </c>
      <c r="B59" s="19">
        <f t="shared" si="25"/>
        <v>1E-4</v>
      </c>
      <c r="C59" s="1">
        <f t="shared" si="25"/>
        <v>1.7799999999999999E-6</v>
      </c>
      <c r="D59" s="20">
        <f t="shared" si="1"/>
        <v>1.1835868577177153E-4</v>
      </c>
      <c r="E59" s="19">
        <f t="shared" si="20"/>
        <v>3.8258790975595189E-8</v>
      </c>
      <c r="F59" s="19">
        <f t="shared" si="21"/>
        <v>1.7363840057604015E-5</v>
      </c>
      <c r="G59" s="19">
        <f t="shared" si="22"/>
        <v>9.9999999999999995E-8</v>
      </c>
      <c r="H59" s="1">
        <f t="shared" si="2"/>
        <v>4.3615994239598124E-7</v>
      </c>
      <c r="I59" s="1">
        <f t="shared" si="3"/>
        <v>1.0069316688518014E-7</v>
      </c>
      <c r="J59" s="1">
        <f t="shared" si="4"/>
        <v>8.1607719473631774E-5</v>
      </c>
      <c r="K59" s="20">
        <f t="shared" si="5"/>
        <v>1.8354021735392671E-5</v>
      </c>
      <c r="L59" s="19">
        <f t="shared" si="6"/>
        <v>1.0000000000000003E-4</v>
      </c>
      <c r="M59" s="1">
        <f t="shared" si="7"/>
        <v>1.7799999999999997E-6</v>
      </c>
      <c r="N59" s="20">
        <f t="shared" si="8"/>
        <v>1.1835868577177153E-4</v>
      </c>
      <c r="O59" s="19">
        <f t="shared" si="9"/>
        <v>0</v>
      </c>
      <c r="P59" s="1">
        <f t="shared" si="10"/>
        <v>0</v>
      </c>
      <c r="Q59" s="20">
        <f t="shared" si="11"/>
        <v>0</v>
      </c>
      <c r="R59" cm="1">
        <f t="array" ref="R59">MAX(ABS(O59:Q59/B59:D59))</f>
        <v>0</v>
      </c>
      <c r="S59" s="19">
        <f t="shared" si="12"/>
        <v>2613.7783617832774</v>
      </c>
      <c r="T59">
        <v>0</v>
      </c>
      <c r="U59">
        <f>0</f>
        <v>0</v>
      </c>
      <c r="V59" s="20">
        <f t="shared" si="13"/>
        <v>0.10251188643150959</v>
      </c>
      <c r="W59" s="37">
        <f t="shared" si="14"/>
        <v>1183.1576294441711</v>
      </c>
      <c r="X59" s="13">
        <f t="shared" si="15"/>
        <v>0.43615994239598121</v>
      </c>
      <c r="Y59" s="13">
        <f t="shared" si="16"/>
        <v>3092.5118104199705</v>
      </c>
      <c r="Z59" s="13">
        <f t="shared" si="17"/>
        <v>2.5118864315095846E-3</v>
      </c>
      <c r="AA59" s="38">
        <f t="shared" si="18"/>
        <v>1552.6811557632725</v>
      </c>
      <c r="AB59" s="46" cm="1">
        <f t="array" ref="AB59:AC59">TRANSPOSE(MMULT(MINVERSE(_xlfn.WRAPCOLS(S59:V59,2)),TRANSPOSE(O59:P59)))</f>
        <v>0</v>
      </c>
      <c r="AC59" s="1">
        <v>0</v>
      </c>
      <c r="AD59" s="47">
        <v>0</v>
      </c>
    </row>
    <row r="60" spans="1:30" x14ac:dyDescent="0.25">
      <c r="A60">
        <f t="shared" si="23"/>
        <v>49</v>
      </c>
      <c r="B60" s="19">
        <f t="shared" si="25"/>
        <v>1E-4</v>
      </c>
      <c r="C60" s="1">
        <f t="shared" si="25"/>
        <v>1.7799999999999999E-6</v>
      </c>
      <c r="D60" s="20">
        <f t="shared" si="1"/>
        <v>1.1835868577177153E-4</v>
      </c>
      <c r="E60" s="19">
        <f t="shared" si="20"/>
        <v>3.8258790975595189E-8</v>
      </c>
      <c r="F60" s="19">
        <f t="shared" si="21"/>
        <v>1.7363840057604015E-5</v>
      </c>
      <c r="G60" s="19">
        <f t="shared" si="22"/>
        <v>9.9999999999999995E-8</v>
      </c>
      <c r="H60" s="1">
        <f t="shared" si="2"/>
        <v>4.3615994239598124E-7</v>
      </c>
      <c r="I60" s="1">
        <f t="shared" si="3"/>
        <v>1.0069316688518014E-7</v>
      </c>
      <c r="J60" s="1">
        <f t="shared" si="4"/>
        <v>8.1607719473631774E-5</v>
      </c>
      <c r="K60" s="20">
        <f t="shared" si="5"/>
        <v>1.8354021735392671E-5</v>
      </c>
      <c r="L60" s="19">
        <f t="shared" si="6"/>
        <v>1.0000000000000003E-4</v>
      </c>
      <c r="M60" s="1">
        <f t="shared" si="7"/>
        <v>1.7799999999999997E-6</v>
      </c>
      <c r="N60" s="20">
        <f t="shared" si="8"/>
        <v>1.1835868577177153E-4</v>
      </c>
      <c r="O60" s="19">
        <f t="shared" si="9"/>
        <v>0</v>
      </c>
      <c r="P60" s="1">
        <f t="shared" si="10"/>
        <v>0</v>
      </c>
      <c r="Q60" s="20">
        <f t="shared" si="11"/>
        <v>0</v>
      </c>
      <c r="R60" cm="1">
        <f t="array" ref="R60">MAX(ABS(O60:Q60/B60:D60))</f>
        <v>0</v>
      </c>
      <c r="S60" s="19">
        <f t="shared" si="12"/>
        <v>2613.7783617832774</v>
      </c>
      <c r="T60">
        <v>0</v>
      </c>
      <c r="U60">
        <f>0</f>
        <v>0</v>
      </c>
      <c r="V60" s="20">
        <f t="shared" si="13"/>
        <v>0.10251188643150959</v>
      </c>
      <c r="W60" s="37">
        <f t="shared" si="14"/>
        <v>1183.1576294441711</v>
      </c>
      <c r="X60" s="13">
        <f t="shared" si="15"/>
        <v>0.43615994239598121</v>
      </c>
      <c r="Y60" s="13">
        <f t="shared" si="16"/>
        <v>3092.5118104199705</v>
      </c>
      <c r="Z60" s="13">
        <f t="shared" si="17"/>
        <v>2.5118864315095846E-3</v>
      </c>
      <c r="AA60" s="38">
        <f t="shared" si="18"/>
        <v>1552.6811557632725</v>
      </c>
      <c r="AB60" s="46" cm="1">
        <f t="array" ref="AB60:AC60">TRANSPOSE(MMULT(MINVERSE(_xlfn.WRAPCOLS(S60:V60,2)),TRANSPOSE(O60:P60)))</f>
        <v>0</v>
      </c>
      <c r="AC60" s="1">
        <v>0</v>
      </c>
      <c r="AD60" s="47">
        <v>0</v>
      </c>
    </row>
    <row r="61" spans="1:30" x14ac:dyDescent="0.25">
      <c r="A61">
        <f t="shared" si="23"/>
        <v>50</v>
      </c>
      <c r="B61" s="19">
        <f t="shared" ref="B61:C62" si="26">B60</f>
        <v>1E-4</v>
      </c>
      <c r="C61" s="1">
        <f t="shared" si="26"/>
        <v>1.7799999999999999E-6</v>
      </c>
      <c r="D61" s="20">
        <f t="shared" si="1"/>
        <v>1.1835868577177153E-4</v>
      </c>
      <c r="E61" s="19">
        <f t="shared" si="20"/>
        <v>3.8258790975595189E-8</v>
      </c>
      <c r="F61" s="19">
        <f t="shared" si="21"/>
        <v>1.7363840057604015E-5</v>
      </c>
      <c r="G61" s="19">
        <f t="shared" si="22"/>
        <v>9.9999999999999995E-8</v>
      </c>
      <c r="H61" s="1">
        <f t="shared" si="2"/>
        <v>4.3615994239598124E-7</v>
      </c>
      <c r="I61" s="1">
        <f t="shared" si="3"/>
        <v>1.0069316688518014E-7</v>
      </c>
      <c r="J61" s="1">
        <f t="shared" si="4"/>
        <v>8.1607719473631774E-5</v>
      </c>
      <c r="K61" s="20">
        <f t="shared" si="5"/>
        <v>1.8354021735392671E-5</v>
      </c>
      <c r="L61" s="19">
        <f t="shared" si="6"/>
        <v>1.0000000000000003E-4</v>
      </c>
      <c r="M61" s="1">
        <f t="shared" si="7"/>
        <v>1.7799999999999997E-6</v>
      </c>
      <c r="N61" s="20">
        <f t="shared" si="8"/>
        <v>1.1835868577177153E-4</v>
      </c>
      <c r="O61" s="19">
        <f t="shared" si="9"/>
        <v>0</v>
      </c>
      <c r="P61" s="1">
        <f t="shared" si="10"/>
        <v>0</v>
      </c>
      <c r="Q61" s="20">
        <f t="shared" si="11"/>
        <v>0</v>
      </c>
      <c r="R61" cm="1">
        <f t="array" ref="R61">MAX(ABS(O61:Q61/B61:D61))</f>
        <v>0</v>
      </c>
      <c r="S61" s="19">
        <f t="shared" si="12"/>
        <v>2613.7783617832774</v>
      </c>
      <c r="T61">
        <v>0</v>
      </c>
      <c r="U61">
        <f>0</f>
        <v>0</v>
      </c>
      <c r="V61" s="20">
        <f t="shared" si="13"/>
        <v>0.10251188643150959</v>
      </c>
      <c r="W61" s="37">
        <f t="shared" si="14"/>
        <v>1183.1576294441711</v>
      </c>
      <c r="X61" s="13">
        <f t="shared" si="15"/>
        <v>0.43615994239598121</v>
      </c>
      <c r="Y61" s="13">
        <f t="shared" si="16"/>
        <v>3092.5118104199705</v>
      </c>
      <c r="Z61" s="13">
        <f t="shared" si="17"/>
        <v>2.5118864315095846E-3</v>
      </c>
      <c r="AA61" s="38">
        <f t="shared" si="18"/>
        <v>1552.6811557632725</v>
      </c>
      <c r="AB61" s="46" cm="1">
        <f t="array" ref="AB61:AC61">TRANSPOSE(MMULT(MINVERSE(_xlfn.WRAPCOLS(S61:V61,2)),TRANSPOSE(O61:P61)))</f>
        <v>0</v>
      </c>
      <c r="AC61" s="1">
        <v>0</v>
      </c>
      <c r="AD61" s="47">
        <v>0</v>
      </c>
    </row>
    <row r="62" spans="1:30" x14ac:dyDescent="0.25">
      <c r="A62">
        <f t="shared" si="23"/>
        <v>51</v>
      </c>
      <c r="B62" s="19">
        <f t="shared" si="26"/>
        <v>1E-4</v>
      </c>
      <c r="C62" s="1">
        <f t="shared" si="26"/>
        <v>1.7799999999999999E-6</v>
      </c>
      <c r="D62" s="20">
        <f t="shared" si="1"/>
        <v>1.1835868577177153E-4</v>
      </c>
      <c r="E62" s="19">
        <f t="shared" si="20"/>
        <v>3.8258790975595189E-8</v>
      </c>
      <c r="F62" s="19">
        <f t="shared" si="21"/>
        <v>1.7363840057604015E-5</v>
      </c>
      <c r="G62" s="19">
        <f t="shared" si="22"/>
        <v>9.9999999999999995E-8</v>
      </c>
      <c r="H62" s="1">
        <f t="shared" si="2"/>
        <v>4.3615994239598124E-7</v>
      </c>
      <c r="I62" s="1">
        <f t="shared" si="3"/>
        <v>1.0069316688518014E-7</v>
      </c>
      <c r="J62" s="1">
        <f t="shared" si="4"/>
        <v>8.1607719473631774E-5</v>
      </c>
      <c r="K62" s="20">
        <f t="shared" si="5"/>
        <v>1.8354021735392671E-5</v>
      </c>
      <c r="L62" s="19">
        <f t="shared" si="6"/>
        <v>1.0000000000000003E-4</v>
      </c>
      <c r="M62" s="1">
        <f t="shared" si="7"/>
        <v>1.7799999999999997E-6</v>
      </c>
      <c r="N62" s="20">
        <f t="shared" si="8"/>
        <v>1.1835868577177153E-4</v>
      </c>
      <c r="O62" s="19">
        <f t="shared" si="9"/>
        <v>0</v>
      </c>
      <c r="P62" s="1">
        <f t="shared" si="10"/>
        <v>0</v>
      </c>
      <c r="Q62" s="20">
        <f t="shared" si="11"/>
        <v>0</v>
      </c>
      <c r="R62" cm="1">
        <f t="array" ref="R62">MAX(ABS(O62:Q62/B62:D62))</f>
        <v>0</v>
      </c>
      <c r="S62" s="19">
        <f t="shared" si="12"/>
        <v>2613.7783617832774</v>
      </c>
      <c r="T62">
        <v>0</v>
      </c>
      <c r="U62">
        <f>0</f>
        <v>0</v>
      </c>
      <c r="V62" s="20">
        <f t="shared" si="13"/>
        <v>0.10251188643150959</v>
      </c>
      <c r="W62" s="37">
        <f t="shared" si="14"/>
        <v>1183.1576294441711</v>
      </c>
      <c r="X62" s="13">
        <f t="shared" si="15"/>
        <v>0.43615994239598121</v>
      </c>
      <c r="Y62" s="13">
        <f t="shared" si="16"/>
        <v>3092.5118104199705</v>
      </c>
      <c r="Z62" s="13">
        <f t="shared" si="17"/>
        <v>2.5118864315095846E-3</v>
      </c>
      <c r="AA62" s="38">
        <f t="shared" si="18"/>
        <v>1552.6811557632725</v>
      </c>
      <c r="AB62" s="46" cm="1">
        <f t="array" ref="AB62:AC62">TRANSPOSE(MMULT(MINVERSE(_xlfn.WRAPCOLS(S62:V62,2)),TRANSPOSE(O62:P62)))</f>
        <v>0</v>
      </c>
      <c r="AC62" s="1">
        <v>0</v>
      </c>
      <c r="AD62" s="47">
        <v>0</v>
      </c>
    </row>
    <row r="63" spans="1:30" x14ac:dyDescent="0.25">
      <c r="B63" s="19"/>
      <c r="D63" s="20"/>
      <c r="E63" s="19"/>
      <c r="K63" s="20"/>
      <c r="L63" s="19"/>
      <c r="N63" s="20"/>
      <c r="O63" s="19"/>
      <c r="Q63" s="20"/>
      <c r="R63"/>
      <c r="S63" s="19"/>
      <c r="T63"/>
      <c r="U63"/>
      <c r="V63" s="20"/>
      <c r="W63" s="37"/>
      <c r="AA63" s="38"/>
      <c r="AB63" s="46"/>
      <c r="AC63" s="1"/>
      <c r="AD63" s="47"/>
    </row>
    <row r="64" spans="1:30" x14ac:dyDescent="0.25">
      <c r="B64" s="19"/>
      <c r="D64" s="20"/>
      <c r="E64" s="19"/>
      <c r="K64" s="20"/>
      <c r="L64" s="19"/>
      <c r="N64" s="20"/>
      <c r="O64" s="19"/>
      <c r="Q64" s="20"/>
      <c r="R64"/>
      <c r="S64" s="19"/>
      <c r="T64"/>
      <c r="U64"/>
      <c r="V64" s="20"/>
      <c r="W64" s="37"/>
      <c r="AA64" s="38"/>
      <c r="AB64" s="46"/>
      <c r="AC64" s="1"/>
      <c r="AD64" s="47"/>
    </row>
    <row r="65" spans="2:30" x14ac:dyDescent="0.25">
      <c r="B65" s="19"/>
      <c r="D65" s="20"/>
      <c r="E65" s="19"/>
      <c r="K65" s="20"/>
      <c r="L65" s="19"/>
      <c r="N65" s="20"/>
      <c r="O65" s="19"/>
      <c r="Q65" s="20"/>
      <c r="R65"/>
      <c r="S65" s="19"/>
      <c r="T65"/>
      <c r="U65"/>
      <c r="V65" s="20"/>
      <c r="W65" s="37"/>
      <c r="AA65" s="38"/>
      <c r="AB65" s="46"/>
      <c r="AC65" s="1"/>
      <c r="AD65" s="47"/>
    </row>
    <row r="66" spans="2:30" x14ac:dyDescent="0.25">
      <c r="B66" s="19"/>
      <c r="D66" s="20"/>
      <c r="E66" s="19"/>
      <c r="K66" s="20"/>
      <c r="L66" s="19"/>
      <c r="N66" s="20"/>
      <c r="O66" s="19"/>
      <c r="Q66" s="20"/>
      <c r="R66"/>
      <c r="S66" s="19"/>
      <c r="T66"/>
      <c r="U66"/>
      <c r="V66" s="20"/>
      <c r="W66" s="37"/>
      <c r="AA66" s="38"/>
      <c r="AB66" s="46"/>
      <c r="AC66" s="1"/>
      <c r="AD66" s="47"/>
    </row>
    <row r="67" spans="2:30" x14ac:dyDescent="0.25">
      <c r="B67" s="19"/>
      <c r="D67" s="20"/>
      <c r="E67" s="19"/>
      <c r="K67" s="20"/>
      <c r="L67" s="19"/>
      <c r="N67" s="20"/>
      <c r="O67" s="19"/>
      <c r="Q67" s="20"/>
      <c r="R67"/>
      <c r="S67" s="19"/>
      <c r="T67"/>
      <c r="U67"/>
      <c r="V67" s="20"/>
      <c r="W67" s="37"/>
      <c r="AA67" s="38"/>
      <c r="AB67" s="46"/>
      <c r="AC67" s="1"/>
      <c r="AD67" s="47"/>
    </row>
    <row r="68" spans="2:30" x14ac:dyDescent="0.25">
      <c r="B68" s="19"/>
      <c r="D68" s="20"/>
      <c r="E68" s="19"/>
      <c r="K68" s="20"/>
      <c r="L68" s="19"/>
      <c r="N68" s="20"/>
      <c r="O68" s="19"/>
      <c r="Q68" s="20"/>
      <c r="R68"/>
      <c r="S68" s="19"/>
      <c r="T68"/>
      <c r="U68"/>
      <c r="V68" s="20"/>
      <c r="W68" s="37"/>
      <c r="AA68" s="38"/>
      <c r="AB68" s="46"/>
      <c r="AC68" s="1"/>
      <c r="AD68" s="47"/>
    </row>
    <row r="69" spans="2:30" x14ac:dyDescent="0.25">
      <c r="B69" s="19"/>
      <c r="D69" s="20"/>
      <c r="E69" s="19"/>
      <c r="K69" s="20"/>
      <c r="L69" s="19"/>
      <c r="N69" s="20"/>
      <c r="O69" s="19"/>
      <c r="Q69" s="20"/>
      <c r="R69"/>
      <c r="S69" s="19"/>
      <c r="T69"/>
      <c r="U69"/>
      <c r="V69" s="20"/>
      <c r="W69" s="37"/>
      <c r="AA69" s="38"/>
      <c r="AB69" s="46"/>
      <c r="AC69" s="1"/>
      <c r="AD69" s="47"/>
    </row>
    <row r="70" spans="2:30" x14ac:dyDescent="0.25">
      <c r="B70" s="19"/>
      <c r="D70" s="20"/>
      <c r="E70" s="19"/>
      <c r="K70" s="20"/>
      <c r="L70" s="19"/>
      <c r="N70" s="20"/>
      <c r="O70" s="19"/>
      <c r="Q70" s="20"/>
      <c r="R70"/>
      <c r="S70" s="19"/>
      <c r="T70"/>
      <c r="U70"/>
      <c r="V70" s="20"/>
      <c r="W70" s="37"/>
      <c r="AA70" s="38"/>
      <c r="AB70" s="46"/>
      <c r="AC70" s="1"/>
      <c r="AD70" s="47"/>
    </row>
    <row r="71" spans="2:30" x14ac:dyDescent="0.25">
      <c r="B71" s="19"/>
      <c r="D71" s="20"/>
      <c r="E71" s="19"/>
      <c r="K71" s="20"/>
      <c r="L71" s="19"/>
      <c r="N71" s="20"/>
      <c r="O71" s="19"/>
      <c r="Q71" s="20"/>
      <c r="R71"/>
      <c r="S71" s="19"/>
      <c r="T71"/>
      <c r="U71"/>
      <c r="V71" s="20"/>
      <c r="W71" s="37"/>
      <c r="AA71" s="38"/>
      <c r="AB71" s="46"/>
      <c r="AC71" s="1"/>
      <c r="AD71" s="47"/>
    </row>
    <row r="72" spans="2:30" x14ac:dyDescent="0.25">
      <c r="B72" s="19"/>
      <c r="D72" s="20"/>
      <c r="E72" s="19"/>
      <c r="K72" s="20"/>
      <c r="L72" s="19"/>
      <c r="N72" s="20"/>
      <c r="O72" s="19"/>
      <c r="Q72" s="20"/>
      <c r="R72"/>
      <c r="S72" s="19"/>
      <c r="T72"/>
      <c r="U72"/>
      <c r="V72" s="20"/>
      <c r="W72" s="37"/>
      <c r="AA72" s="38"/>
      <c r="AB72" s="46"/>
      <c r="AC72" s="1"/>
      <c r="AD72" s="47"/>
    </row>
    <row r="73" spans="2:30" x14ac:dyDescent="0.25">
      <c r="B73" s="19"/>
      <c r="D73" s="20"/>
      <c r="E73" s="19"/>
      <c r="K73" s="20"/>
      <c r="L73" s="19"/>
      <c r="N73" s="20"/>
      <c r="O73" s="19"/>
      <c r="Q73" s="20"/>
      <c r="R73"/>
      <c r="S73" s="19"/>
      <c r="T73"/>
      <c r="U73"/>
      <c r="V73" s="20"/>
      <c r="W73" s="37"/>
      <c r="AA73" s="38"/>
      <c r="AB73" s="46"/>
      <c r="AC73" s="1"/>
      <c r="AD73" s="47"/>
    </row>
    <row r="74" spans="2:30" x14ac:dyDescent="0.25">
      <c r="B74" s="21"/>
      <c r="C74" s="22"/>
      <c r="D74" s="23"/>
      <c r="E74" s="21"/>
      <c r="F74" s="22"/>
      <c r="G74" s="22"/>
      <c r="H74" s="22"/>
      <c r="I74" s="22"/>
      <c r="J74" s="22"/>
      <c r="K74" s="23"/>
      <c r="L74" s="21"/>
      <c r="M74" s="22"/>
      <c r="N74" s="23"/>
      <c r="O74" s="21"/>
      <c r="P74" s="22"/>
      <c r="Q74" s="23"/>
      <c r="R74"/>
      <c r="S74" s="21"/>
      <c r="T74" s="31"/>
      <c r="U74" s="31"/>
      <c r="V74" s="23"/>
      <c r="W74" s="39"/>
      <c r="X74" s="40"/>
      <c r="Y74" s="40"/>
      <c r="Z74" s="40"/>
      <c r="AA74" s="41"/>
      <c r="AB74" s="48"/>
      <c r="AC74" s="22"/>
      <c r="AD74" s="49"/>
    </row>
  </sheetData>
  <mergeCells count="4">
    <mergeCell ref="B9:D9"/>
    <mergeCell ref="E9:K9"/>
    <mergeCell ref="L9:N9"/>
    <mergeCell ref="O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5A0-D921-40C7-8C93-87E67456E634}">
  <dimension ref="A1:AG35"/>
  <sheetViews>
    <sheetView workbookViewId="0">
      <selection activeCell="R9" sqref="R9:R30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4.85546875" style="1" bestFit="1" customWidth="1"/>
    <col min="5" max="5" width="14.85546875" style="1" customWidth="1"/>
    <col min="6" max="11" width="11.85546875" style="1" bestFit="1" customWidth="1"/>
    <col min="12" max="12" width="11.85546875" style="1" customWidth="1"/>
    <col min="13" max="14" width="14.28515625" style="1" bestFit="1" customWidth="1"/>
    <col min="15" max="15" width="14.28515625" style="1" customWidth="1"/>
    <col min="16" max="16" width="9" style="1" bestFit="1" customWidth="1"/>
    <col min="17" max="17" width="8.5703125" style="1" bestFit="1" customWidth="1"/>
    <col min="18" max="19" width="8.5703125" style="1" customWidth="1"/>
    <col min="20" max="20" width="9.28515625" style="1" bestFit="1" customWidth="1"/>
    <col min="21" max="22" width="8.5703125" style="1" customWidth="1"/>
    <col min="23" max="23" width="9.85546875" style="1" bestFit="1" customWidth="1"/>
    <col min="24" max="24" width="10.5703125" style="1" bestFit="1" customWidth="1"/>
    <col min="25" max="26" width="8.5703125" style="1" customWidth="1"/>
    <col min="27" max="27" width="10.5703125" style="1" bestFit="1" customWidth="1"/>
    <col min="28" max="28" width="12.7109375" bestFit="1" customWidth="1"/>
    <col min="31" max="31" width="12" bestFit="1" customWidth="1"/>
    <col min="32" max="32" width="12.7109375" bestFit="1" customWidth="1"/>
  </cols>
  <sheetData>
    <row r="1" spans="1:33" x14ac:dyDescent="0.25">
      <c r="E1" s="3" t="s">
        <v>34</v>
      </c>
    </row>
    <row r="2" spans="1:33" x14ac:dyDescent="0.25">
      <c r="E2">
        <v>0</v>
      </c>
      <c r="F2">
        <v>0</v>
      </c>
      <c r="G2">
        <v>0</v>
      </c>
      <c r="H2">
        <v>-13.997</v>
      </c>
      <c r="I2">
        <v>10.329000000000001</v>
      </c>
      <c r="J2">
        <v>16.681000000000001</v>
      </c>
      <c r="K2">
        <v>14.62</v>
      </c>
      <c r="L2"/>
    </row>
    <row r="3" spans="1:33" x14ac:dyDescent="0.25">
      <c r="E3" s="1" t="s">
        <v>35</v>
      </c>
    </row>
    <row r="4" spans="1:33" x14ac:dyDescent="0.25">
      <c r="E4" s="1">
        <f>10^E2</f>
        <v>1</v>
      </c>
      <c r="F4" s="1">
        <f t="shared" ref="F4" si="0">10^F2</f>
        <v>1</v>
      </c>
      <c r="G4" s="1">
        <f t="shared" ref="G4:J4" si="1">10^G2</f>
        <v>1</v>
      </c>
      <c r="H4" s="1">
        <f t="shared" si="1"/>
        <v>1.0069316688518014E-14</v>
      </c>
      <c r="I4" s="1">
        <f t="shared" si="1"/>
        <v>21330449131.465843</v>
      </c>
      <c r="J4" s="1">
        <f t="shared" si="1"/>
        <v>4.7973344863669312E+16</v>
      </c>
      <c r="K4" s="1">
        <f t="shared" ref="K4" si="2">10^K2</f>
        <v>416869383470336.44</v>
      </c>
    </row>
    <row r="5" spans="1:33" x14ac:dyDescent="0.25">
      <c r="W5" s="65" t="s">
        <v>57</v>
      </c>
      <c r="X5" s="65"/>
      <c r="Y5" s="65"/>
      <c r="Z5" s="65"/>
      <c r="AA5" s="65"/>
    </row>
    <row r="6" spans="1:33" x14ac:dyDescent="0.25">
      <c r="B6" s="1" t="s">
        <v>24</v>
      </c>
      <c r="C6" s="1" t="s">
        <v>25</v>
      </c>
      <c r="D6" s="1" t="s">
        <v>36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38</v>
      </c>
      <c r="K6" s="1" t="s">
        <v>40</v>
      </c>
      <c r="L6" s="1" t="s">
        <v>23</v>
      </c>
      <c r="M6" s="1" t="s">
        <v>22</v>
      </c>
      <c r="N6" s="1" t="s">
        <v>42</v>
      </c>
      <c r="O6" s="1" t="s">
        <v>20</v>
      </c>
      <c r="P6" s="1" t="s">
        <v>21</v>
      </c>
      <c r="Q6" s="1" t="s">
        <v>45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46</v>
      </c>
      <c r="X6" s="1" t="s">
        <v>47</v>
      </c>
      <c r="Y6" s="1" t="s">
        <v>48</v>
      </c>
      <c r="Z6" s="1" t="s">
        <v>49</v>
      </c>
      <c r="AA6" s="1" t="s">
        <v>50</v>
      </c>
      <c r="AB6" t="s">
        <v>31</v>
      </c>
    </row>
    <row r="7" spans="1:33" s="4" customFormat="1" ht="30" x14ac:dyDescent="0.25">
      <c r="A7" s="4" t="s">
        <v>12</v>
      </c>
      <c r="B7" s="5" t="s">
        <v>37</v>
      </c>
      <c r="C7" s="4" t="s">
        <v>1</v>
      </c>
      <c r="D7" s="5" t="s">
        <v>0</v>
      </c>
      <c r="E7" s="5" t="s">
        <v>41</v>
      </c>
      <c r="F7" s="5" t="s">
        <v>3</v>
      </c>
      <c r="G7" s="5" t="s">
        <v>2</v>
      </c>
      <c r="H7" s="5" t="s">
        <v>13</v>
      </c>
      <c r="I7" s="5" t="s">
        <v>14</v>
      </c>
      <c r="J7" s="5" t="s">
        <v>15</v>
      </c>
      <c r="K7" s="5" t="s">
        <v>39</v>
      </c>
      <c r="L7" s="5" t="s">
        <v>43</v>
      </c>
      <c r="M7" s="5" t="s">
        <v>5</v>
      </c>
      <c r="N7" s="5" t="s">
        <v>4</v>
      </c>
      <c r="O7" s="5" t="s">
        <v>44</v>
      </c>
      <c r="P7" s="5" t="s">
        <v>7</v>
      </c>
      <c r="Q7" s="5" t="s">
        <v>6</v>
      </c>
      <c r="R7" s="5" t="s">
        <v>58</v>
      </c>
      <c r="S7" s="7" t="s">
        <v>52</v>
      </c>
      <c r="T7" s="7" t="s">
        <v>53</v>
      </c>
      <c r="U7" s="7" t="s">
        <v>55</v>
      </c>
      <c r="V7" s="7" t="s">
        <v>9</v>
      </c>
      <c r="W7" s="8" t="s">
        <v>54</v>
      </c>
      <c r="X7" s="8" t="s">
        <v>10</v>
      </c>
      <c r="Y7" s="8" t="s">
        <v>56</v>
      </c>
      <c r="Z7" s="8" t="s">
        <v>11</v>
      </c>
      <c r="AA7" s="8" t="s">
        <v>8</v>
      </c>
      <c r="AB7" s="4" t="s">
        <v>51</v>
      </c>
      <c r="AC7" s="4" t="s">
        <v>32</v>
      </c>
      <c r="AD7" s="4" t="s">
        <v>33</v>
      </c>
    </row>
    <row r="8" spans="1:33" x14ac:dyDescent="0.25">
      <c r="A8">
        <v>0</v>
      </c>
      <c r="B8" s="6">
        <v>4.7209899999999998E-8</v>
      </c>
      <c r="C8" s="6">
        <v>1.09987E-3</v>
      </c>
      <c r="D8" s="1">
        <f>G8+I8+2*J8-H8+K8</f>
        <v>7.0787349939433692E-3</v>
      </c>
      <c r="E8" s="1">
        <f>B8/100</f>
        <v>4.7209899999999994E-10</v>
      </c>
      <c r="F8" s="1">
        <f>C8/100</f>
        <v>1.09987E-5</v>
      </c>
      <c r="G8" s="6">
        <f>10^-7.57</f>
        <v>2.6915348039269097E-8</v>
      </c>
      <c r="H8" s="1">
        <f>G8^(-1)*$H$4</f>
        <v>3.7411058827205313E-7</v>
      </c>
      <c r="I8" s="1">
        <f>G8*F8*$I$4</f>
        <v>6.3145347328797431E-3</v>
      </c>
      <c r="J8" s="1">
        <f t="shared" ref="J8:J35" si="3">G8^2*F8*$J$4</f>
        <v>3.8224459788654031E-4</v>
      </c>
      <c r="K8" s="1">
        <f>E8*G8*F8*$K$4</f>
        <v>5.8260530779051953E-8</v>
      </c>
      <c r="L8" s="1">
        <f>E8+K8</f>
        <v>5.8732629779051954E-8</v>
      </c>
      <c r="M8" s="1">
        <f>F8+I8+J8+K8</f>
        <v>6.707836291297062E-3</v>
      </c>
      <c r="N8" s="1">
        <f>G8+I8+2*J8-H8+K8</f>
        <v>7.0787349939433692E-3</v>
      </c>
      <c r="O8" s="1">
        <f>L8-B8</f>
        <v>1.1522729779051955E-8</v>
      </c>
      <c r="P8" s="1">
        <f>M8-C8</f>
        <v>5.6079662912970618E-3</v>
      </c>
      <c r="Q8" s="1">
        <f>N8-D8</f>
        <v>0</v>
      </c>
      <c r="R8" cm="1">
        <f t="array" ref="R8">MAX(ABS(O8:Q8/B8:D8))</f>
        <v>5.098753753895517</v>
      </c>
      <c r="S8">
        <f>1+G8*F8*$K$4</f>
        <v>124.40744373331009</v>
      </c>
      <c r="T8">
        <f>E8*G8*$K$4</f>
        <v>5.297037902575027E-3</v>
      </c>
      <c r="U8">
        <f>G8*F8*$K$4</f>
        <v>123.40744373331009</v>
      </c>
      <c r="V8">
        <f>1+G8*$I$4+G8^2*$J$4+E8*G8*$K$4</f>
        <v>609.87537538955166</v>
      </c>
      <c r="W8" s="11">
        <f t="shared" ref="W8:W35" si="4">E8*F8*$K$4</f>
        <v>2.1645839650317988</v>
      </c>
      <c r="X8" s="11">
        <f>F8*$I$4+2*G8*F8*$J$4+E8*F8*$K$4</f>
        <v>263012.84229560493</v>
      </c>
      <c r="Y8" s="11">
        <f>G8*F8*$K$4</f>
        <v>123.40744373331009</v>
      </c>
      <c r="Z8" s="11">
        <f>G8*$I$4+2*G8^2*$J$4+E8*G8*$K$4</f>
        <v>643.62899153387241</v>
      </c>
      <c r="AA8" s="11">
        <f>1+F8*$I$4+4*G8*F8*$J$4+E8*F8*$K$4+G8^-2*$H$4</f>
        <v>291431.20867130358</v>
      </c>
      <c r="AB8" cm="1">
        <f t="array" ref="AB8:AC8">TRANSPOSE(MMULT(MINVERSE(_xlfn.WRAPCOLS(S8:V8,2)),TRANSPOSE(O8:P8)))</f>
        <v>-9.1213394386784534E-6</v>
      </c>
      <c r="AC8" s="1">
        <v>9.1953452027731549E-6</v>
      </c>
      <c r="AD8">
        <v>0</v>
      </c>
      <c r="AF8" cm="1">
        <f t="array" ref="AF8:AG9">MINVERSE(_xlfn.WRAPCOLS(S8:V8,2))</f>
        <v>8.0381734861989761E-3</v>
      </c>
      <c r="AG8">
        <v>-1.6265133537865406E-3</v>
      </c>
    </row>
    <row r="9" spans="1:33" x14ac:dyDescent="0.25">
      <c r="A9">
        <f>A8+1</f>
        <v>1</v>
      </c>
      <c r="B9" s="1">
        <f>B8</f>
        <v>4.7209899999999998E-8</v>
      </c>
      <c r="C9" s="1">
        <f>C8</f>
        <v>1.09987E-3</v>
      </c>
      <c r="D9" s="1">
        <f>G9+I9+2*J9-H9+K9</f>
        <v>1.3449051758709358E-3</v>
      </c>
      <c r="E9" s="1">
        <f>E8-AB8</f>
        <v>9.1218115376784542E-6</v>
      </c>
      <c r="F9" s="1">
        <f>F8-AC8</f>
        <v>1.8033547972268454E-6</v>
      </c>
      <c r="G9" s="1">
        <f>G8-AD8</f>
        <v>2.6915348039269097E-8</v>
      </c>
      <c r="H9" s="1">
        <f>G9^(-1)*$H$4</f>
        <v>3.7411058827205313E-7</v>
      </c>
      <c r="I9" s="1">
        <f>G9*F9*$I$4</f>
        <v>1.0353356762884906E-3</v>
      </c>
      <c r="J9" s="1">
        <f t="shared" si="3"/>
        <v>6.267310039484111E-5</v>
      </c>
      <c r="K9" s="1">
        <f t="shared" ref="K9:K35" si="5">E9*G9*F9*$K$4</f>
        <v>1.8457049403299572E-4</v>
      </c>
      <c r="L9" s="1">
        <f t="shared" ref="L9:L35" si="6">E9+K9</f>
        <v>1.9369230557067418E-4</v>
      </c>
      <c r="M9" s="1">
        <f t="shared" ref="M9:M35" si="7">F9+I9+J9+K9</f>
        <v>1.2843826255135543E-3</v>
      </c>
      <c r="N9" s="1">
        <f>G9+I9+2*J9-H9+K9</f>
        <v>1.3449051758709358E-3</v>
      </c>
      <c r="O9" s="1">
        <f t="shared" ref="O9:O35" si="8">L9-B9</f>
        <v>1.9364509567067418E-4</v>
      </c>
      <c r="P9" s="1">
        <f>M9-C9</f>
        <v>1.8451262551355432E-4</v>
      </c>
      <c r="Q9" s="1">
        <f>N9-D9</f>
        <v>0</v>
      </c>
      <c r="R9" cm="1">
        <f t="array" ref="R9">MAX(ABS(O9:Q9/B9:D9))</f>
        <v>4101.7899989339985</v>
      </c>
      <c r="S9">
        <f t="shared" ref="S9:S35" si="9">1+G9*F9*$K$4</f>
        <v>21.233973621424962</v>
      </c>
      <c r="T9">
        <f t="shared" ref="T9:T35" si="10">E9*G9*$K$4</f>
        <v>102.34840881939797</v>
      </c>
      <c r="U9">
        <f t="shared" ref="U9:U35" si="11">G9*F9*$K$4</f>
        <v>20.233973621424962</v>
      </c>
      <c r="V9">
        <f t="shared" ref="V9:V35" si="12">1+G9*$I$4+G9^2*$J$4+E9*G9*$K$4</f>
        <v>712.21848717104706</v>
      </c>
      <c r="W9" s="11">
        <f t="shared" si="4"/>
        <v>6857.4440785127526</v>
      </c>
      <c r="X9" s="11">
        <f t="shared" ref="X9:X35" si="13">F9*$I$4+2*G9*F9*$J$4+E9*F9*$K$4</f>
        <v>49980.864789430365</v>
      </c>
      <c r="Y9" s="11">
        <f t="shared" ref="Y9:Y35" si="14">G9*F9*$K$4</f>
        <v>20.233973621424962</v>
      </c>
      <c r="Z9" s="11">
        <f t="shared" ref="Z9:Z35" si="15">G9*$I$4+2*G9^2*$J$4+E9*G9*$K$4</f>
        <v>745.9721033153678</v>
      </c>
      <c r="AA9" s="11">
        <f t="shared" ref="AA9:AA35" si="16">1+F9*$I$4+4*G9*F9*$J$4+E9*F9*$K$4+G9^-2*$H$4</f>
        <v>54652.817258427989</v>
      </c>
      <c r="AB9" cm="1">
        <f t="array" ref="AB9:AC9">TRANSPOSE(MMULT(MINVERSE(_xlfn.WRAPCOLS(S9:V9,2)),TRANSPOSE(O9:P9)))</f>
        <v>1.0280491103788656E-5</v>
      </c>
      <c r="AC9" s="1">
        <v>-1.2182768300323665E-6</v>
      </c>
      <c r="AD9">
        <v>0</v>
      </c>
      <c r="AF9">
        <v>-6.9815098857980668E-8</v>
      </c>
      <c r="AG9">
        <v>1.6396933800846424E-3</v>
      </c>
    </row>
    <row r="10" spans="1:33" x14ac:dyDescent="0.25">
      <c r="A10">
        <f>A9+1</f>
        <v>2</v>
      </c>
      <c r="B10" s="1">
        <f t="shared" ref="B10:B35" si="17">B9</f>
        <v>4.7209899999999998E-8</v>
      </c>
      <c r="C10" s="1">
        <f t="shared" ref="C10:C35" si="18">C9</f>
        <v>1.09987E-3</v>
      </c>
      <c r="D10" s="1">
        <f t="shared" ref="D10:D35" si="19">G10+I10+2*J10-H10+K10</f>
        <v>1.9051634963261103E-3</v>
      </c>
      <c r="E10" s="1">
        <f t="shared" ref="E10:E35" si="20">E9-AB9</f>
        <v>-1.1586795661102017E-6</v>
      </c>
      <c r="F10" s="1">
        <f t="shared" ref="F10:F35" si="21">F9-AC9</f>
        <v>3.0216316272592121E-6</v>
      </c>
      <c r="G10" s="1">
        <f t="shared" ref="G10:G35" si="22">G9-AD9</f>
        <v>2.6915348039269097E-8</v>
      </c>
      <c r="H10" s="1">
        <f>G10^(-1)*$H$4</f>
        <v>3.7411058827205313E-7</v>
      </c>
      <c r="I10" s="1">
        <f>G10*F10*$I$4</f>
        <v>1.7347684599358314E-3</v>
      </c>
      <c r="J10" s="1">
        <f t="shared" si="3"/>
        <v>1.0501262570330584E-4</v>
      </c>
      <c r="K10" s="1">
        <f t="shared" si="5"/>
        <v>-3.9283019776100086E-5</v>
      </c>
      <c r="L10" s="1">
        <f t="shared" si="6"/>
        <v>-4.0441699342210289E-5</v>
      </c>
      <c r="M10" s="1">
        <f t="shared" si="7"/>
        <v>1.8035196974902964E-3</v>
      </c>
      <c r="N10" s="1">
        <f t="shared" ref="N10:N35" si="23">G10+I10+2*J10-H10+K10</f>
        <v>1.9051634963261103E-3</v>
      </c>
      <c r="O10" s="1">
        <f t="shared" si="8"/>
        <v>-4.0488909242210287E-5</v>
      </c>
      <c r="P10" s="1">
        <f>M10-C10</f>
        <v>7.0364969749029641E-4</v>
      </c>
      <c r="Q10" s="1">
        <f>N10-D10</f>
        <v>0</v>
      </c>
      <c r="R10" cm="1">
        <f t="array" ref="R10">MAX(ABS(O10:Q10/B10:D10))</f>
        <v>857.63598826115469</v>
      </c>
      <c r="S10">
        <f t="shared" si="9"/>
        <v>34.903264478873083</v>
      </c>
      <c r="T10">
        <f t="shared" si="10"/>
        <v>-13.000598557982388</v>
      </c>
      <c r="U10">
        <f t="shared" si="11"/>
        <v>33.903264478873083</v>
      </c>
      <c r="V10">
        <f t="shared" si="12"/>
        <v>596.86947979366676</v>
      </c>
      <c r="W10" s="11">
        <f t="shared" si="4"/>
        <v>-1459.5025752142137</v>
      </c>
      <c r="X10" s="11">
        <f t="shared" si="13"/>
        <v>70796.435133821462</v>
      </c>
      <c r="Y10" s="11">
        <f t="shared" si="14"/>
        <v>33.903264478873083</v>
      </c>
      <c r="Z10" s="11">
        <f t="shared" si="15"/>
        <v>630.6230959379875</v>
      </c>
      <c r="AA10" s="11">
        <f t="shared" si="16"/>
        <v>78614.512649888289</v>
      </c>
      <c r="AB10" cm="1">
        <f t="array" ref="AB10:AC10">TRANSPOSE(MMULT(MINVERSE(_xlfn.WRAPCOLS(S10:V10,2)),TRANSPOSE(O10:P10)))</f>
        <v>-2.2573960663562321E-6</v>
      </c>
      <c r="AC10" s="1">
        <v>1.1297314074064092E-6</v>
      </c>
      <c r="AD10">
        <v>0</v>
      </c>
    </row>
    <row r="11" spans="1:33" x14ac:dyDescent="0.25">
      <c r="A11">
        <f t="shared" ref="A11:A35" si="24">A10+1</f>
        <v>3</v>
      </c>
      <c r="B11" s="1">
        <f t="shared" si="17"/>
        <v>4.7209899999999998E-8</v>
      </c>
      <c r="C11" s="1">
        <f t="shared" si="18"/>
        <v>1.09987E-3</v>
      </c>
      <c r="D11" s="1">
        <f t="shared" si="19"/>
        <v>1.2406475849912528E-3</v>
      </c>
      <c r="E11" s="1">
        <f t="shared" si="20"/>
        <v>1.0987165002460303E-6</v>
      </c>
      <c r="F11" s="1">
        <f t="shared" si="21"/>
        <v>1.8919002198528028E-6</v>
      </c>
      <c r="G11" s="1">
        <f t="shared" si="22"/>
        <v>2.6915348039269097E-8</v>
      </c>
      <c r="H11" s="1">
        <f t="shared" ref="H11:H35" si="25">G11^(-1)*$H$4</f>
        <v>3.7411058827205313E-7</v>
      </c>
      <c r="I11" s="1">
        <f t="shared" ref="I11:I35" si="26">G11*F11*$I$4</f>
        <v>1.086171061071158E-3</v>
      </c>
      <c r="J11" s="1">
        <f t="shared" si="3"/>
        <v>6.5750374024120282E-5</v>
      </c>
      <c r="K11" s="1">
        <f t="shared" si="5"/>
        <v>2.3322971112086875E-5</v>
      </c>
      <c r="L11" s="1">
        <f t="shared" si="6"/>
        <v>2.4421687612332906E-5</v>
      </c>
      <c r="M11" s="1">
        <f t="shared" si="7"/>
        <v>1.1771363064272181E-3</v>
      </c>
      <c r="N11" s="1">
        <f t="shared" si="23"/>
        <v>1.2406475849912528E-3</v>
      </c>
      <c r="O11" s="1">
        <f t="shared" si="8"/>
        <v>2.4374477712332905E-5</v>
      </c>
      <c r="P11" s="1">
        <f t="shared" ref="P11:P35" si="27">M11-C11</f>
        <v>7.7266306427218115E-5</v>
      </c>
      <c r="Q11" s="1">
        <f t="shared" ref="Q11:Q35" si="28">N11-D11</f>
        <v>0</v>
      </c>
      <c r="R11" cm="1">
        <f t="array" ref="R11">MAX(ABS(O11:Q11/B11:D11))</f>
        <v>516.30013434328191</v>
      </c>
      <c r="S11">
        <f t="shared" si="9"/>
        <v>22.227469603727872</v>
      </c>
      <c r="T11">
        <f t="shared" si="10"/>
        <v>12.327801893221141</v>
      </c>
      <c r="U11">
        <f t="shared" si="11"/>
        <v>21.227469603727872</v>
      </c>
      <c r="V11">
        <f t="shared" si="12"/>
        <v>622.19788024487025</v>
      </c>
      <c r="W11" s="11">
        <f t="shared" si="4"/>
        <v>866.53054153559538</v>
      </c>
      <c r="X11" s="11">
        <f t="shared" si="13"/>
        <v>46107.327998170127</v>
      </c>
      <c r="Y11" s="11">
        <f t="shared" si="14"/>
        <v>21.227469603727872</v>
      </c>
      <c r="Z11" s="11">
        <f t="shared" si="15"/>
        <v>655.95149638919099</v>
      </c>
      <c r="AA11" s="11">
        <f t="shared" si="16"/>
        <v>51007.943579737534</v>
      </c>
      <c r="AB11" cm="1">
        <f t="array" ref="AB11:AC11">TRANSPOSE(MMULT(MINVERSE(_xlfn.WRAPCOLS(S11:V11,2)),TRANSPOSE(O11:P11)))</f>
        <v>9.9685910818861607E-7</v>
      </c>
      <c r="AC11" s="1">
        <v>1.0443176823496012E-7</v>
      </c>
      <c r="AD11">
        <v>0</v>
      </c>
    </row>
    <row r="12" spans="1:33" x14ac:dyDescent="0.25">
      <c r="A12">
        <f t="shared" si="24"/>
        <v>4</v>
      </c>
      <c r="B12" s="1">
        <f t="shared" si="17"/>
        <v>4.7209899999999998E-8</v>
      </c>
      <c r="C12" s="1">
        <f t="shared" si="18"/>
        <v>1.09987E-3</v>
      </c>
      <c r="D12" s="1">
        <f t="shared" si="19"/>
        <v>1.1521526773202089E-3</v>
      </c>
      <c r="E12" s="1">
        <f t="shared" si="20"/>
        <v>1.0185739205741428E-7</v>
      </c>
      <c r="F12" s="1">
        <f t="shared" si="21"/>
        <v>1.7874684516178426E-6</v>
      </c>
      <c r="G12" s="1">
        <f t="shared" si="22"/>
        <v>2.6915348039269097E-8</v>
      </c>
      <c r="H12" s="1">
        <f t="shared" si="25"/>
        <v>3.7411058827205313E-7</v>
      </c>
      <c r="I12" s="1">
        <f t="shared" si="26"/>
        <v>1.0262150637500469E-3</v>
      </c>
      <c r="J12" s="1">
        <f t="shared" si="3"/>
        <v>6.2120992437609816E-5</v>
      </c>
      <c r="K12" s="1">
        <f t="shared" si="5"/>
        <v>2.0428239351752133E-6</v>
      </c>
      <c r="L12" s="1">
        <f t="shared" si="6"/>
        <v>2.1446813272326275E-6</v>
      </c>
      <c r="M12" s="1">
        <f t="shared" si="7"/>
        <v>1.0921663485744498E-3</v>
      </c>
      <c r="N12" s="1">
        <f t="shared" si="23"/>
        <v>1.1521526773202089E-3</v>
      </c>
      <c r="O12" s="1">
        <f t="shared" si="8"/>
        <v>2.0974714272326275E-6</v>
      </c>
      <c r="P12" s="1">
        <f t="shared" si="27"/>
        <v>-7.7036514255501842E-6</v>
      </c>
      <c r="Q12" s="1">
        <f t="shared" si="28"/>
        <v>0</v>
      </c>
      <c r="R12" cm="1">
        <f t="array" ref="R12">MAX(ABS(O12:Q12/B12:D12))</f>
        <v>44.428635248806451</v>
      </c>
      <c r="S12">
        <f t="shared" si="9"/>
        <v>21.055725891977762</v>
      </c>
      <c r="T12">
        <f t="shared" si="10"/>
        <v>1.142858735954891</v>
      </c>
      <c r="U12">
        <f t="shared" si="11"/>
        <v>20.055725891977762</v>
      </c>
      <c r="V12">
        <f t="shared" si="12"/>
        <v>611.01293708760397</v>
      </c>
      <c r="W12" s="11">
        <f t="shared" si="4"/>
        <v>75.898105876051218</v>
      </c>
      <c r="X12" s="11">
        <f t="shared" si="13"/>
        <v>42819.430418620686</v>
      </c>
      <c r="Y12" s="11">
        <f t="shared" si="14"/>
        <v>20.055725891977762</v>
      </c>
      <c r="Z12" s="11">
        <f t="shared" si="15"/>
        <v>644.76655323192472</v>
      </c>
      <c r="AA12" s="11">
        <f t="shared" si="16"/>
        <v>47450.357376343047</v>
      </c>
      <c r="AB12" cm="1">
        <f t="array" ref="AB12:AC12">TRANSPOSE(MMULT(MINVERSE(_xlfn.WRAPCOLS(S12:V12,2)),TRANSPOSE(O12:P12)))</f>
        <v>1.1182368498549537E-7</v>
      </c>
      <c r="AC12" s="1">
        <v>-1.2817159221130682E-8</v>
      </c>
      <c r="AD12">
        <v>0</v>
      </c>
    </row>
    <row r="13" spans="1:33" x14ac:dyDescent="0.25">
      <c r="A13">
        <f t="shared" si="24"/>
        <v>5</v>
      </c>
      <c r="B13" s="1">
        <f t="shared" si="17"/>
        <v>4.7209899999999998E-8</v>
      </c>
      <c r="C13" s="1">
        <f t="shared" si="18"/>
        <v>1.09987E-3</v>
      </c>
      <c r="D13" s="1">
        <f t="shared" si="19"/>
        <v>1.1581579662552823E-3</v>
      </c>
      <c r="E13" s="1">
        <f t="shared" si="20"/>
        <v>-9.9662929280810948E-9</v>
      </c>
      <c r="F13" s="1">
        <f t="shared" si="21"/>
        <v>1.8002856108389733E-6</v>
      </c>
      <c r="G13" s="1">
        <f t="shared" si="22"/>
        <v>2.6915348039269097E-8</v>
      </c>
      <c r="H13" s="1">
        <f t="shared" si="25"/>
        <v>3.7411058827205313E-7</v>
      </c>
      <c r="I13" s="1">
        <f t="shared" si="26"/>
        <v>1.0335736058576304E-3</v>
      </c>
      <c r="J13" s="1">
        <f t="shared" si="3"/>
        <v>6.256643506924163E-5</v>
      </c>
      <c r="K13" s="1">
        <f t="shared" si="5"/>
        <v>-2.0131450059846249E-7</v>
      </c>
      <c r="L13" s="1">
        <f t="shared" si="6"/>
        <v>-2.1128079352654357E-7</v>
      </c>
      <c r="M13" s="1">
        <f t="shared" si="7"/>
        <v>1.0977390120371125E-3</v>
      </c>
      <c r="N13" s="1">
        <f t="shared" si="23"/>
        <v>1.1581579662552823E-3</v>
      </c>
      <c r="O13" s="1">
        <f t="shared" si="8"/>
        <v>-2.5849069352654359E-7</v>
      </c>
      <c r="P13" s="1">
        <f t="shared" si="27"/>
        <v>-2.1309879628874252E-6</v>
      </c>
      <c r="Q13" s="1">
        <f t="shared" si="28"/>
        <v>0</v>
      </c>
      <c r="R13" cm="1">
        <f t="array" ref="R13">MAX(ABS(O13:Q13/B13:D13))</f>
        <v>5.4753493128886861</v>
      </c>
      <c r="S13">
        <f t="shared" si="9"/>
        <v>21.199536783756113</v>
      </c>
      <c r="T13">
        <f t="shared" si="10"/>
        <v>-0.11182364586286142</v>
      </c>
      <c r="U13">
        <f t="shared" si="11"/>
        <v>20.199536783756113</v>
      </c>
      <c r="V13">
        <f t="shared" si="12"/>
        <v>609.75825470578627</v>
      </c>
      <c r="W13" s="11">
        <f t="shared" si="4"/>
        <v>-7.4795429100432811</v>
      </c>
      <c r="X13" s="11">
        <f t="shared" si="13"/>
        <v>43042.548058649416</v>
      </c>
      <c r="Y13" s="11">
        <f t="shared" si="14"/>
        <v>20.199536783756113</v>
      </c>
      <c r="Z13" s="11">
        <f t="shared" si="15"/>
        <v>643.51187085010702</v>
      </c>
      <c r="AA13" s="11">
        <f t="shared" si="16"/>
        <v>47706.574542410366</v>
      </c>
      <c r="AB13" cm="1">
        <f t="array" ref="AB13:AC13">TRANSPOSE(MMULT(MINVERSE(_xlfn.WRAPCOLS(S13:V13,2)),TRANSPOSE(O13:P13)))</f>
        <v>-8.8617203048922261E-9</v>
      </c>
      <c r="AC13" s="1">
        <v>-3.496433047534935E-9</v>
      </c>
      <c r="AD13">
        <v>0</v>
      </c>
    </row>
    <row r="14" spans="1:33" x14ac:dyDescent="0.25">
      <c r="A14">
        <f t="shared" si="24"/>
        <v>6</v>
      </c>
      <c r="B14" s="1">
        <f t="shared" si="17"/>
        <v>4.7209899999999998E-8</v>
      </c>
      <c r="C14" s="1">
        <f t="shared" si="18"/>
        <v>1.09987E-3</v>
      </c>
      <c r="D14" s="1">
        <f t="shared" si="19"/>
        <v>1.1605873127230877E-3</v>
      </c>
      <c r="E14" s="1">
        <f t="shared" si="20"/>
        <v>-1.1045726231888687E-9</v>
      </c>
      <c r="F14" s="1">
        <f t="shared" si="21"/>
        <v>1.8037820438865083E-6</v>
      </c>
      <c r="G14" s="1">
        <f t="shared" si="22"/>
        <v>2.6915348039269097E-8</v>
      </c>
      <c r="H14" s="1">
        <f t="shared" si="25"/>
        <v>3.7411058827205313E-7</v>
      </c>
      <c r="I14" s="1">
        <f t="shared" si="26"/>
        <v>1.0355809656292262E-3</v>
      </c>
      <c r="J14" s="1">
        <f t="shared" si="3"/>
        <v>6.2687948761249975E-5</v>
      </c>
      <c r="K14" s="1">
        <f t="shared" si="5"/>
        <v>-2.2355188405733934E-8</v>
      </c>
      <c r="L14" s="1">
        <f t="shared" si="6"/>
        <v>-2.3459761028922803E-8</v>
      </c>
      <c r="M14" s="1">
        <f t="shared" si="7"/>
        <v>1.100050341245957E-3</v>
      </c>
      <c r="N14" s="1">
        <f t="shared" si="23"/>
        <v>1.1605873127230877E-3</v>
      </c>
      <c r="O14" s="1">
        <f t="shared" si="8"/>
        <v>-7.0669661028922798E-8</v>
      </c>
      <c r="P14" s="1">
        <f t="shared" si="27"/>
        <v>1.8034124595707121E-7</v>
      </c>
      <c r="Q14" s="1">
        <f t="shared" si="28"/>
        <v>0</v>
      </c>
      <c r="R14" cm="1">
        <f t="array" ref="R14">MAX(ABS(O14:Q14/B14:D14))</f>
        <v>1.4969246075277176</v>
      </c>
      <c r="S14">
        <f t="shared" si="9"/>
        <v>21.238767407791769</v>
      </c>
      <c r="T14">
        <f t="shared" si="10"/>
        <v>-1.2393508673346399E-2</v>
      </c>
      <c r="U14">
        <f t="shared" si="11"/>
        <v>20.238767407791769</v>
      </c>
      <c r="V14">
        <f t="shared" si="12"/>
        <v>609.8576848429758</v>
      </c>
      <c r="W14" s="11">
        <f t="shared" si="4"/>
        <v>-0.83057400458348307</v>
      </c>
      <c r="X14" s="11">
        <f t="shared" si="13"/>
        <v>43132.806838296645</v>
      </c>
      <c r="Y14" s="11">
        <f t="shared" si="14"/>
        <v>20.238767407791769</v>
      </c>
      <c r="Z14" s="11">
        <f t="shared" si="15"/>
        <v>643.61130098729654</v>
      </c>
      <c r="AA14" s="11">
        <f t="shared" si="16"/>
        <v>47805.862645537352</v>
      </c>
      <c r="AB14" cm="1">
        <f t="array" ref="AB14:AC14">TRANSPOSE(MMULT(MINVERSE(_xlfn.WRAPCOLS(S14:V14,2)),TRANSPOSE(O14:P14)))</f>
        <v>-3.6091072849801166E-9</v>
      </c>
      <c r="AC14" s="1">
        <v>2.9563703292687694E-10</v>
      </c>
      <c r="AD14">
        <v>0</v>
      </c>
    </row>
    <row r="15" spans="1:33" x14ac:dyDescent="0.25">
      <c r="A15">
        <f t="shared" si="24"/>
        <v>7</v>
      </c>
      <c r="B15" s="1">
        <f t="shared" si="17"/>
        <v>4.7209899999999998E-8</v>
      </c>
      <c r="C15" s="1">
        <f t="shared" si="18"/>
        <v>1.09987E-3</v>
      </c>
      <c r="D15" s="1">
        <f t="shared" si="19"/>
        <v>1.1604700692988187E-3</v>
      </c>
      <c r="E15" s="1">
        <f t="shared" si="20"/>
        <v>2.5045346617912479E-9</v>
      </c>
      <c r="F15" s="1">
        <f t="shared" si="21"/>
        <v>1.8034864068535814E-6</v>
      </c>
      <c r="G15" s="1">
        <f t="shared" si="22"/>
        <v>2.6915348039269097E-8</v>
      </c>
      <c r="H15" s="1">
        <f t="shared" si="25"/>
        <v>3.7411058827205313E-7</v>
      </c>
      <c r="I15" s="1">
        <f t="shared" si="26"/>
        <v>1.0354112355417846E-3</v>
      </c>
      <c r="J15" s="1">
        <f t="shared" si="3"/>
        <v>6.2677674305289594E-5</v>
      </c>
      <c r="K15" s="1">
        <f t="shared" si="5"/>
        <v>5.0680386687641508E-8</v>
      </c>
      <c r="L15" s="1">
        <f t="shared" si="6"/>
        <v>5.3184921349432756E-8</v>
      </c>
      <c r="M15" s="1">
        <f t="shared" si="7"/>
        <v>1.0999430766406157E-3</v>
      </c>
      <c r="N15" s="1">
        <f t="shared" si="23"/>
        <v>1.1604700692988187E-3</v>
      </c>
      <c r="O15" s="1">
        <f t="shared" si="8"/>
        <v>5.9750213494327575E-9</v>
      </c>
      <c r="P15" s="1">
        <f t="shared" si="27"/>
        <v>7.3076640615685542E-8</v>
      </c>
      <c r="Q15" s="1">
        <f t="shared" si="28"/>
        <v>0</v>
      </c>
      <c r="R15" cm="1">
        <f t="array" ref="R15">MAX(ABS(O15:Q15/B15:D15))</f>
        <v>0.12656288933958254</v>
      </c>
      <c r="S15">
        <f t="shared" si="9"/>
        <v>21.23545030572458</v>
      </c>
      <c r="T15">
        <f t="shared" si="10"/>
        <v>2.8101341099687076E-2</v>
      </c>
      <c r="U15">
        <f t="shared" si="11"/>
        <v>20.23545030572458</v>
      </c>
      <c r="V15">
        <f t="shared" si="12"/>
        <v>609.89817969274884</v>
      </c>
      <c r="W15" s="11">
        <f t="shared" si="4"/>
        <v>1.8829549078726224</v>
      </c>
      <c r="X15" s="11">
        <f t="shared" si="13"/>
        <v>43128.450832047056</v>
      </c>
      <c r="Y15" s="11">
        <f t="shared" si="14"/>
        <v>20.23545030572458</v>
      </c>
      <c r="Z15" s="11">
        <f t="shared" si="15"/>
        <v>643.65179583706959</v>
      </c>
      <c r="AA15" s="11">
        <f t="shared" si="16"/>
        <v>47800.743174817944</v>
      </c>
      <c r="AB15" cm="1">
        <f t="array" ref="AB15:AC15">TRANSPOSE(MMULT(MINVERSE(_xlfn.WRAPCOLS(S15:V15,2)),TRANSPOSE(O15:P15)))</f>
        <v>1.6720204344086372E-10</v>
      </c>
      <c r="AC15" s="1">
        <v>1.1981006739656452E-10</v>
      </c>
      <c r="AD15">
        <v>0</v>
      </c>
    </row>
    <row r="16" spans="1:33" x14ac:dyDescent="0.25">
      <c r="A16">
        <f t="shared" si="24"/>
        <v>8</v>
      </c>
      <c r="B16" s="1">
        <f t="shared" si="17"/>
        <v>4.7209899999999998E-8</v>
      </c>
      <c r="C16" s="1">
        <f t="shared" si="18"/>
        <v>1.09987E-3</v>
      </c>
      <c r="D16" s="1">
        <f t="shared" si="19"/>
        <v>1.1603895701499066E-3</v>
      </c>
      <c r="E16" s="1">
        <f t="shared" si="20"/>
        <v>2.3373326183503842E-9</v>
      </c>
      <c r="F16" s="1">
        <f t="shared" si="21"/>
        <v>1.8033665967861848E-6</v>
      </c>
      <c r="G16" s="1">
        <f t="shared" si="22"/>
        <v>2.6915348039269097E-8</v>
      </c>
      <c r="H16" s="1">
        <f t="shared" si="25"/>
        <v>3.7411058827205313E-7</v>
      </c>
      <c r="I16" s="1">
        <f t="shared" si="26"/>
        <v>1.035342450609754E-3</v>
      </c>
      <c r="J16" s="1">
        <f t="shared" si="3"/>
        <v>6.2673510472197066E-5</v>
      </c>
      <c r="K16" s="1">
        <f t="shared" si="5"/>
        <v>4.7293835991220484E-8</v>
      </c>
      <c r="L16" s="1">
        <f t="shared" si="6"/>
        <v>4.963116860957087E-8</v>
      </c>
      <c r="M16" s="1">
        <f t="shared" si="7"/>
        <v>1.0998666215147287E-3</v>
      </c>
      <c r="N16" s="1">
        <f t="shared" si="23"/>
        <v>1.1603895701499066E-3</v>
      </c>
      <c r="O16" s="1">
        <f t="shared" si="8"/>
        <v>2.421268609570872E-9</v>
      </c>
      <c r="P16" s="1">
        <f t="shared" si="27"/>
        <v>-3.3784852712746144E-9</v>
      </c>
      <c r="Q16" s="1">
        <f t="shared" si="28"/>
        <v>0</v>
      </c>
      <c r="R16" cm="1">
        <f t="array" ref="R16">MAX(ABS(O16:Q16/B16:D16))</f>
        <v>5.1287306466882412E-2</v>
      </c>
      <c r="S16">
        <f t="shared" si="9"/>
        <v>21.234106014658277</v>
      </c>
      <c r="T16">
        <f t="shared" si="10"/>
        <v>2.6225303316310598E-2</v>
      </c>
      <c r="U16">
        <f t="shared" si="11"/>
        <v>20.234106014658277</v>
      </c>
      <c r="V16">
        <f t="shared" si="12"/>
        <v>609.89630365496544</v>
      </c>
      <c r="W16" s="11">
        <f t="shared" si="4"/>
        <v>1.7571326189882246</v>
      </c>
      <c r="X16" s="11">
        <f t="shared" si="13"/>
        <v>43125.460005073743</v>
      </c>
      <c r="Y16" s="11">
        <f t="shared" si="14"/>
        <v>20.234106014658277</v>
      </c>
      <c r="Z16" s="11">
        <f t="shared" si="15"/>
        <v>643.64991979928618</v>
      </c>
      <c r="AA16" s="11">
        <f t="shared" si="16"/>
        <v>47797.442945708237</v>
      </c>
      <c r="AB16" cm="1">
        <f t="array" ref="AB16:AC16">TRANSPOSE(MMULT(MINVERSE(_xlfn.WRAPCOLS(S16:V16,2)),TRANSPOSE(O16:P16)))</f>
        <v>1.1931079529625587E-10</v>
      </c>
      <c r="AC16" s="1">
        <v>-5.5445724343711363E-12</v>
      </c>
      <c r="AD16">
        <v>0</v>
      </c>
    </row>
    <row r="17" spans="1:30" x14ac:dyDescent="0.25">
      <c r="A17">
        <f t="shared" si="24"/>
        <v>9</v>
      </c>
      <c r="B17" s="1">
        <f t="shared" si="17"/>
        <v>4.7209899999999998E-8</v>
      </c>
      <c r="C17" s="1">
        <f t="shared" si="18"/>
        <v>1.09987E-3</v>
      </c>
      <c r="D17" s="1">
        <f t="shared" si="19"/>
        <v>1.1603907247588062E-3</v>
      </c>
      <c r="E17" s="1">
        <f t="shared" si="20"/>
        <v>2.2180218230541283E-9</v>
      </c>
      <c r="F17" s="1">
        <f t="shared" si="21"/>
        <v>1.8033721413586192E-6</v>
      </c>
      <c r="G17" s="1">
        <f t="shared" si="22"/>
        <v>2.6915348039269097E-8</v>
      </c>
      <c r="H17" s="1">
        <f t="shared" si="25"/>
        <v>3.7411058827205313E-7</v>
      </c>
      <c r="I17" s="1">
        <f t="shared" si="26"/>
        <v>1.0353456338400647E-3</v>
      </c>
      <c r="J17" s="1">
        <f t="shared" si="3"/>
        <v>6.2673703166139127E-5</v>
      </c>
      <c r="K17" s="1">
        <f t="shared" si="5"/>
        <v>4.4879826696137793E-8</v>
      </c>
      <c r="L17" s="1">
        <f t="shared" si="6"/>
        <v>4.7097848519191923E-8</v>
      </c>
      <c r="M17" s="1">
        <f t="shared" si="7"/>
        <v>1.0998675889742585E-3</v>
      </c>
      <c r="N17" s="1">
        <f t="shared" si="23"/>
        <v>1.1603907247588062E-3</v>
      </c>
      <c r="O17" s="1">
        <f t="shared" si="8"/>
        <v>-1.1205148080807586E-10</v>
      </c>
      <c r="P17" s="1">
        <f t="shared" si="27"/>
        <v>-2.4110257414687586E-9</v>
      </c>
      <c r="Q17" s="1">
        <f t="shared" si="28"/>
        <v>0</v>
      </c>
      <c r="R17" cm="1">
        <f t="array" ref="R17">MAX(ABS(O17:Q17/B17:D17))</f>
        <v>2.3734742248569867E-3</v>
      </c>
      <c r="S17">
        <f t="shared" si="9"/>
        <v>21.234168225784202</v>
      </c>
      <c r="T17">
        <f t="shared" si="10"/>
        <v>2.4886614175112166E-2</v>
      </c>
      <c r="U17">
        <f t="shared" si="11"/>
        <v>20.234168225784202</v>
      </c>
      <c r="V17">
        <f t="shared" si="12"/>
        <v>609.89496496582422</v>
      </c>
      <c r="W17" s="11">
        <f t="shared" si="4"/>
        <v>1.6674436693390993</v>
      </c>
      <c r="X17" s="11">
        <f t="shared" si="13"/>
        <v>43125.502902861939</v>
      </c>
      <c r="Y17" s="11">
        <f t="shared" si="14"/>
        <v>20.234168225784202</v>
      </c>
      <c r="Z17" s="11">
        <f t="shared" si="15"/>
        <v>643.64858111014496</v>
      </c>
      <c r="AA17" s="11">
        <f t="shared" si="16"/>
        <v>47797.500162014025</v>
      </c>
      <c r="AB17" cm="1">
        <f t="array" ref="AB17:AC17">TRANSPOSE(MMULT(MINVERSE(_xlfn.WRAPCOLS(S17:V17,2)),TRANSPOSE(O17:P17)))</f>
        <v>-1.5099899101746928E-12</v>
      </c>
      <c r="AC17" s="1">
        <v>-3.9531202935370301E-12</v>
      </c>
      <c r="AD17">
        <v>0</v>
      </c>
    </row>
    <row r="18" spans="1:30" x14ac:dyDescent="0.25">
      <c r="A18">
        <f t="shared" si="24"/>
        <v>10</v>
      </c>
      <c r="B18" s="1">
        <f t="shared" si="17"/>
        <v>4.7209899999999998E-8</v>
      </c>
      <c r="C18" s="1">
        <f t="shared" si="18"/>
        <v>1.09987E-3</v>
      </c>
      <c r="D18" s="1">
        <f t="shared" si="19"/>
        <v>1.1603932997325309E-3</v>
      </c>
      <c r="E18" s="1">
        <f t="shared" si="20"/>
        <v>2.2195318129643031E-9</v>
      </c>
      <c r="F18" s="1">
        <f t="shared" si="21"/>
        <v>1.8033760944789127E-6</v>
      </c>
      <c r="G18" s="1">
        <f t="shared" si="22"/>
        <v>2.6915348039269097E-8</v>
      </c>
      <c r="H18" s="1">
        <f t="shared" si="25"/>
        <v>3.7411058827205313E-7</v>
      </c>
      <c r="I18" s="1">
        <f t="shared" si="26"/>
        <v>1.0353479033915023E-3</v>
      </c>
      <c r="J18" s="1">
        <f t="shared" si="3"/>
        <v>6.267384055136438E-5</v>
      </c>
      <c r="K18" s="1">
        <f t="shared" si="5"/>
        <v>4.4910478532754246E-8</v>
      </c>
      <c r="L18" s="1">
        <f t="shared" si="6"/>
        <v>4.7130010345718551E-8</v>
      </c>
      <c r="M18" s="1">
        <f t="shared" si="7"/>
        <v>1.0998700305158784E-3</v>
      </c>
      <c r="N18" s="1">
        <f t="shared" si="23"/>
        <v>1.1603932997325309E-3</v>
      </c>
      <c r="O18" s="1">
        <f t="shared" si="8"/>
        <v>-7.9889654281447262E-11</v>
      </c>
      <c r="P18" s="1">
        <f t="shared" si="27"/>
        <v>3.0515878452624934E-11</v>
      </c>
      <c r="Q18" s="1">
        <f t="shared" si="28"/>
        <v>0</v>
      </c>
      <c r="R18" cm="1">
        <f t="array" ref="R18">MAX(ABS(O18:Q18/B18:D18))</f>
        <v>1.6922224847213669E-3</v>
      </c>
      <c r="S18">
        <f t="shared" si="9"/>
        <v>21.234212580523419</v>
      </c>
      <c r="T18">
        <f t="shared" si="10"/>
        <v>2.4903556540562425E-2</v>
      </c>
      <c r="U18">
        <f t="shared" si="11"/>
        <v>20.234212580523419</v>
      </c>
      <c r="V18">
        <f t="shared" si="12"/>
        <v>609.89498190818972</v>
      </c>
      <c r="W18" s="11">
        <f t="shared" si="4"/>
        <v>1.6685824930530535</v>
      </c>
      <c r="X18" s="11">
        <f t="shared" si="13"/>
        <v>43125.598572207222</v>
      </c>
      <c r="Y18" s="11">
        <f t="shared" si="14"/>
        <v>20.234212580523419</v>
      </c>
      <c r="Z18" s="11">
        <f t="shared" si="15"/>
        <v>643.64859805251047</v>
      </c>
      <c r="AA18" s="11">
        <f t="shared" si="16"/>
        <v>47797.606040049526</v>
      </c>
      <c r="AB18" cm="1">
        <f t="array" ref="AB18:AC18">TRANSPOSE(MMULT(MINVERSE(_xlfn.WRAPCOLS(S18:V18,2)),TRANSPOSE(O18:P18)))</f>
        <v>-3.8101348750366904E-12</v>
      </c>
      <c r="AC18" s="1">
        <v>5.0190221710203474E-14</v>
      </c>
      <c r="AD18">
        <v>0</v>
      </c>
    </row>
    <row r="19" spans="1:30" x14ac:dyDescent="0.25">
      <c r="A19">
        <f t="shared" si="24"/>
        <v>11</v>
      </c>
      <c r="B19" s="1">
        <f t="shared" si="17"/>
        <v>4.7209899999999998E-8</v>
      </c>
      <c r="C19" s="1">
        <f t="shared" si="18"/>
        <v>1.09987E-3</v>
      </c>
      <c r="D19" s="1">
        <f t="shared" si="19"/>
        <v>1.1603933445227419E-3</v>
      </c>
      <c r="E19" s="1">
        <f t="shared" si="20"/>
        <v>2.2233419478393398E-9</v>
      </c>
      <c r="F19" s="1">
        <f t="shared" si="21"/>
        <v>1.8033760442886909E-6</v>
      </c>
      <c r="G19" s="1">
        <f t="shared" si="22"/>
        <v>2.6915348039269097E-8</v>
      </c>
      <c r="H19" s="1">
        <f t="shared" si="25"/>
        <v>3.7411058827205313E-7</v>
      </c>
      <c r="I19" s="1">
        <f t="shared" si="26"/>
        <v>1.0353478745764697E-3</v>
      </c>
      <c r="J19" s="1">
        <f t="shared" si="3"/>
        <v>6.2673838807072684E-5</v>
      </c>
      <c r="K19" s="1">
        <f t="shared" si="5"/>
        <v>4.4987572359715532E-8</v>
      </c>
      <c r="L19" s="1">
        <f t="shared" si="6"/>
        <v>4.7210914307554875E-8</v>
      </c>
      <c r="M19" s="1">
        <f t="shared" si="7"/>
        <v>1.0998700770001907E-3</v>
      </c>
      <c r="N19" s="1">
        <f t="shared" si="23"/>
        <v>1.1603933445227419E-3</v>
      </c>
      <c r="O19" s="1">
        <f t="shared" si="8"/>
        <v>1.014307554876183E-12</v>
      </c>
      <c r="P19" s="1">
        <f t="shared" si="27"/>
        <v>7.7000190728745976E-11</v>
      </c>
      <c r="Q19" s="1">
        <f t="shared" si="28"/>
        <v>0</v>
      </c>
      <c r="R19" cm="1">
        <f t="array" ref="R19">MAX(ABS(O19:Q19/B19:D19))</f>
        <v>2.1485060440208155E-5</v>
      </c>
      <c r="S19">
        <f t="shared" si="9"/>
        <v>21.234212017379868</v>
      </c>
      <c r="T19">
        <f t="shared" si="10"/>
        <v>2.4946306956994135E-2</v>
      </c>
      <c r="U19">
        <f t="shared" si="11"/>
        <v>20.234212017379868</v>
      </c>
      <c r="V19">
        <f t="shared" si="12"/>
        <v>609.89502465860608</v>
      </c>
      <c r="W19" s="11">
        <f t="shared" si="4"/>
        <v>1.6714468003192575</v>
      </c>
      <c r="X19" s="11">
        <f t="shared" si="13"/>
        <v>43125.600236321348</v>
      </c>
      <c r="Y19" s="11">
        <f t="shared" si="14"/>
        <v>20.234212017379868</v>
      </c>
      <c r="Z19" s="11">
        <f t="shared" si="15"/>
        <v>643.64864080292682</v>
      </c>
      <c r="AA19" s="11">
        <f t="shared" si="16"/>
        <v>47797.607574550493</v>
      </c>
      <c r="AB19" cm="1">
        <f t="array" ref="AB19:AC19">TRANSPOSE(MMULT(MINVERSE(_xlfn.WRAPCOLS(S19:V19,2)),TRANSPOSE(O19:P19)))</f>
        <v>-7.2541098422742927E-14</v>
      </c>
      <c r="AC19" s="1">
        <v>1.2625451470825944E-13</v>
      </c>
      <c r="AD19">
        <v>0</v>
      </c>
    </row>
    <row r="20" spans="1:30" x14ac:dyDescent="0.25">
      <c r="A20">
        <f t="shared" si="24"/>
        <v>12</v>
      </c>
      <c r="B20" s="1">
        <f t="shared" si="17"/>
        <v>4.7209899999999998E-8</v>
      </c>
      <c r="C20" s="1">
        <f t="shared" si="18"/>
        <v>1.09987E-3</v>
      </c>
      <c r="D20" s="1">
        <f t="shared" si="19"/>
        <v>1.160393264727007E-3</v>
      </c>
      <c r="E20" s="1">
        <f t="shared" si="20"/>
        <v>2.2234144889377626E-9</v>
      </c>
      <c r="F20" s="1">
        <f t="shared" si="21"/>
        <v>1.8033759180341761E-6</v>
      </c>
      <c r="G20" s="1">
        <f t="shared" si="22"/>
        <v>2.6915348039269097E-8</v>
      </c>
      <c r="H20" s="1">
        <f t="shared" si="25"/>
        <v>3.7411058827205313E-7</v>
      </c>
      <c r="I20" s="1">
        <f t="shared" si="26"/>
        <v>1.0353478020916744E-3</v>
      </c>
      <c r="J20" s="1">
        <f t="shared" si="3"/>
        <v>6.2673834419271743E-5</v>
      </c>
      <c r="K20" s="1">
        <f t="shared" si="5"/>
        <v>4.4989037021994344E-8</v>
      </c>
      <c r="L20" s="1">
        <f t="shared" si="6"/>
        <v>4.7212451510932108E-8</v>
      </c>
      <c r="M20" s="1">
        <f t="shared" si="7"/>
        <v>1.0998700014660024E-3</v>
      </c>
      <c r="N20" s="1">
        <f t="shared" si="23"/>
        <v>1.160393264727007E-3</v>
      </c>
      <c r="O20" s="1">
        <f t="shared" si="8"/>
        <v>2.5515109321093646E-12</v>
      </c>
      <c r="P20" s="1">
        <f t="shared" si="27"/>
        <v>1.4660024496432333E-12</v>
      </c>
      <c r="Q20" s="1">
        <f t="shared" si="28"/>
        <v>0</v>
      </c>
      <c r="R20" cm="1">
        <f t="array" ref="R20">MAX(ABS(O20:Q20/B20:D20))</f>
        <v>5.4046099062047679E-5</v>
      </c>
      <c r="S20">
        <f t="shared" si="9"/>
        <v>21.234210600780912</v>
      </c>
      <c r="T20">
        <f t="shared" si="10"/>
        <v>2.4947120881505389E-2</v>
      </c>
      <c r="U20">
        <f t="shared" si="11"/>
        <v>20.234210600780912</v>
      </c>
      <c r="V20">
        <f t="shared" si="12"/>
        <v>609.89502547253062</v>
      </c>
      <c r="W20" s="11">
        <f t="shared" si="4"/>
        <v>1.6715012176827884</v>
      </c>
      <c r="X20" s="11">
        <f t="shared" si="13"/>
        <v>43125.597271628678</v>
      </c>
      <c r="Y20" s="11">
        <f t="shared" si="14"/>
        <v>20.234210600780912</v>
      </c>
      <c r="Z20" s="11">
        <f t="shared" si="15"/>
        <v>643.64864161685136</v>
      </c>
      <c r="AA20" s="11">
        <f t="shared" si="16"/>
        <v>47797.604283813293</v>
      </c>
      <c r="AB20" cm="1">
        <f t="array" ref="AB20:AC20">TRANSPOSE(MMULT(MINVERSE(_xlfn.WRAPCOLS(S20:V20,2)),TRANSPOSE(O20:P20)))</f>
        <v>1.1787448287171174E-13</v>
      </c>
      <c r="AC20" s="1">
        <v>2.3988748220017797E-15</v>
      </c>
      <c r="AD20">
        <v>0</v>
      </c>
    </row>
    <row r="21" spans="1:30" x14ac:dyDescent="0.25">
      <c r="A21">
        <f t="shared" si="24"/>
        <v>13</v>
      </c>
      <c r="B21" s="1">
        <f t="shared" si="17"/>
        <v>4.7209899999999998E-8</v>
      </c>
      <c r="C21" s="1">
        <f t="shared" si="18"/>
        <v>1.09987E-3</v>
      </c>
      <c r="D21" s="1">
        <f t="shared" si="19"/>
        <v>1.1603932607978774E-3</v>
      </c>
      <c r="E21" s="1">
        <f t="shared" si="20"/>
        <v>2.2232966144548907E-9</v>
      </c>
      <c r="F21" s="1">
        <f t="shared" si="21"/>
        <v>1.8033759156353013E-6</v>
      </c>
      <c r="G21" s="1">
        <f t="shared" si="22"/>
        <v>2.6915348039269097E-8</v>
      </c>
      <c r="H21" s="1">
        <f t="shared" si="25"/>
        <v>3.7411058827205313E-7</v>
      </c>
      <c r="I21" s="1">
        <f t="shared" si="26"/>
        <v>1.0353478007144408E-3</v>
      </c>
      <c r="J21" s="1">
        <f t="shared" si="3"/>
        <v>6.2673834335902166E-5</v>
      </c>
      <c r="K21" s="1">
        <f t="shared" si="5"/>
        <v>4.4986651865041611E-8</v>
      </c>
      <c r="L21" s="1">
        <f t="shared" si="6"/>
        <v>4.7209948479496504E-8</v>
      </c>
      <c r="M21" s="1">
        <f t="shared" si="7"/>
        <v>1.0998699976178432E-3</v>
      </c>
      <c r="N21" s="1">
        <f t="shared" si="23"/>
        <v>1.1603932607978774E-3</v>
      </c>
      <c r="O21" s="1">
        <f t="shared" si="8"/>
        <v>4.8479496505982959E-14</v>
      </c>
      <c r="P21" s="1">
        <f t="shared" si="27"/>
        <v>-2.3821567548404365E-12</v>
      </c>
      <c r="Q21" s="1">
        <f t="shared" si="28"/>
        <v>0</v>
      </c>
      <c r="R21" cm="1">
        <f t="array" ref="R21">MAX(ABS(O21:Q21/B21:D21))</f>
        <v>1.0268925904520654E-6</v>
      </c>
      <c r="S21">
        <f t="shared" si="9"/>
        <v>21.234210573865091</v>
      </c>
      <c r="T21">
        <f t="shared" si="10"/>
        <v>2.4945798308054656E-2</v>
      </c>
      <c r="U21">
        <f t="shared" si="11"/>
        <v>20.234210573865091</v>
      </c>
      <c r="V21">
        <f t="shared" si="12"/>
        <v>609.89502414995718</v>
      </c>
      <c r="W21" s="11">
        <f t="shared" si="4"/>
        <v>1.6714126006993018</v>
      </c>
      <c r="X21" s="11">
        <f t="shared" si="13"/>
        <v>43125.597125647677</v>
      </c>
      <c r="Y21" s="11">
        <f t="shared" si="14"/>
        <v>20.234210573865091</v>
      </c>
      <c r="Z21" s="11">
        <f t="shared" si="15"/>
        <v>643.64864029427793</v>
      </c>
      <c r="AA21" s="11">
        <f t="shared" si="16"/>
        <v>47797.604131637345</v>
      </c>
      <c r="AB21" cm="1">
        <f t="array" ref="AB21:AC21">TRANSPOSE(MMULT(MINVERSE(_xlfn.WRAPCOLS(S21:V21,2)),TRANSPOSE(O21:P21)))</f>
        <v>6.0052244566111279E-15</v>
      </c>
      <c r="AC21" s="1">
        <v>-3.9060927956886872E-15</v>
      </c>
      <c r="AD21">
        <v>0</v>
      </c>
    </row>
    <row r="22" spans="1:30" x14ac:dyDescent="0.25">
      <c r="A22">
        <f t="shared" si="24"/>
        <v>14</v>
      </c>
      <c r="B22" s="1">
        <f t="shared" si="17"/>
        <v>4.7209899999999998E-8</v>
      </c>
      <c r="C22" s="1">
        <f t="shared" si="18"/>
        <v>1.09987E-3</v>
      </c>
      <c r="D22" s="1">
        <f t="shared" si="19"/>
        <v>1.1603932631905178E-3</v>
      </c>
      <c r="E22" s="1">
        <f t="shared" si="20"/>
        <v>2.2232906092304343E-9</v>
      </c>
      <c r="F22" s="1">
        <f t="shared" si="21"/>
        <v>1.8033759195413942E-6</v>
      </c>
      <c r="G22" s="1">
        <f t="shared" si="22"/>
        <v>2.6915348039269097E-8</v>
      </c>
      <c r="H22" s="1">
        <f t="shared" si="25"/>
        <v>3.7411058827205313E-7</v>
      </c>
      <c r="I22" s="1">
        <f t="shared" si="26"/>
        <v>1.035347802956993E-3</v>
      </c>
      <c r="J22" s="1">
        <f t="shared" si="3"/>
        <v>6.267383447165302E-5</v>
      </c>
      <c r="K22" s="1">
        <f t="shared" si="5"/>
        <v>4.4986530451505764E-8</v>
      </c>
      <c r="L22" s="1">
        <f t="shared" si="6"/>
        <v>4.7209821060736196E-8</v>
      </c>
      <c r="M22" s="1">
        <f t="shared" si="7"/>
        <v>1.0998699998786392E-3</v>
      </c>
      <c r="N22" s="1">
        <f t="shared" si="23"/>
        <v>1.1603932631905178E-3</v>
      </c>
      <c r="O22" s="1">
        <f t="shared" si="8"/>
        <v>-7.8939263802324025E-14</v>
      </c>
      <c r="P22" s="1">
        <f t="shared" si="27"/>
        <v>-1.2136082069846843E-13</v>
      </c>
      <c r="Q22" s="1">
        <f t="shared" si="28"/>
        <v>0</v>
      </c>
      <c r="R22" cm="1">
        <f t="array" ref="R22">MAX(ABS(O22:Q22/B22:D22))</f>
        <v>1.6720913156419315E-6</v>
      </c>
      <c r="S22">
        <f t="shared" si="9"/>
        <v>21.234210617692177</v>
      </c>
      <c r="T22">
        <f t="shared" si="10"/>
        <v>2.4945730928328032E-2</v>
      </c>
      <c r="U22">
        <f t="shared" si="11"/>
        <v>20.234210617692177</v>
      </c>
      <c r="V22">
        <f t="shared" si="12"/>
        <v>609.89502408257749</v>
      </c>
      <c r="W22" s="11">
        <f t="shared" si="4"/>
        <v>1.6714080897587158</v>
      </c>
      <c r="X22" s="11">
        <f t="shared" si="13"/>
        <v>43125.597214542693</v>
      </c>
      <c r="Y22" s="11">
        <f t="shared" si="14"/>
        <v>20.234210617692177</v>
      </c>
      <c r="Z22" s="11">
        <f t="shared" si="15"/>
        <v>643.64864022689824</v>
      </c>
      <c r="AA22" s="11">
        <f t="shared" si="16"/>
        <v>47797.60423061961</v>
      </c>
      <c r="AB22" cm="1">
        <f t="array" ref="AB22:AC22">TRANSPOSE(MMULT(MINVERSE(_xlfn.WRAPCOLS(S22:V22,2)),TRANSPOSE(O22:P22)))</f>
        <v>-3.5280732644944983E-15</v>
      </c>
      <c r="AC22" s="1">
        <v>-1.9884210485983081E-16</v>
      </c>
      <c r="AD22">
        <v>0</v>
      </c>
    </row>
    <row r="23" spans="1:30" x14ac:dyDescent="0.25">
      <c r="A23">
        <f t="shared" si="24"/>
        <v>15</v>
      </c>
      <c r="B23" s="1">
        <f t="shared" si="17"/>
        <v>4.7209899999999998E-8</v>
      </c>
      <c r="C23" s="1">
        <f t="shared" si="18"/>
        <v>1.09987E-3</v>
      </c>
      <c r="D23" s="1">
        <f t="shared" si="19"/>
        <v>1.1603932633898898E-3</v>
      </c>
      <c r="E23" s="1">
        <f t="shared" si="20"/>
        <v>2.2232941373036988E-9</v>
      </c>
      <c r="F23" s="1">
        <f t="shared" si="21"/>
        <v>1.8033759197402362E-6</v>
      </c>
      <c r="G23" s="1">
        <f t="shared" si="22"/>
        <v>2.6915348039269097E-8</v>
      </c>
      <c r="H23" s="1">
        <f t="shared" si="25"/>
        <v>3.7411058827205313E-7</v>
      </c>
      <c r="I23" s="1">
        <f t="shared" si="26"/>
        <v>1.0353478030711513E-3</v>
      </c>
      <c r="J23" s="1">
        <f t="shared" si="3"/>
        <v>6.2673834478563508E-5</v>
      </c>
      <c r="K23" s="1">
        <f t="shared" si="5"/>
        <v>4.4986601844243535E-8</v>
      </c>
      <c r="L23" s="1">
        <f t="shared" si="6"/>
        <v>4.7209895981547232E-8</v>
      </c>
      <c r="M23" s="1">
        <f t="shared" si="7"/>
        <v>1.0998700000712995E-3</v>
      </c>
      <c r="N23" s="1">
        <f t="shared" si="23"/>
        <v>1.1603932633898898E-3</v>
      </c>
      <c r="O23" s="1">
        <f t="shared" si="8"/>
        <v>-4.0184527662322527E-15</v>
      </c>
      <c r="P23" s="1">
        <f t="shared" si="27"/>
        <v>7.129952010742624E-14</v>
      </c>
      <c r="Q23" s="1">
        <f t="shared" si="28"/>
        <v>0</v>
      </c>
      <c r="R23" cm="1">
        <f t="array" ref="R23">MAX(ABS(O23:Q23/B23:D23))</f>
        <v>8.5118857829231855E-8</v>
      </c>
      <c r="S23">
        <f t="shared" si="9"/>
        <v>21.234210619923221</v>
      </c>
      <c r="T23">
        <f t="shared" si="10"/>
        <v>2.494577051396114E-2</v>
      </c>
      <c r="U23">
        <f t="shared" si="11"/>
        <v>20.234210619923221</v>
      </c>
      <c r="V23">
        <f t="shared" si="12"/>
        <v>609.89502412216302</v>
      </c>
      <c r="W23" s="11">
        <f t="shared" si="4"/>
        <v>1.6714107422504345</v>
      </c>
      <c r="X23" s="11">
        <f t="shared" si="13"/>
        <v>43125.597221950076</v>
      </c>
      <c r="Y23" s="11">
        <f t="shared" si="14"/>
        <v>20.234210619923221</v>
      </c>
      <c r="Z23" s="11">
        <f t="shared" si="15"/>
        <v>643.64864026648377</v>
      </c>
      <c r="AA23" s="11">
        <f t="shared" si="16"/>
        <v>47797.604238540487</v>
      </c>
      <c r="AB23" cm="1">
        <f t="array" ref="AB23:AC23">TRANSPOSE(MMULT(MINVERSE(_xlfn.WRAPCOLS(S23:V23,2)),TRANSPOSE(O23:P23)))</f>
        <v>-3.006550867539375E-16</v>
      </c>
      <c r="AC23" s="1">
        <v>1.1691687480621475E-16</v>
      </c>
      <c r="AD23">
        <v>0</v>
      </c>
    </row>
    <row r="24" spans="1:30" x14ac:dyDescent="0.25">
      <c r="A24">
        <f t="shared" si="24"/>
        <v>16</v>
      </c>
      <c r="B24" s="1">
        <f t="shared" si="17"/>
        <v>4.7209899999999998E-8</v>
      </c>
      <c r="C24" s="1">
        <f t="shared" si="18"/>
        <v>1.09987E-3</v>
      </c>
      <c r="D24" s="1">
        <f t="shared" si="19"/>
        <v>1.1603932633207198E-3</v>
      </c>
      <c r="E24" s="1">
        <f t="shared" si="20"/>
        <v>2.2232944379587854E-9</v>
      </c>
      <c r="F24" s="1">
        <f t="shared" si="21"/>
        <v>1.8033759196233194E-6</v>
      </c>
      <c r="G24" s="1">
        <f t="shared" si="22"/>
        <v>2.6915348039269097E-8</v>
      </c>
      <c r="H24" s="1">
        <f t="shared" si="25"/>
        <v>3.7411058827205313E-7</v>
      </c>
      <c r="I24" s="1">
        <f t="shared" si="26"/>
        <v>1.0353478030040275E-3</v>
      </c>
      <c r="J24" s="1">
        <f t="shared" si="3"/>
        <v>6.2673834474500216E-5</v>
      </c>
      <c r="K24" s="1">
        <f t="shared" si="5"/>
        <v>4.4986607924845306E-8</v>
      </c>
      <c r="L24" s="1">
        <f t="shared" si="6"/>
        <v>4.7209902362804089E-8</v>
      </c>
      <c r="M24" s="1">
        <f t="shared" si="7"/>
        <v>1.0998700000060756E-3</v>
      </c>
      <c r="N24" s="1">
        <f t="shared" si="23"/>
        <v>1.1603932633207198E-3</v>
      </c>
      <c r="O24" s="1">
        <f t="shared" si="8"/>
        <v>2.3628040907510403E-15</v>
      </c>
      <c r="P24" s="1">
        <f t="shared" si="27"/>
        <v>6.0756521341742697E-15</v>
      </c>
      <c r="Q24" s="1">
        <f t="shared" si="28"/>
        <v>0</v>
      </c>
      <c r="R24" cm="1">
        <f t="array" ref="R24">MAX(ABS(O24:Q24/B24:D24))</f>
        <v>5.0048911155309382E-8</v>
      </c>
      <c r="S24">
        <f t="shared" si="9"/>
        <v>21.234210618611392</v>
      </c>
      <c r="T24">
        <f t="shared" si="10"/>
        <v>2.4945773887366698E-2</v>
      </c>
      <c r="U24">
        <f t="shared" si="11"/>
        <v>20.234210618611392</v>
      </c>
      <c r="V24">
        <f t="shared" si="12"/>
        <v>609.89502412553645</v>
      </c>
      <c r="W24" s="11">
        <f t="shared" si="4"/>
        <v>1.6714109681662115</v>
      </c>
      <c r="X24" s="11">
        <f t="shared" si="13"/>
        <v>43125.597219380172</v>
      </c>
      <c r="Y24" s="11">
        <f t="shared" si="14"/>
        <v>20.234210618611392</v>
      </c>
      <c r="Z24" s="11">
        <f t="shared" si="15"/>
        <v>643.6486402698572</v>
      </c>
      <c r="AA24" s="11">
        <f t="shared" si="16"/>
        <v>47797.604235668652</v>
      </c>
      <c r="AB24" cm="1">
        <f t="array" ref="AB24:AC24">TRANSPOSE(MMULT(MINVERSE(_xlfn.WRAPCOLS(S24:V24,2)),TRANSPOSE(O24:P24)))</f>
        <v>1.0178476669930324E-16</v>
      </c>
      <c r="AC24" s="1">
        <v>9.9576366328067702E-18</v>
      </c>
      <c r="AD24">
        <v>0</v>
      </c>
    </row>
    <row r="25" spans="1:30" x14ac:dyDescent="0.25">
      <c r="A25">
        <f t="shared" si="24"/>
        <v>17</v>
      </c>
      <c r="B25" s="1">
        <f t="shared" si="17"/>
        <v>4.7209899999999998E-8</v>
      </c>
      <c r="C25" s="1">
        <f t="shared" si="18"/>
        <v>1.09987E-3</v>
      </c>
      <c r="D25" s="1">
        <f t="shared" si="19"/>
        <v>1.1603932633122511E-3</v>
      </c>
      <c r="E25" s="1">
        <f t="shared" si="20"/>
        <v>2.2232943361740187E-9</v>
      </c>
      <c r="F25" s="1">
        <f t="shared" si="21"/>
        <v>1.8033759196133617E-6</v>
      </c>
      <c r="G25" s="1">
        <f t="shared" si="22"/>
        <v>2.6915348039269097E-8</v>
      </c>
      <c r="H25" s="1">
        <f t="shared" si="25"/>
        <v>3.7411058827205313E-7</v>
      </c>
      <c r="I25" s="1">
        <f t="shared" si="26"/>
        <v>1.0353478029983107E-3</v>
      </c>
      <c r="J25" s="1">
        <f t="shared" si="3"/>
        <v>6.2673834474154152E-5</v>
      </c>
      <c r="K25" s="1">
        <f t="shared" si="5"/>
        <v>4.4986605865062501E-8</v>
      </c>
      <c r="L25" s="1">
        <f t="shared" si="6"/>
        <v>4.7209900201236518E-8</v>
      </c>
      <c r="M25" s="1">
        <f t="shared" si="7"/>
        <v>1.0998699999979432E-3</v>
      </c>
      <c r="N25" s="1">
        <f t="shared" si="23"/>
        <v>1.1603932633122511E-3</v>
      </c>
      <c r="O25" s="1">
        <f t="shared" si="8"/>
        <v>2.0123651927423527E-16</v>
      </c>
      <c r="P25" s="1">
        <f t="shared" si="27"/>
        <v>-2.0567315212050019E-15</v>
      </c>
      <c r="Q25" s="1">
        <f t="shared" si="28"/>
        <v>0</v>
      </c>
      <c r="R25" cm="1">
        <f t="array" ref="R25">MAX(ABS(O25:Q25/B25:D25))</f>
        <v>4.262591517335035E-9</v>
      </c>
      <c r="S25">
        <f t="shared" si="9"/>
        <v>21.234210618499663</v>
      </c>
      <c r="T25">
        <f t="shared" si="10"/>
        <v>2.4945772745322829E-2</v>
      </c>
      <c r="U25">
        <f t="shared" si="11"/>
        <v>20.234210618499663</v>
      </c>
      <c r="V25">
        <f t="shared" si="12"/>
        <v>609.89502412439447</v>
      </c>
      <c r="W25" s="11">
        <f t="shared" si="4"/>
        <v>1.6714108916380235</v>
      </c>
      <c r="X25" s="11">
        <f t="shared" si="13"/>
        <v>43125.597219065516</v>
      </c>
      <c r="Y25" s="11">
        <f t="shared" si="14"/>
        <v>20.234210618499663</v>
      </c>
      <c r="Z25" s="11">
        <f t="shared" si="15"/>
        <v>643.64864026871521</v>
      </c>
      <c r="AA25" s="11">
        <f t="shared" si="16"/>
        <v>47797.604235328283</v>
      </c>
      <c r="AB25" cm="1">
        <f t="array" ref="AB25:AC25">TRANSPOSE(MMULT(MINVERSE(_xlfn.WRAPCOLS(S25:V25,2)),TRANSPOSE(O25:P25)))</f>
        <v>1.2690948406285707E-17</v>
      </c>
      <c r="AC25" s="1">
        <v>-3.3727904399172653E-18</v>
      </c>
      <c r="AD25">
        <v>0</v>
      </c>
    </row>
    <row r="26" spans="1:30" x14ac:dyDescent="0.25">
      <c r="A26">
        <f t="shared" si="24"/>
        <v>18</v>
      </c>
      <c r="B26" s="1">
        <f t="shared" si="17"/>
        <v>4.7209899999999998E-8</v>
      </c>
      <c r="C26" s="1">
        <f t="shared" si="18"/>
        <v>1.09987E-3</v>
      </c>
      <c r="D26" s="1">
        <f t="shared" si="19"/>
        <v>1.1603932633141654E-3</v>
      </c>
      <c r="E26" s="1">
        <f t="shared" si="20"/>
        <v>2.2232943234830705E-9</v>
      </c>
      <c r="F26" s="1">
        <f t="shared" si="21"/>
        <v>1.8033759196167346E-6</v>
      </c>
      <c r="G26" s="1">
        <f t="shared" si="22"/>
        <v>2.6915348039269097E-8</v>
      </c>
      <c r="H26" s="1">
        <f t="shared" si="25"/>
        <v>3.7411058827205313E-7</v>
      </c>
      <c r="I26" s="1">
        <f t="shared" si="26"/>
        <v>1.0353478030002471E-3</v>
      </c>
      <c r="J26" s="1">
        <f t="shared" si="3"/>
        <v>6.2673834474271368E-5</v>
      </c>
      <c r="K26" s="1">
        <f t="shared" si="5"/>
        <v>4.4986605608355316E-8</v>
      </c>
      <c r="L26" s="1">
        <f t="shared" si="6"/>
        <v>4.7209899931838384E-8</v>
      </c>
      <c r="M26" s="1">
        <f t="shared" si="7"/>
        <v>1.0998699999997437E-3</v>
      </c>
      <c r="N26" s="1">
        <f t="shared" si="23"/>
        <v>1.1603932633141654E-3</v>
      </c>
      <c r="O26" s="1">
        <f t="shared" si="8"/>
        <v>-6.8161614768280404E-17</v>
      </c>
      <c r="P26" s="1">
        <f t="shared" si="27"/>
        <v>-2.5630539357557325E-16</v>
      </c>
      <c r="Q26" s="1">
        <f t="shared" si="28"/>
        <v>0</v>
      </c>
      <c r="R26" cm="1">
        <f t="array" ref="R26">MAX(ABS(O26:Q26/B26:D26))</f>
        <v>1.4437991770429594E-9</v>
      </c>
      <c r="S26">
        <f t="shared" si="9"/>
        <v>21.23421061853751</v>
      </c>
      <c r="T26">
        <f t="shared" si="10"/>
        <v>2.4945772602928053E-2</v>
      </c>
      <c r="U26">
        <f t="shared" si="11"/>
        <v>20.23421061853751</v>
      </c>
      <c r="V26">
        <f t="shared" si="12"/>
        <v>609.89502412425202</v>
      </c>
      <c r="W26" s="11">
        <f t="shared" si="4"/>
        <v>1.6714108821004476</v>
      </c>
      <c r="X26" s="11">
        <f t="shared" si="13"/>
        <v>43125.597219136638</v>
      </c>
      <c r="Y26" s="11">
        <f t="shared" si="14"/>
        <v>20.23421061853751</v>
      </c>
      <c r="Z26" s="11">
        <f t="shared" si="15"/>
        <v>643.64864026857276</v>
      </c>
      <c r="AA26" s="11">
        <f t="shared" si="16"/>
        <v>47797.604235408122</v>
      </c>
      <c r="AB26" cm="1">
        <f t="array" ref="AB26:AC26">TRANSPOSE(MMULT(MINVERSE(_xlfn.WRAPCOLS(S26:V26,2)),TRANSPOSE(O26:P26)))</f>
        <v>-2.8096458747520105E-18</v>
      </c>
      <c r="AC26" s="1">
        <v>-4.201301775767315E-19</v>
      </c>
      <c r="AD26">
        <v>0</v>
      </c>
    </row>
    <row r="27" spans="1:30" x14ac:dyDescent="0.25">
      <c r="A27">
        <f t="shared" si="24"/>
        <v>19</v>
      </c>
      <c r="B27" s="1">
        <f t="shared" si="17"/>
        <v>4.7209899999999998E-8</v>
      </c>
      <c r="C27" s="1">
        <f t="shared" si="18"/>
        <v>1.09987E-3</v>
      </c>
      <c r="D27" s="1">
        <f t="shared" si="19"/>
        <v>1.1603932633144926E-3</v>
      </c>
      <c r="E27" s="1">
        <f t="shared" si="20"/>
        <v>2.2232943262927164E-9</v>
      </c>
      <c r="F27" s="1">
        <f t="shared" si="21"/>
        <v>1.8033759196171547E-6</v>
      </c>
      <c r="G27" s="1">
        <f t="shared" si="22"/>
        <v>2.6915348039269097E-8</v>
      </c>
      <c r="H27" s="1">
        <f t="shared" si="25"/>
        <v>3.7411058827205313E-7</v>
      </c>
      <c r="I27" s="1">
        <f t="shared" si="26"/>
        <v>1.0353478030004882E-3</v>
      </c>
      <c r="J27" s="1">
        <f t="shared" si="3"/>
        <v>6.2673834474285978E-5</v>
      </c>
      <c r="K27" s="1">
        <f t="shared" si="5"/>
        <v>4.4986605665216764E-8</v>
      </c>
      <c r="L27" s="1">
        <f t="shared" si="6"/>
        <v>4.7209899991509479E-8</v>
      </c>
      <c r="M27" s="1">
        <f t="shared" si="7"/>
        <v>1.0998700000000566E-3</v>
      </c>
      <c r="N27" s="1">
        <f t="shared" si="23"/>
        <v>1.1603932633144926E-3</v>
      </c>
      <c r="O27" s="1">
        <f t="shared" si="8"/>
        <v>-8.4905192969341977E-18</v>
      </c>
      <c r="P27" s="1">
        <f t="shared" si="27"/>
        <v>5.6595353403743331E-17</v>
      </c>
      <c r="Q27" s="1">
        <f t="shared" si="28"/>
        <v>0</v>
      </c>
      <c r="R27" cm="1">
        <f t="array" ref="R27">MAX(ABS(O27:Q27/B27:D27))</f>
        <v>1.7984616143932095E-10</v>
      </c>
      <c r="S27">
        <f t="shared" si="9"/>
        <v>21.234210618542225</v>
      </c>
      <c r="T27">
        <f t="shared" si="10"/>
        <v>2.4945772634452797E-2</v>
      </c>
      <c r="U27">
        <f t="shared" si="11"/>
        <v>20.234210618542225</v>
      </c>
      <c r="V27">
        <f t="shared" si="12"/>
        <v>609.89502412428351</v>
      </c>
      <c r="W27" s="11">
        <f t="shared" si="4"/>
        <v>1.6714108842130508</v>
      </c>
      <c r="X27" s="11">
        <f t="shared" si="13"/>
        <v>43125.597219148796</v>
      </c>
      <c r="Y27" s="11">
        <f t="shared" si="14"/>
        <v>20.234210618542225</v>
      </c>
      <c r="Z27" s="11">
        <f t="shared" si="15"/>
        <v>643.64864026860425</v>
      </c>
      <c r="AA27" s="11">
        <f t="shared" si="16"/>
        <v>47797.604235421364</v>
      </c>
      <c r="AB27" cm="1">
        <f t="array" ref="AB27:AC27">TRANSPOSE(MMULT(MINVERSE(_xlfn.WRAPCOLS(S27:V27,2)),TRANSPOSE(O27:P27)))</f>
        <v>-4.8829513733208391E-19</v>
      </c>
      <c r="AC27" s="1">
        <v>9.2815209280478289E-20</v>
      </c>
      <c r="AD27">
        <v>0</v>
      </c>
    </row>
    <row r="28" spans="1:30" x14ac:dyDescent="0.25">
      <c r="A28">
        <f t="shared" si="24"/>
        <v>20</v>
      </c>
      <c r="B28" s="1">
        <f t="shared" si="17"/>
        <v>4.7209899999999998E-8</v>
      </c>
      <c r="C28" s="1">
        <f t="shared" si="18"/>
        <v>1.09987E-3</v>
      </c>
      <c r="D28" s="1">
        <f t="shared" si="19"/>
        <v>1.1603932633144427E-3</v>
      </c>
      <c r="E28" s="1">
        <f t="shared" si="20"/>
        <v>2.2232943267810115E-9</v>
      </c>
      <c r="F28" s="1">
        <f t="shared" si="21"/>
        <v>1.803375919617062E-6</v>
      </c>
      <c r="G28" s="1">
        <f t="shared" si="22"/>
        <v>2.6915348039269097E-8</v>
      </c>
      <c r="H28" s="1">
        <f t="shared" si="25"/>
        <v>3.7411058827205313E-7</v>
      </c>
      <c r="I28" s="1">
        <f t="shared" si="26"/>
        <v>1.0353478030004351E-3</v>
      </c>
      <c r="J28" s="1">
        <f t="shared" si="3"/>
        <v>6.2673834474282752E-5</v>
      </c>
      <c r="K28" s="1">
        <f t="shared" si="5"/>
        <v>4.4986605675094723E-8</v>
      </c>
      <c r="L28" s="1">
        <f t="shared" si="6"/>
        <v>4.7209900001875733E-8</v>
      </c>
      <c r="M28" s="1">
        <f t="shared" si="7"/>
        <v>1.0998700000000099E-3</v>
      </c>
      <c r="N28" s="1">
        <f t="shared" si="23"/>
        <v>1.1603932633144427E-3</v>
      </c>
      <c r="O28" s="1">
        <f t="shared" si="8"/>
        <v>1.8757346093599468E-18</v>
      </c>
      <c r="P28" s="1">
        <f t="shared" si="27"/>
        <v>9.9746599868666408E-18</v>
      </c>
      <c r="Q28" s="1">
        <f t="shared" si="28"/>
        <v>0</v>
      </c>
      <c r="R28" cm="1">
        <f t="array" ref="R28">MAX(ABS(O28:Q28/B28:D28))</f>
        <v>3.9731806450764498E-11</v>
      </c>
      <c r="S28">
        <f t="shared" si="9"/>
        <v>21.234210618541184</v>
      </c>
      <c r="T28">
        <f t="shared" si="10"/>
        <v>2.4945772639931557E-2</v>
      </c>
      <c r="U28">
        <f t="shared" si="11"/>
        <v>20.234210618541184</v>
      </c>
      <c r="V28">
        <f t="shared" si="12"/>
        <v>609.89502412428908</v>
      </c>
      <c r="W28" s="11">
        <f t="shared" si="4"/>
        <v>1.6714108845800513</v>
      </c>
      <c r="X28" s="11">
        <f t="shared" si="13"/>
        <v>43125.597219146948</v>
      </c>
      <c r="Y28" s="11">
        <f t="shared" si="14"/>
        <v>20.234210618541184</v>
      </c>
      <c r="Z28" s="11">
        <f t="shared" si="15"/>
        <v>643.64864026860982</v>
      </c>
      <c r="AA28" s="11">
        <f t="shared" si="16"/>
        <v>47797.604235419269</v>
      </c>
      <c r="AB28" cm="1">
        <f t="array" ref="AB28:AC28">TRANSPOSE(MMULT(MINVERSE(_xlfn.WRAPCOLS(S28:V28,2)),TRANSPOSE(O28:P28)))</f>
        <v>7.2753825349004895E-20</v>
      </c>
      <c r="AC28" s="1">
        <v>1.6351740368435035E-20</v>
      </c>
      <c r="AD28">
        <v>0</v>
      </c>
    </row>
    <row r="29" spans="1:30" x14ac:dyDescent="0.25">
      <c r="A29">
        <f t="shared" si="24"/>
        <v>21</v>
      </c>
      <c r="B29" s="1">
        <f t="shared" si="17"/>
        <v>4.7209899999999998E-8</v>
      </c>
      <c r="C29" s="1">
        <f t="shared" si="18"/>
        <v>1.09987E-3</v>
      </c>
      <c r="D29" s="1">
        <f t="shared" si="19"/>
        <v>1.160393263314431E-3</v>
      </c>
      <c r="E29" s="1">
        <f t="shared" si="20"/>
        <v>2.2232943267082576E-9</v>
      </c>
      <c r="F29" s="1">
        <f t="shared" si="21"/>
        <v>1.8033759196170457E-6</v>
      </c>
      <c r="G29" s="1">
        <f t="shared" si="22"/>
        <v>2.6915348039269097E-8</v>
      </c>
      <c r="H29" s="1">
        <f t="shared" si="25"/>
        <v>3.7411058827205313E-7</v>
      </c>
      <c r="I29" s="1">
        <f t="shared" si="26"/>
        <v>1.0353478030004257E-3</v>
      </c>
      <c r="J29" s="1">
        <f t="shared" si="3"/>
        <v>6.2673834474282183E-5</v>
      </c>
      <c r="K29" s="1">
        <f t="shared" si="5"/>
        <v>4.4986605673622189E-8</v>
      </c>
      <c r="L29" s="1">
        <f t="shared" si="6"/>
        <v>4.7209900000330447E-8</v>
      </c>
      <c r="M29" s="1">
        <f t="shared" si="7"/>
        <v>1.0998699999999989E-3</v>
      </c>
      <c r="N29" s="1">
        <f t="shared" si="23"/>
        <v>1.160393263314431E-3</v>
      </c>
      <c r="O29" s="1">
        <f t="shared" si="8"/>
        <v>3.3044872854758392E-19</v>
      </c>
      <c r="P29" s="1">
        <f t="shared" si="27"/>
        <v>0</v>
      </c>
      <c r="Q29" s="1">
        <f t="shared" si="28"/>
        <v>0</v>
      </c>
      <c r="R29" cm="1">
        <f t="array" ref="R29">MAX(ABS(O29:Q29/B29:D29))</f>
        <v>6.9995642555392818E-12</v>
      </c>
      <c r="S29">
        <f t="shared" si="9"/>
        <v>21.234210618540999</v>
      </c>
      <c r="T29">
        <f t="shared" si="10"/>
        <v>2.4945772639115245E-2</v>
      </c>
      <c r="U29">
        <f t="shared" si="11"/>
        <v>20.234210618540999</v>
      </c>
      <c r="V29">
        <f t="shared" si="12"/>
        <v>609.89502412428828</v>
      </c>
      <c r="W29" s="11">
        <f t="shared" si="4"/>
        <v>1.6714108845253417</v>
      </c>
      <c r="X29" s="11">
        <f t="shared" si="13"/>
        <v>43125.597219146504</v>
      </c>
      <c r="Y29" s="11">
        <f t="shared" si="14"/>
        <v>20.234210618540999</v>
      </c>
      <c r="Z29" s="11">
        <f t="shared" si="15"/>
        <v>643.64864026860903</v>
      </c>
      <c r="AA29" s="11">
        <f t="shared" si="16"/>
        <v>47797.604235418788</v>
      </c>
      <c r="AB29" cm="1">
        <f t="array" ref="AB29:AC29">TRANSPOSE(MMULT(MINVERSE(_xlfn.WRAPCOLS(S29:V29,2)),TRANSPOSE(O29:P29)))</f>
        <v>1.5562698063046597E-20</v>
      </c>
      <c r="AC29" s="1">
        <v>-6.3654155580197841E-25</v>
      </c>
      <c r="AD29">
        <v>0</v>
      </c>
    </row>
    <row r="30" spans="1:30" x14ac:dyDescent="0.25">
      <c r="A30">
        <f t="shared" si="24"/>
        <v>22</v>
      </c>
      <c r="B30" s="1">
        <f t="shared" si="17"/>
        <v>4.7209899999999998E-8</v>
      </c>
      <c r="C30" s="1">
        <f t="shared" si="18"/>
        <v>1.09987E-3</v>
      </c>
      <c r="D30" s="1">
        <f t="shared" si="19"/>
        <v>1.1603932633144306E-3</v>
      </c>
      <c r="E30" s="1">
        <f t="shared" si="20"/>
        <v>2.2232943266926951E-9</v>
      </c>
      <c r="F30" s="1">
        <f t="shared" si="21"/>
        <v>1.8033759196170457E-6</v>
      </c>
      <c r="G30" s="1">
        <f t="shared" si="22"/>
        <v>2.6915348039269097E-8</v>
      </c>
      <c r="H30" s="1">
        <f t="shared" si="25"/>
        <v>3.7411058827205313E-7</v>
      </c>
      <c r="I30" s="1">
        <f t="shared" si="26"/>
        <v>1.0353478030004257E-3</v>
      </c>
      <c r="J30" s="1">
        <f t="shared" si="3"/>
        <v>6.2673834474282183E-5</v>
      </c>
      <c r="K30" s="1">
        <f t="shared" si="5"/>
        <v>4.4986605673307298E-8</v>
      </c>
      <c r="L30" s="1">
        <f t="shared" si="6"/>
        <v>4.7209899999999992E-8</v>
      </c>
      <c r="M30" s="1">
        <f t="shared" si="7"/>
        <v>1.0998699999999985E-3</v>
      </c>
      <c r="N30" s="1">
        <f t="shared" si="23"/>
        <v>1.1603932633144306E-3</v>
      </c>
      <c r="O30" s="1">
        <f t="shared" si="8"/>
        <v>0</v>
      </c>
      <c r="P30" s="1">
        <f t="shared" si="27"/>
        <v>0</v>
      </c>
      <c r="Q30" s="1">
        <f t="shared" si="28"/>
        <v>0</v>
      </c>
      <c r="R30" cm="1">
        <f t="array" ref="R30">MAX(ABS(O30:Q30/B30:D30))</f>
        <v>0</v>
      </c>
      <c r="S30">
        <f t="shared" si="9"/>
        <v>21.234210618540999</v>
      </c>
      <c r="T30">
        <f t="shared" si="10"/>
        <v>2.4945772638940631E-2</v>
      </c>
      <c r="U30">
        <f t="shared" si="11"/>
        <v>20.234210618540999</v>
      </c>
      <c r="V30">
        <f t="shared" si="12"/>
        <v>609.89502412428806</v>
      </c>
      <c r="W30" s="11">
        <f t="shared" si="4"/>
        <v>1.6714108845136426</v>
      </c>
      <c r="X30" s="11">
        <f t="shared" si="13"/>
        <v>43125.59721914649</v>
      </c>
      <c r="Y30" s="11">
        <f t="shared" si="14"/>
        <v>20.234210618540999</v>
      </c>
      <c r="Z30" s="11">
        <f t="shared" si="15"/>
        <v>643.6486402686088</v>
      </c>
      <c r="AA30" s="11">
        <f t="shared" si="16"/>
        <v>47797.604235418774</v>
      </c>
      <c r="AB30" cm="1">
        <f t="array" ref="AB30:AC30">TRANSPOSE(MMULT(MINVERSE(_xlfn.WRAPCOLS(S30:V30,2)),TRANSPOSE(O30:P30)))</f>
        <v>0</v>
      </c>
      <c r="AC30" s="1">
        <v>0</v>
      </c>
      <c r="AD30">
        <v>0</v>
      </c>
    </row>
    <row r="31" spans="1:30" x14ac:dyDescent="0.25">
      <c r="A31">
        <f t="shared" si="24"/>
        <v>23</v>
      </c>
      <c r="B31" s="1">
        <f t="shared" si="17"/>
        <v>4.7209899999999998E-8</v>
      </c>
      <c r="C31" s="1">
        <f t="shared" si="18"/>
        <v>1.09987E-3</v>
      </c>
      <c r="D31" s="1">
        <f t="shared" si="19"/>
        <v>1.1603932633144306E-3</v>
      </c>
      <c r="E31" s="1">
        <f t="shared" si="20"/>
        <v>2.2232943266926951E-9</v>
      </c>
      <c r="F31" s="1">
        <f t="shared" si="21"/>
        <v>1.8033759196170457E-6</v>
      </c>
      <c r="G31" s="1">
        <f t="shared" si="22"/>
        <v>2.6915348039269097E-8</v>
      </c>
      <c r="H31" s="1">
        <f t="shared" si="25"/>
        <v>3.7411058827205313E-7</v>
      </c>
      <c r="I31" s="1">
        <f t="shared" si="26"/>
        <v>1.0353478030004257E-3</v>
      </c>
      <c r="J31" s="1">
        <f t="shared" si="3"/>
        <v>6.2673834474282183E-5</v>
      </c>
      <c r="K31" s="1">
        <f t="shared" si="5"/>
        <v>4.4986605673307298E-8</v>
      </c>
      <c r="L31" s="1">
        <f t="shared" si="6"/>
        <v>4.7209899999999992E-8</v>
      </c>
      <c r="M31" s="1">
        <f t="shared" si="7"/>
        <v>1.0998699999999985E-3</v>
      </c>
      <c r="N31" s="1">
        <f t="shared" si="23"/>
        <v>1.1603932633144306E-3</v>
      </c>
      <c r="O31" s="1">
        <f t="shared" si="8"/>
        <v>0</v>
      </c>
      <c r="P31" s="1">
        <f t="shared" si="27"/>
        <v>0</v>
      </c>
      <c r="Q31" s="1">
        <f t="shared" si="28"/>
        <v>0</v>
      </c>
      <c r="R31" cm="1">
        <f t="array" ref="R31">MAX(ABS(O31:Q31/B31:D31))</f>
        <v>0</v>
      </c>
      <c r="S31">
        <f t="shared" si="9"/>
        <v>21.234210618540999</v>
      </c>
      <c r="T31">
        <f t="shared" si="10"/>
        <v>2.4945772638940631E-2</v>
      </c>
      <c r="U31">
        <f t="shared" si="11"/>
        <v>20.234210618540999</v>
      </c>
      <c r="V31">
        <f t="shared" si="12"/>
        <v>609.89502412428806</v>
      </c>
      <c r="W31" s="11">
        <f t="shared" si="4"/>
        <v>1.6714108845136426</v>
      </c>
      <c r="X31" s="11">
        <f t="shared" si="13"/>
        <v>43125.59721914649</v>
      </c>
      <c r="Y31" s="11">
        <f t="shared" si="14"/>
        <v>20.234210618540999</v>
      </c>
      <c r="Z31" s="11">
        <f t="shared" si="15"/>
        <v>643.6486402686088</v>
      </c>
      <c r="AA31" s="11">
        <f t="shared" si="16"/>
        <v>47797.604235418774</v>
      </c>
      <c r="AB31" cm="1">
        <f t="array" ref="AB31:AC31">TRANSPOSE(MMULT(MINVERSE(_xlfn.WRAPCOLS(S31:V31,2)),TRANSPOSE(O31:P31)))</f>
        <v>0</v>
      </c>
      <c r="AC31" s="1">
        <v>0</v>
      </c>
      <c r="AD31">
        <v>0</v>
      </c>
    </row>
    <row r="32" spans="1:30" x14ac:dyDescent="0.25">
      <c r="A32">
        <f t="shared" si="24"/>
        <v>24</v>
      </c>
      <c r="B32" s="1">
        <f t="shared" si="17"/>
        <v>4.7209899999999998E-8</v>
      </c>
      <c r="C32" s="1">
        <f t="shared" si="18"/>
        <v>1.09987E-3</v>
      </c>
      <c r="D32" s="1">
        <f t="shared" si="19"/>
        <v>1.1603932633144306E-3</v>
      </c>
      <c r="E32" s="1">
        <f t="shared" si="20"/>
        <v>2.2232943266926951E-9</v>
      </c>
      <c r="F32" s="1">
        <f t="shared" si="21"/>
        <v>1.8033759196170457E-6</v>
      </c>
      <c r="G32" s="1">
        <f t="shared" si="22"/>
        <v>2.6915348039269097E-8</v>
      </c>
      <c r="H32" s="1">
        <f t="shared" si="25"/>
        <v>3.7411058827205313E-7</v>
      </c>
      <c r="I32" s="1">
        <f t="shared" si="26"/>
        <v>1.0353478030004257E-3</v>
      </c>
      <c r="J32" s="1">
        <f t="shared" si="3"/>
        <v>6.2673834474282183E-5</v>
      </c>
      <c r="K32" s="1">
        <f t="shared" si="5"/>
        <v>4.4986605673307298E-8</v>
      </c>
      <c r="L32" s="1">
        <f t="shared" si="6"/>
        <v>4.7209899999999992E-8</v>
      </c>
      <c r="M32" s="1">
        <f t="shared" si="7"/>
        <v>1.0998699999999985E-3</v>
      </c>
      <c r="N32" s="1">
        <f t="shared" si="23"/>
        <v>1.1603932633144306E-3</v>
      </c>
      <c r="O32" s="1">
        <f t="shared" si="8"/>
        <v>0</v>
      </c>
      <c r="P32" s="1">
        <f t="shared" si="27"/>
        <v>0</v>
      </c>
      <c r="Q32" s="1">
        <f t="shared" si="28"/>
        <v>0</v>
      </c>
      <c r="R32" cm="1">
        <f t="array" ref="R32">MAX(ABS(O32:Q32/B32:D32))</f>
        <v>0</v>
      </c>
      <c r="S32">
        <f t="shared" si="9"/>
        <v>21.234210618540999</v>
      </c>
      <c r="T32">
        <f t="shared" si="10"/>
        <v>2.4945772638940631E-2</v>
      </c>
      <c r="U32">
        <f t="shared" si="11"/>
        <v>20.234210618540999</v>
      </c>
      <c r="V32">
        <f t="shared" si="12"/>
        <v>609.89502412428806</v>
      </c>
      <c r="W32" s="11">
        <f t="shared" si="4"/>
        <v>1.6714108845136426</v>
      </c>
      <c r="X32" s="11">
        <f t="shared" si="13"/>
        <v>43125.59721914649</v>
      </c>
      <c r="Y32" s="11">
        <f t="shared" si="14"/>
        <v>20.234210618540999</v>
      </c>
      <c r="Z32" s="11">
        <f t="shared" si="15"/>
        <v>643.6486402686088</v>
      </c>
      <c r="AA32" s="11">
        <f t="shared" si="16"/>
        <v>47797.604235418774</v>
      </c>
      <c r="AB32" cm="1">
        <f t="array" ref="AB32:AC32">TRANSPOSE(MMULT(MINVERSE(_xlfn.WRAPCOLS(S32:V32,2)),TRANSPOSE(O32:P32)))</f>
        <v>0</v>
      </c>
      <c r="AC32" s="1">
        <v>0</v>
      </c>
      <c r="AD32">
        <v>0</v>
      </c>
    </row>
    <row r="33" spans="1:30" x14ac:dyDescent="0.25">
      <c r="A33">
        <f t="shared" si="24"/>
        <v>25</v>
      </c>
      <c r="B33" s="1">
        <f t="shared" si="17"/>
        <v>4.7209899999999998E-8</v>
      </c>
      <c r="C33" s="1">
        <f t="shared" si="18"/>
        <v>1.09987E-3</v>
      </c>
      <c r="D33" s="1">
        <f t="shared" si="19"/>
        <v>1.1603932633144306E-3</v>
      </c>
      <c r="E33" s="1">
        <f t="shared" si="20"/>
        <v>2.2232943266926951E-9</v>
      </c>
      <c r="F33" s="1">
        <f t="shared" si="21"/>
        <v>1.8033759196170457E-6</v>
      </c>
      <c r="G33" s="1">
        <f t="shared" si="22"/>
        <v>2.6915348039269097E-8</v>
      </c>
      <c r="H33" s="1">
        <f t="shared" si="25"/>
        <v>3.7411058827205313E-7</v>
      </c>
      <c r="I33" s="1">
        <f t="shared" si="26"/>
        <v>1.0353478030004257E-3</v>
      </c>
      <c r="J33" s="1">
        <f t="shared" si="3"/>
        <v>6.2673834474282183E-5</v>
      </c>
      <c r="K33" s="1">
        <f t="shared" si="5"/>
        <v>4.4986605673307298E-8</v>
      </c>
      <c r="L33" s="1">
        <f t="shared" si="6"/>
        <v>4.7209899999999992E-8</v>
      </c>
      <c r="M33" s="1">
        <f t="shared" si="7"/>
        <v>1.0998699999999985E-3</v>
      </c>
      <c r="N33" s="1">
        <f t="shared" si="23"/>
        <v>1.1603932633144306E-3</v>
      </c>
      <c r="O33" s="1">
        <f t="shared" si="8"/>
        <v>0</v>
      </c>
      <c r="P33" s="1">
        <f t="shared" si="27"/>
        <v>0</v>
      </c>
      <c r="Q33" s="1">
        <f t="shared" si="28"/>
        <v>0</v>
      </c>
      <c r="R33" cm="1">
        <f t="array" ref="R33">MAX(ABS(O33:Q33/B33:D33))</f>
        <v>0</v>
      </c>
      <c r="S33">
        <f t="shared" si="9"/>
        <v>21.234210618540999</v>
      </c>
      <c r="T33">
        <f t="shared" si="10"/>
        <v>2.4945772638940631E-2</v>
      </c>
      <c r="U33">
        <f t="shared" si="11"/>
        <v>20.234210618540999</v>
      </c>
      <c r="V33">
        <f t="shared" si="12"/>
        <v>609.89502412428806</v>
      </c>
      <c r="W33" s="11">
        <f t="shared" si="4"/>
        <v>1.6714108845136426</v>
      </c>
      <c r="X33" s="11">
        <f t="shared" si="13"/>
        <v>43125.59721914649</v>
      </c>
      <c r="Y33" s="11">
        <f t="shared" si="14"/>
        <v>20.234210618540999</v>
      </c>
      <c r="Z33" s="11">
        <f t="shared" si="15"/>
        <v>643.6486402686088</v>
      </c>
      <c r="AA33" s="11">
        <f t="shared" si="16"/>
        <v>47797.604235418774</v>
      </c>
      <c r="AB33" cm="1">
        <f t="array" ref="AB33:AC33">TRANSPOSE(MMULT(MINVERSE(_xlfn.WRAPCOLS(S33:V33,2)),TRANSPOSE(O33:P33)))</f>
        <v>0</v>
      </c>
      <c r="AC33" s="1">
        <v>0</v>
      </c>
      <c r="AD33">
        <v>0</v>
      </c>
    </row>
    <row r="34" spans="1:30" x14ac:dyDescent="0.25">
      <c r="A34">
        <f t="shared" si="24"/>
        <v>26</v>
      </c>
      <c r="B34" s="1">
        <f t="shared" si="17"/>
        <v>4.7209899999999998E-8</v>
      </c>
      <c r="C34" s="1">
        <f t="shared" si="18"/>
        <v>1.09987E-3</v>
      </c>
      <c r="D34" s="1">
        <f t="shared" si="19"/>
        <v>1.1603932633144306E-3</v>
      </c>
      <c r="E34" s="1">
        <f t="shared" si="20"/>
        <v>2.2232943266926951E-9</v>
      </c>
      <c r="F34" s="1">
        <f t="shared" si="21"/>
        <v>1.8033759196170457E-6</v>
      </c>
      <c r="G34" s="1">
        <f t="shared" si="22"/>
        <v>2.6915348039269097E-8</v>
      </c>
      <c r="H34" s="1">
        <f t="shared" si="25"/>
        <v>3.7411058827205313E-7</v>
      </c>
      <c r="I34" s="1">
        <f t="shared" si="26"/>
        <v>1.0353478030004257E-3</v>
      </c>
      <c r="J34" s="1">
        <f t="shared" si="3"/>
        <v>6.2673834474282183E-5</v>
      </c>
      <c r="K34" s="1">
        <f t="shared" si="5"/>
        <v>4.4986605673307298E-8</v>
      </c>
      <c r="L34" s="1">
        <f t="shared" si="6"/>
        <v>4.7209899999999992E-8</v>
      </c>
      <c r="M34" s="1">
        <f t="shared" si="7"/>
        <v>1.0998699999999985E-3</v>
      </c>
      <c r="N34" s="1">
        <f t="shared" si="23"/>
        <v>1.1603932633144306E-3</v>
      </c>
      <c r="O34" s="1">
        <f t="shared" si="8"/>
        <v>0</v>
      </c>
      <c r="P34" s="1">
        <f t="shared" si="27"/>
        <v>0</v>
      </c>
      <c r="Q34" s="1">
        <f t="shared" si="28"/>
        <v>0</v>
      </c>
      <c r="R34" cm="1">
        <f t="array" ref="R34">MAX(ABS(O34:Q34/B34:D34))</f>
        <v>0</v>
      </c>
      <c r="S34">
        <f t="shared" si="9"/>
        <v>21.234210618540999</v>
      </c>
      <c r="T34">
        <f t="shared" si="10"/>
        <v>2.4945772638940631E-2</v>
      </c>
      <c r="U34">
        <f t="shared" si="11"/>
        <v>20.234210618540999</v>
      </c>
      <c r="V34">
        <f t="shared" si="12"/>
        <v>609.89502412428806</v>
      </c>
      <c r="W34" s="11">
        <f t="shared" si="4"/>
        <v>1.6714108845136426</v>
      </c>
      <c r="X34" s="11">
        <f t="shared" si="13"/>
        <v>43125.59721914649</v>
      </c>
      <c r="Y34" s="11">
        <f t="shared" si="14"/>
        <v>20.234210618540999</v>
      </c>
      <c r="Z34" s="11">
        <f t="shared" si="15"/>
        <v>643.6486402686088</v>
      </c>
      <c r="AA34" s="11">
        <f t="shared" si="16"/>
        <v>47797.604235418774</v>
      </c>
      <c r="AB34" cm="1">
        <f t="array" ref="AB34:AC34">TRANSPOSE(MMULT(MINVERSE(_xlfn.WRAPCOLS(S34:V34,2)),TRANSPOSE(O34:P34)))</f>
        <v>0</v>
      </c>
      <c r="AC34" s="1">
        <v>0</v>
      </c>
      <c r="AD34">
        <v>0</v>
      </c>
    </row>
    <row r="35" spans="1:30" x14ac:dyDescent="0.25">
      <c r="A35">
        <f t="shared" si="24"/>
        <v>27</v>
      </c>
      <c r="B35" s="1">
        <f t="shared" si="17"/>
        <v>4.7209899999999998E-8</v>
      </c>
      <c r="C35" s="1">
        <f t="shared" si="18"/>
        <v>1.09987E-3</v>
      </c>
      <c r="D35" s="1">
        <f t="shared" si="19"/>
        <v>1.1603932633144306E-3</v>
      </c>
      <c r="E35" s="1">
        <f t="shared" si="20"/>
        <v>2.2232943266926951E-9</v>
      </c>
      <c r="F35" s="1">
        <f t="shared" si="21"/>
        <v>1.8033759196170457E-6</v>
      </c>
      <c r="G35" s="1">
        <f t="shared" si="22"/>
        <v>2.6915348039269097E-8</v>
      </c>
      <c r="H35" s="1">
        <f t="shared" si="25"/>
        <v>3.7411058827205313E-7</v>
      </c>
      <c r="I35" s="1">
        <f t="shared" si="26"/>
        <v>1.0353478030004257E-3</v>
      </c>
      <c r="J35" s="1">
        <f t="shared" si="3"/>
        <v>6.2673834474282183E-5</v>
      </c>
      <c r="K35" s="1">
        <f t="shared" si="5"/>
        <v>4.4986605673307298E-8</v>
      </c>
      <c r="L35" s="1">
        <f t="shared" si="6"/>
        <v>4.7209899999999992E-8</v>
      </c>
      <c r="M35" s="1">
        <f t="shared" si="7"/>
        <v>1.0998699999999985E-3</v>
      </c>
      <c r="N35" s="1">
        <f t="shared" si="23"/>
        <v>1.1603932633144306E-3</v>
      </c>
      <c r="O35" s="1">
        <f t="shared" si="8"/>
        <v>0</v>
      </c>
      <c r="P35" s="1">
        <f t="shared" si="27"/>
        <v>0</v>
      </c>
      <c r="Q35" s="1">
        <f t="shared" si="28"/>
        <v>0</v>
      </c>
      <c r="R35" cm="1">
        <f t="array" ref="R35">MAX(ABS(O35:Q35/B35:D35))</f>
        <v>0</v>
      </c>
      <c r="S35">
        <f t="shared" si="9"/>
        <v>21.234210618540999</v>
      </c>
      <c r="T35">
        <f t="shared" si="10"/>
        <v>2.4945772638940631E-2</v>
      </c>
      <c r="U35">
        <f t="shared" si="11"/>
        <v>20.234210618540999</v>
      </c>
      <c r="V35">
        <f t="shared" si="12"/>
        <v>609.89502412428806</v>
      </c>
      <c r="W35" s="11">
        <f t="shared" si="4"/>
        <v>1.6714108845136426</v>
      </c>
      <c r="X35" s="11">
        <f t="shared" si="13"/>
        <v>43125.59721914649</v>
      </c>
      <c r="Y35" s="11">
        <f t="shared" si="14"/>
        <v>20.234210618540999</v>
      </c>
      <c r="Z35" s="11">
        <f t="shared" si="15"/>
        <v>643.6486402686088</v>
      </c>
      <c r="AA35" s="11">
        <f t="shared" si="16"/>
        <v>47797.604235418774</v>
      </c>
      <c r="AB35" cm="1">
        <f t="array" ref="AB35:AC35">TRANSPOSE(MMULT(MINVERSE(_xlfn.WRAPCOLS(S35:V35,2)),TRANSPOSE(O35:P35)))</f>
        <v>0</v>
      </c>
      <c r="AC35" s="1">
        <v>0</v>
      </c>
      <c r="AD35">
        <v>0</v>
      </c>
    </row>
  </sheetData>
  <mergeCells count="1">
    <mergeCell ref="W5:A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B2-0139-42E9-A44B-E46ADDEB1119}">
  <dimension ref="A1:AR74"/>
  <sheetViews>
    <sheetView workbookViewId="0">
      <pane xSplit="1" ySplit="10" topLeftCell="Y11" activePane="bottomRight" state="frozen"/>
      <selection pane="topRight" activeCell="B1" sqref="B1"/>
      <selection pane="bottomLeft" activeCell="A11" sqref="A11"/>
      <selection pane="bottomRight" activeCell="AO11" sqref="AO11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0.42578125" style="1" customWidth="1"/>
    <col min="5" max="5" width="10.28515625" style="1" customWidth="1"/>
    <col min="6" max="7" width="9" style="1" customWidth="1"/>
    <col min="8" max="8" width="11.85546875" style="1" customWidth="1"/>
    <col min="9" max="9" width="8.5703125" style="1" customWidth="1"/>
    <col min="10" max="10" width="9.28515625" style="1" customWidth="1"/>
    <col min="11" max="11" width="8.7109375" style="1" customWidth="1"/>
    <col min="12" max="12" width="8.28515625" style="1" customWidth="1"/>
    <col min="13" max="13" width="9.28515625" style="1" customWidth="1"/>
    <col min="14" max="14" width="9" style="1" customWidth="1"/>
    <col min="15" max="15" width="9.28515625" style="1" customWidth="1"/>
    <col min="16" max="16" width="11.85546875" style="1" customWidth="1"/>
    <col min="17" max="20" width="14.28515625" style="1" customWidth="1"/>
    <col min="21" max="23" width="9" style="1" customWidth="1"/>
    <col min="24" max="25" width="8.5703125" style="1" customWidth="1"/>
    <col min="26" max="27" width="9.28515625" style="1" customWidth="1"/>
    <col min="28" max="30" width="8.5703125" style="1" customWidth="1"/>
    <col min="31" max="31" width="10.5703125" style="9" customWidth="1"/>
    <col min="32" max="33" width="10.5703125" style="1" customWidth="1"/>
    <col min="34" max="34" width="9.85546875" style="13" customWidth="1"/>
    <col min="35" max="36" width="10.5703125" style="13" customWidth="1"/>
    <col min="37" max="39" width="8.5703125" style="13" customWidth="1"/>
    <col min="40" max="40" width="10.5703125" style="13" bestFit="1" customWidth="1"/>
    <col min="41" max="41" width="12.7109375" bestFit="1" customWidth="1"/>
    <col min="46" max="46" width="12" bestFit="1" customWidth="1"/>
    <col min="47" max="47" width="12.7109375" bestFit="1" customWidth="1"/>
  </cols>
  <sheetData>
    <row r="1" spans="1:44" x14ac:dyDescent="0.25">
      <c r="F1" s="3" t="s">
        <v>34</v>
      </c>
    </row>
    <row r="2" spans="1:44" x14ac:dyDescent="0.25">
      <c r="F2">
        <v>0</v>
      </c>
      <c r="G2">
        <v>0</v>
      </c>
      <c r="H2">
        <v>0</v>
      </c>
      <c r="I2">
        <v>0</v>
      </c>
      <c r="J2">
        <v>7.4</v>
      </c>
      <c r="K2">
        <v>5.4</v>
      </c>
      <c r="L2">
        <v>-13.997</v>
      </c>
      <c r="M2">
        <v>10.329000000000001</v>
      </c>
      <c r="N2">
        <v>16.681000000000001</v>
      </c>
      <c r="O2">
        <v>14.62</v>
      </c>
      <c r="P2"/>
    </row>
    <row r="3" spans="1:44" x14ac:dyDescent="0.25">
      <c r="F3" s="1" t="s">
        <v>35</v>
      </c>
    </row>
    <row r="4" spans="1:44" x14ac:dyDescent="0.25">
      <c r="F4" s="1">
        <f>10^F2</f>
        <v>1</v>
      </c>
      <c r="G4" s="1">
        <f t="shared" ref="G4:O4" si="0">10^G2</f>
        <v>1</v>
      </c>
      <c r="H4" s="1">
        <f>10^H2</f>
        <v>1</v>
      </c>
      <c r="I4" s="1">
        <f t="shared" si="0"/>
        <v>1</v>
      </c>
      <c r="J4" s="1">
        <f t="shared" si="0"/>
        <v>25118864.315095898</v>
      </c>
      <c r="K4" s="1">
        <f t="shared" si="0"/>
        <v>251188.64315095844</v>
      </c>
      <c r="L4" s="1">
        <f t="shared" si="0"/>
        <v>1.0069316688518014E-14</v>
      </c>
      <c r="M4" s="1">
        <f t="shared" si="0"/>
        <v>21330449131.465843</v>
      </c>
      <c r="N4" s="1">
        <f t="shared" si="0"/>
        <v>4.7973344863669312E+16</v>
      </c>
      <c r="O4" s="1">
        <f t="shared" si="0"/>
        <v>416869383470336.44</v>
      </c>
    </row>
    <row r="6" spans="1:44" x14ac:dyDescent="0.25">
      <c r="F6" s="1" t="s">
        <v>71</v>
      </c>
      <c r="AE6" s="12"/>
      <c r="AF6" s="10"/>
      <c r="AG6" s="10"/>
      <c r="AH6" s="14"/>
      <c r="AI6" s="14"/>
      <c r="AJ6" s="14"/>
      <c r="AK6" s="14"/>
      <c r="AL6" s="14"/>
      <c r="AM6" s="14"/>
      <c r="AN6" s="14"/>
    </row>
    <row r="7" spans="1:44" x14ac:dyDescent="0.25">
      <c r="B7">
        <v>1</v>
      </c>
      <c r="C7">
        <v>1</v>
      </c>
      <c r="D7">
        <v>0.1</v>
      </c>
      <c r="E7">
        <v>1</v>
      </c>
      <c r="F7">
        <v>1</v>
      </c>
      <c r="G7">
        <v>1</v>
      </c>
      <c r="H7">
        <v>0.1</v>
      </c>
      <c r="I7">
        <v>1</v>
      </c>
      <c r="J7">
        <v>0.1</v>
      </c>
      <c r="K7">
        <v>0.1</v>
      </c>
      <c r="L7">
        <v>1</v>
      </c>
      <c r="M7">
        <v>1</v>
      </c>
      <c r="N7">
        <v>1</v>
      </c>
      <c r="O7">
        <v>1</v>
      </c>
      <c r="AE7" s="12"/>
      <c r="AF7" s="10"/>
      <c r="AG7" s="10"/>
      <c r="AH7" s="14"/>
      <c r="AI7" s="14"/>
      <c r="AJ7" s="14"/>
      <c r="AK7" s="14"/>
      <c r="AL7" s="14"/>
      <c r="AM7" s="14"/>
      <c r="AN7" s="14"/>
    </row>
    <row r="8" spans="1:44" x14ac:dyDescent="0.25">
      <c r="AH8" s="13" t="s">
        <v>57</v>
      </c>
      <c r="AI8" s="13" t="s">
        <v>57</v>
      </c>
      <c r="AJ8" s="13" t="s">
        <v>57</v>
      </c>
      <c r="AK8" s="13" t="s">
        <v>57</v>
      </c>
      <c r="AL8" s="13" t="s">
        <v>57</v>
      </c>
      <c r="AM8" s="13" t="s">
        <v>57</v>
      </c>
      <c r="AN8" s="13" t="s">
        <v>57</v>
      </c>
    </row>
    <row r="9" spans="1:44" x14ac:dyDescent="0.25">
      <c r="B9" s="1" t="s">
        <v>24</v>
      </c>
      <c r="C9" s="1" t="s">
        <v>25</v>
      </c>
      <c r="D9" s="1" t="s">
        <v>59</v>
      </c>
      <c r="E9" s="1" t="s">
        <v>36</v>
      </c>
      <c r="F9" s="1" t="s">
        <v>26</v>
      </c>
      <c r="G9" s="1" t="s">
        <v>27</v>
      </c>
      <c r="H9" s="1" t="s">
        <v>29</v>
      </c>
      <c r="I9" s="1" t="s">
        <v>28</v>
      </c>
      <c r="J9" s="1" t="s">
        <v>30</v>
      </c>
      <c r="K9" s="1" t="s">
        <v>38</v>
      </c>
      <c r="L9" s="1" t="s">
        <v>40</v>
      </c>
      <c r="M9" s="1" t="s">
        <v>64</v>
      </c>
      <c r="N9" s="1" t="s">
        <v>65</v>
      </c>
      <c r="O9" s="1" t="s">
        <v>66</v>
      </c>
      <c r="P9" s="1" t="s">
        <v>23</v>
      </c>
      <c r="Q9" s="1" t="s">
        <v>22</v>
      </c>
      <c r="R9" s="1" t="s">
        <v>68</v>
      </c>
      <c r="S9" s="1" t="s">
        <v>42</v>
      </c>
      <c r="T9" s="1" t="s">
        <v>20</v>
      </c>
      <c r="U9" s="1" t="s">
        <v>21</v>
      </c>
      <c r="V9" s="1" t="s">
        <v>70</v>
      </c>
      <c r="W9" s="1" t="s">
        <v>45</v>
      </c>
      <c r="Y9" s="1" t="s">
        <v>16</v>
      </c>
      <c r="Z9" s="1" t="s">
        <v>17</v>
      </c>
      <c r="AA9" s="1" t="s">
        <v>46</v>
      </c>
      <c r="AB9" s="1" t="s">
        <v>18</v>
      </c>
      <c r="AC9" s="1" t="s">
        <v>19</v>
      </c>
      <c r="AD9" s="1" t="s">
        <v>47</v>
      </c>
      <c r="AE9" s="9" t="s">
        <v>48</v>
      </c>
      <c r="AF9" s="1" t="s">
        <v>49</v>
      </c>
      <c r="AG9" s="1" t="s">
        <v>50</v>
      </c>
      <c r="AH9" s="13" t="s">
        <v>80</v>
      </c>
      <c r="AI9" s="13" t="s">
        <v>81</v>
      </c>
      <c r="AJ9" s="13" t="s">
        <v>82</v>
      </c>
      <c r="AK9" s="13" t="s">
        <v>83</v>
      </c>
      <c r="AL9" s="13" t="s">
        <v>84</v>
      </c>
      <c r="AM9" s="13" t="s">
        <v>85</v>
      </c>
      <c r="AN9" s="13" t="s">
        <v>86</v>
      </c>
      <c r="AO9" t="s">
        <v>31</v>
      </c>
    </row>
    <row r="10" spans="1:44" s="4" customFormat="1" ht="30" x14ac:dyDescent="0.25">
      <c r="A10" s="4" t="s">
        <v>12</v>
      </c>
      <c r="B10" s="5" t="s">
        <v>37</v>
      </c>
      <c r="C10" s="4" t="s">
        <v>1</v>
      </c>
      <c r="D10" s="5" t="s">
        <v>60</v>
      </c>
      <c r="E10" s="5" t="s">
        <v>0</v>
      </c>
      <c r="F10" s="5" t="s">
        <v>41</v>
      </c>
      <c r="G10" s="5" t="s">
        <v>3</v>
      </c>
      <c r="H10" s="5" t="s">
        <v>61</v>
      </c>
      <c r="I10" s="5" t="s">
        <v>2</v>
      </c>
      <c r="J10" s="5" t="s">
        <v>62</v>
      </c>
      <c r="K10" s="5" t="s">
        <v>63</v>
      </c>
      <c r="L10" s="5" t="s">
        <v>13</v>
      </c>
      <c r="M10" s="5" t="s">
        <v>14</v>
      </c>
      <c r="N10" s="5" t="s">
        <v>15</v>
      </c>
      <c r="O10" s="5" t="s">
        <v>39</v>
      </c>
      <c r="P10" s="5" t="s">
        <v>43</v>
      </c>
      <c r="Q10" s="5" t="s">
        <v>5</v>
      </c>
      <c r="R10" s="5" t="s">
        <v>67</v>
      </c>
      <c r="S10" s="5" t="s">
        <v>4</v>
      </c>
      <c r="T10" s="5" t="s">
        <v>44</v>
      </c>
      <c r="U10" s="5" t="s">
        <v>7</v>
      </c>
      <c r="V10" s="5" t="s">
        <v>69</v>
      </c>
      <c r="W10" s="5" t="s">
        <v>6</v>
      </c>
      <c r="X10" s="5" t="s">
        <v>58</v>
      </c>
      <c r="Y10" s="7" t="s">
        <v>52</v>
      </c>
      <c r="Z10" s="7" t="s">
        <v>53</v>
      </c>
      <c r="AA10" s="7" t="s">
        <v>73</v>
      </c>
      <c r="AB10" s="7" t="s">
        <v>55</v>
      </c>
      <c r="AC10" s="7" t="s">
        <v>9</v>
      </c>
      <c r="AD10" s="7" t="s">
        <v>74</v>
      </c>
      <c r="AE10" s="8" t="s">
        <v>76</v>
      </c>
      <c r="AF10" s="7" t="s">
        <v>77</v>
      </c>
      <c r="AG10" s="7" t="s">
        <v>78</v>
      </c>
      <c r="AH10" s="15" t="s">
        <v>54</v>
      </c>
      <c r="AI10" s="15" t="s">
        <v>10</v>
      </c>
      <c r="AJ10" s="15" t="s">
        <v>79</v>
      </c>
      <c r="AK10" s="15" t="s">
        <v>56</v>
      </c>
      <c r="AL10" s="15" t="s">
        <v>11</v>
      </c>
      <c r="AM10" s="15" t="s">
        <v>75</v>
      </c>
      <c r="AN10" s="15" t="s">
        <v>8</v>
      </c>
      <c r="AO10" s="4" t="s">
        <v>51</v>
      </c>
      <c r="AP10" s="4" t="s">
        <v>32</v>
      </c>
      <c r="AQ10" s="4" t="s">
        <v>72</v>
      </c>
      <c r="AR10" s="4" t="s">
        <v>33</v>
      </c>
    </row>
    <row r="11" spans="1:44" x14ac:dyDescent="0.25">
      <c r="A11">
        <v>0</v>
      </c>
      <c r="B11" s="6">
        <v>4.7209899999999998E-8</v>
      </c>
      <c r="C11" s="6">
        <v>1.09987E-3</v>
      </c>
      <c r="D11" s="6">
        <f>0.0000178*$D$7</f>
        <v>1.7799999999999999E-6</v>
      </c>
      <c r="E11" s="1">
        <f t="shared" ref="E11:E38" si="1">I11+M11+2*N11-L11+O11+K11</f>
        <v>7.0787361973710652E-3</v>
      </c>
      <c r="F11" s="1">
        <f>B11/100</f>
        <v>4.7209899999999994E-10</v>
      </c>
      <c r="G11" s="1">
        <f>C11/100</f>
        <v>1.09987E-5</v>
      </c>
      <c r="H11" s="1">
        <f>D11/100/$D$7</f>
        <v>1.7800000000000001E-7</v>
      </c>
      <c r="I11" s="6">
        <f>10^-7.57</f>
        <v>2.6915348039269097E-8</v>
      </c>
      <c r="J11" s="1">
        <f t="shared" ref="J11:J38" si="2">H11*F11*$J$4</f>
        <v>2.1108291489240576E-9</v>
      </c>
      <c r="K11" s="1">
        <f t="shared" ref="K11:K38" si="3">H11*I11*$K$4</f>
        <v>1.2034276961977269E-9</v>
      </c>
      <c r="L11" s="1">
        <f t="shared" ref="L11:L38" si="4">I11^(-1)*$L$4</f>
        <v>3.7411058827205313E-7</v>
      </c>
      <c r="M11" s="1">
        <f t="shared" ref="M11:M38" si="5">I11*G11*$M$4</f>
        <v>6.3145347328797431E-3</v>
      </c>
      <c r="N11" s="1">
        <f t="shared" ref="N11:N38" si="6">I11^2*G11*$N$4</f>
        <v>3.8224459788654031E-4</v>
      </c>
      <c r="O11" s="1">
        <f t="shared" ref="O11:O38" si="7">F11*I11*G11*$O$4</f>
        <v>5.8260530779051953E-8</v>
      </c>
      <c r="P11" s="1">
        <f>F11+J11*$J$7+O11</f>
        <v>5.8943712693944357E-8</v>
      </c>
      <c r="Q11" s="1">
        <f>G11+M11+N11+O11</f>
        <v>6.707836291297062E-3</v>
      </c>
      <c r="R11" s="1">
        <f>H11*$H$7+J11*$J$7+K11*$K$7</f>
        <v>1.8131425684512182E-8</v>
      </c>
      <c r="S11" s="1">
        <f>I11+M11+2*N11-L11+O11+K11*$K$7</f>
        <v>7.0787351142861388E-3</v>
      </c>
      <c r="T11" s="1">
        <f>P11-B11</f>
        <v>1.1733812693944359E-8</v>
      </c>
      <c r="U11" s="1">
        <f>Q11-C11</f>
        <v>5.6079662912970618E-3</v>
      </c>
      <c r="V11" s="1">
        <f>R11-D11</f>
        <v>-1.7618685743154877E-6</v>
      </c>
      <c r="W11" s="1">
        <f>S11-E11</f>
        <v>-1.0830849264328868E-9</v>
      </c>
      <c r="X11" cm="1">
        <f t="array" ref="X11">MAX(ABS(T11:W11/B11:E11))</f>
        <v>5.098753753895517</v>
      </c>
      <c r="Y11" s="1">
        <f>1+I11*G11*$O$4+H11*$J$4*$J$7</f>
        <v>124.85455951811879</v>
      </c>
      <c r="Z11" s="1">
        <f>F11*I11*$O$4</f>
        <v>5.297037902575027E-3</v>
      </c>
      <c r="AA11" s="1">
        <f>F11*$J$4*$J$7</f>
        <v>1.1858590724292458E-3</v>
      </c>
      <c r="AB11">
        <f>I11*G11*$O$4</f>
        <v>123.40744373331009</v>
      </c>
      <c r="AC11">
        <f>1+I11*$M$4+I11^2*$N$4+F11*I11*$O$4</f>
        <v>609.87537538955166</v>
      </c>
      <c r="AD11">
        <v>0</v>
      </c>
      <c r="AE11" s="9">
        <f>H11*$J$4*$J$7</f>
        <v>0.44711578480870701</v>
      </c>
      <c r="AF11">
        <f>0</f>
        <v>0</v>
      </c>
      <c r="AG11" s="1">
        <f>$H$7+F11*$J$4*$J$7+I11*$K$4*$K$7</f>
        <v>0.10186194204782123</v>
      </c>
      <c r="AH11" s="16">
        <f>F11*G11*$O$4</f>
        <v>2.1645839650317988</v>
      </c>
      <c r="AI11" s="16">
        <f>G11*$M$4+2*I11*G11*$N$4+F11*G11*$O$4</f>
        <v>263012.84229560493</v>
      </c>
      <c r="AJ11" s="13">
        <f>H11*$K$4*$K$7</f>
        <v>4.4711578480870606E-3</v>
      </c>
      <c r="AK11" s="16">
        <f>I11*G11*$O$4</f>
        <v>123.40744373331009</v>
      </c>
      <c r="AL11" s="16">
        <f>I11*$M$4+2*I11^2*$N$4+F11*I11*$O$4</f>
        <v>643.62899153387241</v>
      </c>
      <c r="AM11" s="13">
        <f>I11*$K$4*$K$7</f>
        <v>6.7608297539198143E-4</v>
      </c>
      <c r="AN11" s="13">
        <f>1+G11*$M$4+4*I11*G11*$N$4+F11*G11*$O$4+I11^-2*$L$4+H11*$K$4*$K$7</f>
        <v>291431.21314246143</v>
      </c>
      <c r="AO11" cm="1">
        <f t="array" ref="AO11:AQ11">TRANSPOSE(MMULT(MINVERSE(_xlfn.WRAPCOLS(Y11:AG11,3)),TRANSPOSE(T11:V11)))</f>
        <v>-9.0271080700451293E-6</v>
      </c>
      <c r="AP11" s="1">
        <v>9.1953443843319589E-6</v>
      </c>
      <c r="AQ11" s="1">
        <v>-1.7191540442952724E-5</v>
      </c>
      <c r="AR11">
        <v>0</v>
      </c>
    </row>
    <row r="12" spans="1:44" x14ac:dyDescent="0.25">
      <c r="A12">
        <f>A11+1</f>
        <v>1</v>
      </c>
      <c r="B12" s="1">
        <f>B11</f>
        <v>4.7209899999999998E-8</v>
      </c>
      <c r="C12" s="1">
        <f>C11</f>
        <v>1.09987E-3</v>
      </c>
      <c r="D12" s="1">
        <f>D11</f>
        <v>1.7799999999999999E-6</v>
      </c>
      <c r="E12" s="1">
        <f t="shared" si="1"/>
        <v>1.3431165430185048E-3</v>
      </c>
      <c r="F12" s="1">
        <f>F11-AO11</f>
        <v>9.0275801690451301E-6</v>
      </c>
      <c r="G12" s="1">
        <f t="shared" ref="G12:I12" si="8">G11-AP11</f>
        <v>1.8033556156680413E-6</v>
      </c>
      <c r="H12" s="1">
        <f t="shared" si="8"/>
        <v>1.7369540442952725E-5</v>
      </c>
      <c r="I12" s="1">
        <f t="shared" si="8"/>
        <v>2.6915348039269097E-8</v>
      </c>
      <c r="J12" s="1">
        <f t="shared" si="2"/>
        <v>3.9387614804882471E-3</v>
      </c>
      <c r="K12" s="1">
        <f t="shared" si="3"/>
        <v>1.1743250583862832E-7</v>
      </c>
      <c r="L12" s="1">
        <f t="shared" si="4"/>
        <v>3.7411058827205313E-7</v>
      </c>
      <c r="M12" s="1">
        <f t="shared" si="5"/>
        <v>1.0353361461690545E-3</v>
      </c>
      <c r="N12" s="1">
        <f t="shared" si="6"/>
        <v>6.2673128838632269E-5</v>
      </c>
      <c r="O12" s="1">
        <f t="shared" si="7"/>
        <v>1.8266390190657995E-4</v>
      </c>
      <c r="P12" s="1">
        <f t="shared" ref="P12:P38" si="9">F12+J12*$J$7+O12</f>
        <v>5.8556763012444985E-4</v>
      </c>
      <c r="Q12" s="1">
        <f t="shared" ref="Q12:Q38" si="10">G12+M12+N12+O12</f>
        <v>1.2824765325299349E-3</v>
      </c>
      <c r="R12" s="1">
        <f t="shared" ref="R12:R38" si="11">H12*$H$7+J12*$J$7+K12*$K$7</f>
        <v>3.9562484534370391E-4</v>
      </c>
      <c r="S12" s="1">
        <f t="shared" ref="S12:S38" si="12">I12+M12+2*N12-L12+O12+K12*$K$7</f>
        <v>1.3430108537632499E-3</v>
      </c>
      <c r="T12" s="1">
        <f t="shared" ref="T12:T38" si="13">P12-B12</f>
        <v>5.8552042022444982E-4</v>
      </c>
      <c r="U12" s="1">
        <f t="shared" ref="U12:U38" si="14">Q12-C12</f>
        <v>1.8260653252993495E-4</v>
      </c>
      <c r="V12" s="1">
        <f t="shared" ref="V12:V38" si="15">R12-D12</f>
        <v>3.9384484534370391E-4</v>
      </c>
      <c r="W12" s="1">
        <f t="shared" ref="W12:W38" si="16">S12-E12</f>
        <v>-1.0568925525489443E-7</v>
      </c>
      <c r="X12" cm="1">
        <f t="array" ref="X12">MAX(ABS(T12:W12/B12:E12))</f>
        <v>12402.492278620583</v>
      </c>
      <c r="Y12" s="1">
        <f t="shared" ref="Y12:Y38" si="17">1+I12*G12*$O$4+H12*$J$4*$J$7</f>
        <v>64.864295764696251</v>
      </c>
      <c r="Z12" s="1">
        <f t="shared" ref="Z12:Z38" si="18">F12*I12*$O$4</f>
        <v>101.29111547359076</v>
      </c>
      <c r="AA12" s="1">
        <f t="shared" ref="AA12:AA38" si="19">F12*$J$4*$J$7</f>
        <v>22.676256135989512</v>
      </c>
      <c r="AB12">
        <f t="shared" ref="AB12:AB38" si="20">I12*G12*$O$4</f>
        <v>20.233982804486221</v>
      </c>
      <c r="AC12">
        <f t="shared" ref="AC12:AC38" si="21">1+I12*$M$4+I12^2*$N$4+F12*I12*$O$4</f>
        <v>711.16119382523993</v>
      </c>
      <c r="AD12">
        <v>0</v>
      </c>
      <c r="AE12" s="9">
        <f t="shared" ref="AE12:AE38" si="22">H12*$J$4*$J$7</f>
        <v>43.630312960210027</v>
      </c>
      <c r="AF12">
        <f>0</f>
        <v>0</v>
      </c>
      <c r="AG12" s="1">
        <f t="shared" ref="AG12:AG38" si="23">$H$7+F12*$J$4*$J$7+I12*$K$4*$K$7</f>
        <v>22.776932218964905</v>
      </c>
      <c r="AH12" s="16">
        <f t="shared" ref="AH12:AH38" si="24">F12*G12*$O$4</f>
        <v>6786.607464264478</v>
      </c>
      <c r="AI12" s="16">
        <f t="shared" ref="AI12:AI38" si="25">G12*$M$4+2*I12*G12*$N$4+F12*G12*$O$4</f>
        <v>49910.047746474476</v>
      </c>
      <c r="AJ12" s="13">
        <f t="shared" ref="AJ12:AJ38" si="26">H12*$K$4*$K$7</f>
        <v>0.43630312960209933</v>
      </c>
      <c r="AK12" s="16">
        <f t="shared" ref="AK12:AK38" si="27">I12*G12*$O$4</f>
        <v>20.233982804486221</v>
      </c>
      <c r="AL12" s="16">
        <f t="shared" ref="AL12:AL38" si="28">I12*$M$4+2*I12^2*$N$4+F12*I12*$O$4</f>
        <v>744.91480996956057</v>
      </c>
      <c r="AM12" s="13">
        <f t="shared" ref="AM12:AM38" si="29">I12*$K$4*$K$7</f>
        <v>6.7608297539198143E-4</v>
      </c>
      <c r="AN12" s="13">
        <f t="shared" ref="AN12:AN38" si="30">1+G12*$M$4+4*I12*G12*$N$4+F12*G12*$O$4+I12^-2*$L$4+H12*$K$4*$K$7</f>
        <v>54582.438632175799</v>
      </c>
      <c r="AO12" cm="1">
        <f t="array" ref="AO12:AQ12">TRANSPOSE(MMULT(MINVERSE(_xlfn.WRAPCOLS(Y12:AG12,3)),TRANSPOSE(T12:V12)))</f>
        <v>-9.3882398603614505E-6</v>
      </c>
      <c r="AP12" s="1">
        <v>1.5939449876649657E-6</v>
      </c>
      <c r="AQ12" s="1">
        <v>2.6638134198694974E-5</v>
      </c>
      <c r="AR12">
        <v>0</v>
      </c>
    </row>
    <row r="13" spans="1:44" x14ac:dyDescent="0.25">
      <c r="A13">
        <f>A12+1</f>
        <v>2</v>
      </c>
      <c r="B13" s="1">
        <f t="shared" ref="B13:C38" si="31">B12</f>
        <v>4.7209899999999998E-8</v>
      </c>
      <c r="C13" s="1">
        <f t="shared" si="31"/>
        <v>1.09987E-3</v>
      </c>
      <c r="D13" s="1">
        <f t="shared" ref="D13:D38" si="32">D12</f>
        <v>1.7799999999999999E-6</v>
      </c>
      <c r="E13" s="1">
        <f t="shared" si="1"/>
        <v>1.7764207099102484E-4</v>
      </c>
      <c r="F13" s="1">
        <f t="shared" ref="F13:F74" si="33">F12-AO12</f>
        <v>1.8415820029406581E-5</v>
      </c>
      <c r="G13" s="1">
        <f t="shared" ref="G13:G74" si="34">G12-AP12</f>
        <v>2.0941062800307565E-7</v>
      </c>
      <c r="H13" s="1">
        <f t="shared" ref="H13:H74" si="35">H12-AQ12</f>
        <v>-9.268593755742249E-6</v>
      </c>
      <c r="I13" s="1">
        <f t="shared" ref="I13:I74" si="36">I12-AR12</f>
        <v>2.6915348039269097E-8</v>
      </c>
      <c r="J13" s="1">
        <f t="shared" si="2"/>
        <v>-4.287507665187722E-3</v>
      </c>
      <c r="K13" s="1">
        <f t="shared" si="3"/>
        <v>-6.2663384440817598E-8</v>
      </c>
      <c r="L13" s="1">
        <f t="shared" si="4"/>
        <v>3.7411058827205313E-7</v>
      </c>
      <c r="M13" s="1">
        <f t="shared" si="5"/>
        <v>1.2022608889774069E-4</v>
      </c>
      <c r="N13" s="1">
        <f t="shared" si="6"/>
        <v>7.2777765821600299E-6</v>
      </c>
      <c r="O13" s="1">
        <f t="shared" si="7"/>
        <v>4.3270287553637691E-5</v>
      </c>
      <c r="P13" s="1">
        <f t="shared" si="9"/>
        <v>-3.6706465893572798E-4</v>
      </c>
      <c r="Q13" s="1">
        <f t="shared" si="10"/>
        <v>1.7098356366154147E-4</v>
      </c>
      <c r="R13" s="1">
        <f t="shared" si="11"/>
        <v>-4.2968389223279051E-4</v>
      </c>
      <c r="S13" s="1">
        <f t="shared" si="12"/>
        <v>1.7769846803702158E-4</v>
      </c>
      <c r="T13" s="1">
        <f t="shared" si="13"/>
        <v>-3.6711186883572796E-4</v>
      </c>
      <c r="U13" s="1">
        <f t="shared" si="14"/>
        <v>-9.288864363384585E-4</v>
      </c>
      <c r="V13" s="1">
        <f t="shared" si="15"/>
        <v>-4.3146389223279051E-4</v>
      </c>
      <c r="W13" s="1">
        <f t="shared" si="16"/>
        <v>5.6397045996735198E-8</v>
      </c>
      <c r="X13" cm="1">
        <f t="array" ref="X13">MAX(ABS(T13:W13/B13:E13))</f>
        <v>7776.1628140650155</v>
      </c>
      <c r="Y13" s="1">
        <f t="shared" si="17"/>
        <v>-19.932029002759322</v>
      </c>
      <c r="Z13" s="1">
        <f t="shared" si="18"/>
        <v>206.62889924097917</v>
      </c>
      <c r="AA13" s="1">
        <f t="shared" si="19"/>
        <v>46.25844845698893</v>
      </c>
      <c r="AB13">
        <f t="shared" si="20"/>
        <v>2.3496258914641448</v>
      </c>
      <c r="AC13">
        <f t="shared" si="21"/>
        <v>816.49897759262831</v>
      </c>
      <c r="AD13">
        <v>0</v>
      </c>
      <c r="AE13" s="9">
        <f t="shared" si="22"/>
        <v>-23.281654894223465</v>
      </c>
      <c r="AF13">
        <f>0</f>
        <v>0</v>
      </c>
      <c r="AG13" s="1">
        <f t="shared" si="23"/>
        <v>46.35912453996432</v>
      </c>
      <c r="AH13" s="16">
        <f t="shared" si="24"/>
        <v>1607.6436199341347</v>
      </c>
      <c r="AI13" s="16">
        <f t="shared" si="25"/>
        <v>6615.2564460962312</v>
      </c>
      <c r="AJ13" s="13">
        <f t="shared" si="26"/>
        <v>-0.23281654894223416</v>
      </c>
      <c r="AK13" s="16">
        <f t="shared" si="27"/>
        <v>2.3496258914641448</v>
      </c>
      <c r="AL13" s="16">
        <f t="shared" si="28"/>
        <v>850.25259373694905</v>
      </c>
      <c r="AM13" s="13">
        <f t="shared" si="29"/>
        <v>6.7608297539198143E-4</v>
      </c>
      <c r="AN13" s="13">
        <f t="shared" si="30"/>
        <v>7170.7132338135962</v>
      </c>
      <c r="AO13" cm="1">
        <f t="array" ref="AO13:AQ13">TRANSPOSE(MMULT(MINVERSE(_xlfn.WRAPCOLS(Y13:AG13,3)),TRANSPOSE(T13:V13)))</f>
        <v>-2.1487555553689161E-4</v>
      </c>
      <c r="AP13" s="1">
        <v>5.3240254147301469E-5</v>
      </c>
      <c r="AQ13" s="1">
        <v>2.0510193004271712E-4</v>
      </c>
      <c r="AR13">
        <v>0</v>
      </c>
    </row>
    <row r="14" spans="1:44" x14ac:dyDescent="0.25">
      <c r="A14">
        <f t="shared" ref="A14:A38" si="37">A13+1</f>
        <v>3</v>
      </c>
      <c r="B14" s="1">
        <f t="shared" si="31"/>
        <v>4.7209899999999998E-8</v>
      </c>
      <c r="C14" s="1">
        <f t="shared" si="31"/>
        <v>1.09987E-3</v>
      </c>
      <c r="D14" s="1">
        <f t="shared" si="32"/>
        <v>1.7799999999999999E-6</v>
      </c>
      <c r="E14" s="1">
        <f t="shared" si="1"/>
        <v>-0.17294577025319186</v>
      </c>
      <c r="F14" s="1">
        <f t="shared" si="33"/>
        <v>2.3329137556629819E-4</v>
      </c>
      <c r="G14" s="1">
        <f t="shared" si="34"/>
        <v>-5.3030843519298395E-5</v>
      </c>
      <c r="H14" s="1">
        <f t="shared" si="35"/>
        <v>-2.1437052379845935E-4</v>
      </c>
      <c r="I14" s="1">
        <f t="shared" si="36"/>
        <v>2.6915348039269097E-8</v>
      </c>
      <c r="J14" s="1">
        <f t="shared" si="2"/>
        <v>-1.2562143582663814</v>
      </c>
      <c r="K14" s="1">
        <f t="shared" si="3"/>
        <v>-1.4493226156599996E-6</v>
      </c>
      <c r="L14" s="1">
        <f t="shared" si="4"/>
        <v>3.7411058827205313E-7</v>
      </c>
      <c r="M14" s="1">
        <f t="shared" si="5"/>
        <v>-3.0445880269170025E-2</v>
      </c>
      <c r="N14" s="1">
        <f t="shared" si="6"/>
        <v>-1.8430135794792345E-3</v>
      </c>
      <c r="O14" s="1">
        <f t="shared" si="7"/>
        <v>-0.13881206630720747</v>
      </c>
      <c r="P14" s="1">
        <f t="shared" si="9"/>
        <v>-0.26420021075827932</v>
      </c>
      <c r="Q14" s="1">
        <f t="shared" si="10"/>
        <v>-0.17115399099937603</v>
      </c>
      <c r="R14" s="1">
        <f t="shared" si="11"/>
        <v>-0.12564301781127954</v>
      </c>
      <c r="S14" s="1">
        <f t="shared" si="12"/>
        <v>-0.17294446586283774</v>
      </c>
      <c r="T14" s="1">
        <f t="shared" si="13"/>
        <v>-0.26420025796817931</v>
      </c>
      <c r="U14" s="1">
        <f t="shared" si="14"/>
        <v>-0.17225386099937604</v>
      </c>
      <c r="V14" s="1">
        <f t="shared" si="15"/>
        <v>-0.12564479781127955</v>
      </c>
      <c r="W14" s="1">
        <f t="shared" si="16"/>
        <v>1.3043903541176682E-6</v>
      </c>
      <c r="X14" cm="1">
        <f t="array" ref="X14">MAX(ABS(T14:W14/B14:E14))</f>
        <v>5596289.2945797238</v>
      </c>
      <c r="Y14" s="1">
        <f t="shared" si="17"/>
        <v>-1132.4902608034786</v>
      </c>
      <c r="Z14" s="1">
        <f t="shared" si="18"/>
        <v>2617.5722861487679</v>
      </c>
      <c r="AA14" s="1">
        <f t="shared" si="19"/>
        <v>586.00144087319234</v>
      </c>
      <c r="AB14">
        <f t="shared" si="20"/>
        <v>-595.01585075852495</v>
      </c>
      <c r="AC14">
        <f t="shared" si="21"/>
        <v>3227.4423645004172</v>
      </c>
      <c r="AD14">
        <v>0</v>
      </c>
      <c r="AE14" s="9">
        <f t="shared" si="22"/>
        <v>-538.47441004495374</v>
      </c>
      <c r="AF14">
        <f>0</f>
        <v>0</v>
      </c>
      <c r="AG14" s="1">
        <f t="shared" si="23"/>
        <v>586.10211695616772</v>
      </c>
      <c r="AH14" s="16">
        <f t="shared" si="24"/>
        <v>-5157357.2856900347</v>
      </c>
      <c r="AI14" s="16">
        <f t="shared" si="25"/>
        <v>-6425477.8902733587</v>
      </c>
      <c r="AJ14" s="13">
        <f t="shared" si="26"/>
        <v>-5.3847441004495256</v>
      </c>
      <c r="AK14" s="16">
        <f t="shared" si="27"/>
        <v>-595.01585075852495</v>
      </c>
      <c r="AL14" s="16">
        <f t="shared" si="28"/>
        <v>3261.1959806447376</v>
      </c>
      <c r="AM14" s="13">
        <f t="shared" si="29"/>
        <v>6.7608297539198143E-4</v>
      </c>
      <c r="AN14" s="13">
        <f t="shared" si="30"/>
        <v>-6562417.2699873503</v>
      </c>
      <c r="AO14" cm="1">
        <f t="array" ref="AO14:AQ14">TRANSPOSE(MMULT(MINVERSE(_xlfn.WRAPCOLS(Y14:AG14,3)),TRANSPOSE(T14:V14)))</f>
        <v>3.6886538340579825E-3</v>
      </c>
      <c r="AP14" s="1">
        <v>-3.0450030706426507E-3</v>
      </c>
      <c r="AQ14" s="1">
        <v>-3.9023937864785668E-3</v>
      </c>
      <c r="AR14">
        <v>0</v>
      </c>
    </row>
    <row r="15" spans="1:44" x14ac:dyDescent="0.25">
      <c r="A15">
        <f t="shared" si="37"/>
        <v>4</v>
      </c>
      <c r="B15" s="1">
        <f t="shared" si="31"/>
        <v>4.7209899999999998E-8</v>
      </c>
      <c r="C15" s="1">
        <f t="shared" si="31"/>
        <v>1.09987E-3</v>
      </c>
      <c r="D15" s="1">
        <f t="shared" si="32"/>
        <v>1.7799999999999999E-6</v>
      </c>
      <c r="E15" s="1">
        <f t="shared" si="1"/>
        <v>-114.07244935176858</v>
      </c>
      <c r="F15" s="1">
        <f t="shared" si="33"/>
        <v>-3.4553624584916843E-3</v>
      </c>
      <c r="G15" s="1">
        <f t="shared" si="34"/>
        <v>2.9919722271233521E-3</v>
      </c>
      <c r="H15" s="1">
        <f t="shared" si="35"/>
        <v>3.6880232626801076E-3</v>
      </c>
      <c r="I15" s="1">
        <f t="shared" si="36"/>
        <v>2.6915348039269097E-8</v>
      </c>
      <c r="J15" s="1">
        <f t="shared" si="2"/>
        <v>-320.1011705011843</v>
      </c>
      <c r="K15" s="1">
        <f t="shared" si="3"/>
        <v>2.4934097407476103E-5</v>
      </c>
      <c r="L15" s="1">
        <f t="shared" si="4"/>
        <v>3.7411058827205313E-7</v>
      </c>
      <c r="M15" s="1">
        <f t="shared" si="5"/>
        <v>1.7177405100586403</v>
      </c>
      <c r="N15" s="1">
        <f t="shared" si="6"/>
        <v>0.10398185429591333</v>
      </c>
      <c r="O15" s="1">
        <f t="shared" si="7"/>
        <v>-115.99817815732122</v>
      </c>
      <c r="P15" s="1">
        <f t="shared" si="9"/>
        <v>-148.01175056989814</v>
      </c>
      <c r="Q15" s="1">
        <f t="shared" si="10"/>
        <v>-114.17346382073954</v>
      </c>
      <c r="R15" s="1">
        <f t="shared" si="11"/>
        <v>-32.009745754382422</v>
      </c>
      <c r="S15" s="1">
        <f t="shared" si="12"/>
        <v>-114.07247179245626</v>
      </c>
      <c r="T15" s="1">
        <f t="shared" si="13"/>
        <v>-148.01175061710805</v>
      </c>
      <c r="U15" s="1">
        <f t="shared" si="14"/>
        <v>-114.17456369073955</v>
      </c>
      <c r="V15" s="1">
        <f t="shared" si="15"/>
        <v>-32.00974753438242</v>
      </c>
      <c r="W15" s="1">
        <f t="shared" si="16"/>
        <v>-2.2440687672542481E-5</v>
      </c>
      <c r="X15" cm="1">
        <f t="array" ref="X15">MAX(ABS(T15:W15/B15:E15))</f>
        <v>3135184582.4097924</v>
      </c>
      <c r="Y15" s="1">
        <f t="shared" si="17"/>
        <v>42835.376128531367</v>
      </c>
      <c r="Z15" s="1">
        <f t="shared" si="18"/>
        <v>-38769.804447298731</v>
      </c>
      <c r="AA15" s="1">
        <f t="shared" si="19"/>
        <v>-8679.4780754328804</v>
      </c>
      <c r="AB15">
        <f t="shared" si="20"/>
        <v>33570.480535913477</v>
      </c>
      <c r="AC15">
        <f t="shared" si="21"/>
        <v>-38159.934368947084</v>
      </c>
      <c r="AD15">
        <v>0</v>
      </c>
      <c r="AE15" s="9">
        <f t="shared" si="22"/>
        <v>9263.8955926178896</v>
      </c>
      <c r="AF15">
        <f>0</f>
        <v>0</v>
      </c>
      <c r="AG15" s="1">
        <f t="shared" si="23"/>
        <v>-8679.3773993499053</v>
      </c>
      <c r="AH15" s="16">
        <f t="shared" si="24"/>
        <v>-4309740969.6535072</v>
      </c>
      <c r="AI15" s="16">
        <f t="shared" si="25"/>
        <v>-4238194273.8485379</v>
      </c>
      <c r="AJ15" s="13">
        <f t="shared" si="26"/>
        <v>92.63895592617871</v>
      </c>
      <c r="AK15" s="16">
        <f t="shared" si="27"/>
        <v>33570.480535913477</v>
      </c>
      <c r="AL15" s="16">
        <f t="shared" si="28"/>
        <v>-38126.180752802764</v>
      </c>
      <c r="AM15" s="13">
        <f t="shared" si="29"/>
        <v>6.7608297539198143E-4</v>
      </c>
      <c r="AN15" s="13">
        <f t="shared" si="30"/>
        <v>-4230467581.8984995</v>
      </c>
      <c r="AO15" cm="1">
        <f t="array" ref="AO15:AQ15">TRANSPOSE(MMULT(MINVERSE(_xlfn.WRAPCOLS(Y15:AG15,3)),TRANSPOSE(T15:V15)))</f>
        <v>0.52764145155015141</v>
      </c>
      <c r="AP15" s="1">
        <v>-0.53308218862533563</v>
      </c>
      <c r="AQ15" s="1">
        <v>-0.52395954843781312</v>
      </c>
      <c r="AR15">
        <v>0</v>
      </c>
    </row>
    <row r="16" spans="1:44" x14ac:dyDescent="0.25">
      <c r="A16">
        <f t="shared" si="37"/>
        <v>5</v>
      </c>
      <c r="B16" s="1">
        <f t="shared" si="31"/>
        <v>4.7209899999999998E-8</v>
      </c>
      <c r="C16" s="1">
        <f t="shared" si="31"/>
        <v>1.09987E-3</v>
      </c>
      <c r="D16" s="1">
        <f t="shared" si="32"/>
        <v>1.7799999999999999E-6</v>
      </c>
      <c r="E16" s="1">
        <f t="shared" si="1"/>
        <v>-3194123.1764123589</v>
      </c>
      <c r="F16" s="1">
        <f t="shared" si="33"/>
        <v>-0.53109681400864306</v>
      </c>
      <c r="G16" s="1">
        <f t="shared" si="34"/>
        <v>0.53607416085245896</v>
      </c>
      <c r="H16" s="1">
        <f t="shared" si="35"/>
        <v>0.52764757170049326</v>
      </c>
      <c r="I16" s="1">
        <f t="shared" si="36"/>
        <v>2.6915348039269097E-8</v>
      </c>
      <c r="J16" s="1">
        <f t="shared" si="2"/>
        <v>-7039108.1843594378</v>
      </c>
      <c r="K16" s="1">
        <f t="shared" si="3"/>
        <v>3.5673354023362334E-3</v>
      </c>
      <c r="L16" s="1">
        <f t="shared" si="4"/>
        <v>3.7411058827205313E-7</v>
      </c>
      <c r="M16" s="1">
        <f t="shared" si="5"/>
        <v>307.76900070937603</v>
      </c>
      <c r="N16" s="1">
        <f t="shared" si="6"/>
        <v>18.6305156111552</v>
      </c>
      <c r="O16" s="1">
        <f t="shared" si="7"/>
        <v>-3194468.2100112787</v>
      </c>
      <c r="P16" s="1">
        <f t="shared" si="9"/>
        <v>-3898379.5595440366</v>
      </c>
      <c r="Q16" s="1">
        <f t="shared" si="10"/>
        <v>-3194141.2744207974</v>
      </c>
      <c r="R16" s="1">
        <f t="shared" si="11"/>
        <v>-703910.76531445305</v>
      </c>
      <c r="S16" s="1">
        <f t="shared" si="12"/>
        <v>-3194123.1796229607</v>
      </c>
      <c r="T16" s="1">
        <f t="shared" si="13"/>
        <v>-3898379.5595440837</v>
      </c>
      <c r="U16" s="1">
        <f t="shared" si="14"/>
        <v>-3194141.2755206674</v>
      </c>
      <c r="V16" s="1">
        <f t="shared" si="15"/>
        <v>-703910.76531623304</v>
      </c>
      <c r="W16" s="1">
        <f t="shared" si="16"/>
        <v>-3.2106018625199795E-3</v>
      </c>
      <c r="X16" cm="1">
        <f t="array" ref="X16">MAX(ABS(T16:W16/B16:E16))</f>
        <v>82575467424080.203</v>
      </c>
      <c r="Y16" s="1">
        <f t="shared" si="17"/>
        <v>7340242.7894824352</v>
      </c>
      <c r="Z16" s="1">
        <f t="shared" si="18"/>
        <v>-5959004.2633867525</v>
      </c>
      <c r="AA16" s="1">
        <f t="shared" si="19"/>
        <v>-1334054.8809262828</v>
      </c>
      <c r="AB16">
        <f t="shared" si="20"/>
        <v>6014851.013508983</v>
      </c>
      <c r="AC16">
        <f t="shared" si="21"/>
        <v>-5958394.3933084011</v>
      </c>
      <c r="AD16">
        <v>0</v>
      </c>
      <c r="AE16" s="9">
        <f t="shared" si="22"/>
        <v>1325390.7759734525</v>
      </c>
      <c r="AF16">
        <f>0</f>
        <v>0</v>
      </c>
      <c r="AG16" s="1">
        <f t="shared" si="23"/>
        <v>-1334054.7802501998</v>
      </c>
      <c r="AH16" s="16">
        <f t="shared" si="24"/>
        <v>-118685747825017.77</v>
      </c>
      <c r="AI16" s="16">
        <f t="shared" si="25"/>
        <v>-118672928743821.84</v>
      </c>
      <c r="AJ16" s="13">
        <f t="shared" si="26"/>
        <v>13253.907759734497</v>
      </c>
      <c r="AK16" s="16">
        <f t="shared" si="27"/>
        <v>6014851.013508983</v>
      </c>
      <c r="AL16" s="16">
        <f t="shared" si="28"/>
        <v>-5958360.6396922562</v>
      </c>
      <c r="AM16" s="13">
        <f t="shared" si="29"/>
        <v>6.7608297539198143E-4</v>
      </c>
      <c r="AN16" s="13">
        <f t="shared" si="30"/>
        <v>-118671544351975.88</v>
      </c>
      <c r="AO16" cm="1">
        <f t="array" ref="AO16:AQ16">TRANSPOSE(MMULT(MINVERSE(_xlfn.WRAPCOLS(Y16:AG16,3)),TRANSPOSE(T16:V16)))</f>
        <v>12724.101625191957</v>
      </c>
      <c r="AP16" s="1">
        <v>-12724.867923506266</v>
      </c>
      <c r="AQ16" s="1">
        <v>-12723.574937860214</v>
      </c>
      <c r="AR16">
        <v>0</v>
      </c>
    </row>
    <row r="17" spans="1:44" x14ac:dyDescent="0.25">
      <c r="A17">
        <f t="shared" si="37"/>
        <v>6</v>
      </c>
      <c r="B17" s="1">
        <f t="shared" si="31"/>
        <v>4.7209899999999998E-8</v>
      </c>
      <c r="C17" s="1">
        <f t="shared" si="31"/>
        <v>1.09987E-3</v>
      </c>
      <c r="D17" s="1">
        <f t="shared" si="32"/>
        <v>1.7799999999999999E-6</v>
      </c>
      <c r="E17" s="1">
        <f t="shared" si="1"/>
        <v>-1816840627607686.3</v>
      </c>
      <c r="F17" s="1">
        <f t="shared" si="33"/>
        <v>-12724.632722005967</v>
      </c>
      <c r="G17" s="1">
        <f t="shared" si="34"/>
        <v>12725.403997667119</v>
      </c>
      <c r="H17" s="1">
        <f t="shared" si="35"/>
        <v>12724.102585431914</v>
      </c>
      <c r="I17" s="1">
        <f t="shared" si="36"/>
        <v>2.6915348039269097E-8</v>
      </c>
      <c r="J17" s="1">
        <f t="shared" si="2"/>
        <v>-4066983568561245.5</v>
      </c>
      <c r="K17" s="1">
        <f t="shared" si="3"/>
        <v>86.025491351516123</v>
      </c>
      <c r="L17" s="1">
        <f t="shared" si="4"/>
        <v>3.7411058827205313E-7</v>
      </c>
      <c r="M17" s="1">
        <f t="shared" si="5"/>
        <v>7305863.9232996404</v>
      </c>
      <c r="N17" s="1">
        <f t="shared" si="6"/>
        <v>442253.8058163274</v>
      </c>
      <c r="O17" s="1">
        <f t="shared" si="7"/>
        <v>-1816840635798143.8</v>
      </c>
      <c r="P17" s="1">
        <f t="shared" si="9"/>
        <v>-2223538992666993</v>
      </c>
      <c r="Q17" s="1">
        <f t="shared" si="10"/>
        <v>-1816840628037300.5</v>
      </c>
      <c r="R17" s="1">
        <f t="shared" si="11"/>
        <v>-406698356854843.5</v>
      </c>
      <c r="S17" s="1">
        <f t="shared" si="12"/>
        <v>-1816840627607763.8</v>
      </c>
      <c r="T17" s="1">
        <f t="shared" si="13"/>
        <v>-2223538992666993</v>
      </c>
      <c r="U17" s="1">
        <f t="shared" si="14"/>
        <v>-1816840628037300.5</v>
      </c>
      <c r="V17" s="1">
        <f t="shared" si="15"/>
        <v>-406698356854843.5</v>
      </c>
      <c r="W17" s="1">
        <f t="shared" si="16"/>
        <v>-77.5</v>
      </c>
      <c r="X17" cm="1">
        <f t="array" ref="X17">MAX(ABS(T17:W17/B17:E17))</f>
        <v>4.7098998147994238E+22</v>
      </c>
      <c r="Y17" s="1">
        <f t="shared" si="17"/>
        <v>174742881876.78741</v>
      </c>
      <c r="Z17" s="1">
        <f t="shared" si="18"/>
        <v>-142772727383.05325</v>
      </c>
      <c r="AA17" s="1">
        <f t="shared" si="19"/>
        <v>-31962832280.349728</v>
      </c>
      <c r="AB17">
        <f t="shared" si="20"/>
        <v>142781381238.3049</v>
      </c>
      <c r="AC17">
        <f t="shared" si="21"/>
        <v>-142772726773.18317</v>
      </c>
      <c r="AD17">
        <v>0</v>
      </c>
      <c r="AE17" s="9">
        <f t="shared" si="22"/>
        <v>31961500637.482513</v>
      </c>
      <c r="AF17">
        <f>0</f>
        <v>0</v>
      </c>
      <c r="AG17" s="1">
        <f t="shared" si="23"/>
        <v>-31962832280.249054</v>
      </c>
      <c r="AH17" s="16">
        <f t="shared" si="24"/>
        <v>-6.7502030185431736E+22</v>
      </c>
      <c r="AI17" s="16">
        <f t="shared" si="25"/>
        <v>-6.7502029881130577E+22</v>
      </c>
      <c r="AJ17" s="13">
        <f t="shared" si="26"/>
        <v>319615006.37482446</v>
      </c>
      <c r="AK17" s="16">
        <f t="shared" si="27"/>
        <v>142781381238.3049</v>
      </c>
      <c r="AL17" s="16">
        <f t="shared" si="28"/>
        <v>-142772726739.42957</v>
      </c>
      <c r="AM17" s="13">
        <f t="shared" si="29"/>
        <v>6.7608297539198143E-4</v>
      </c>
      <c r="AN17" s="13">
        <f t="shared" si="30"/>
        <v>-6.7502029848267685E+22</v>
      </c>
      <c r="AO17" cm="1">
        <f t="array" ref="AO17:AQ17">TRANSPOSE(MMULT(MINVERSE(_xlfn.WRAPCOLS(Y17:AG17,3)),TRANSPOSE(T17:V17)))</f>
        <v>7302323182218.7549</v>
      </c>
      <c r="AP17" s="1">
        <v>-7302323200686.0615</v>
      </c>
      <c r="AQ17" s="1">
        <v>-7302323169517.6523</v>
      </c>
      <c r="AR17">
        <v>0</v>
      </c>
    </row>
    <row r="18" spans="1:44" x14ac:dyDescent="0.25">
      <c r="A18">
        <f t="shared" si="37"/>
        <v>7</v>
      </c>
      <c r="B18" s="1">
        <f t="shared" si="31"/>
        <v>4.7209899999999998E-8</v>
      </c>
      <c r="C18" s="1">
        <f t="shared" si="31"/>
        <v>1.09987E-3</v>
      </c>
      <c r="D18" s="1">
        <f t="shared" si="32"/>
        <v>1.7799999999999999E-6</v>
      </c>
      <c r="E18" s="1">
        <f t="shared" si="1"/>
        <v>-5.9830426983815469E+32</v>
      </c>
      <c r="F18" s="1">
        <f t="shared" si="33"/>
        <v>-7302323194943.3877</v>
      </c>
      <c r="G18" s="1">
        <f t="shared" si="34"/>
        <v>7302323213411.4658</v>
      </c>
      <c r="H18" s="1">
        <f t="shared" si="35"/>
        <v>7302323182241.7549</v>
      </c>
      <c r="I18" s="1">
        <f t="shared" si="36"/>
        <v>2.6915348039269097E-8</v>
      </c>
      <c r="J18" s="1">
        <f t="shared" si="2"/>
        <v>-1.33943641046504E+33</v>
      </c>
      <c r="K18" s="1">
        <f t="shared" si="3"/>
        <v>49369763843.23848</v>
      </c>
      <c r="L18" s="1">
        <f t="shared" si="4"/>
        <v>3.7411058827205313E-7</v>
      </c>
      <c r="M18" s="1">
        <f t="shared" si="5"/>
        <v>4192383969178240.5</v>
      </c>
      <c r="N18" s="1">
        <f t="shared" si="6"/>
        <v>253782137920664.66</v>
      </c>
      <c r="O18" s="1">
        <f t="shared" si="7"/>
        <v>-5.9830426983815469E+32</v>
      </c>
      <c r="P18" s="1">
        <f t="shared" si="9"/>
        <v>-7.3224791088465875E+32</v>
      </c>
      <c r="Q18" s="1">
        <f t="shared" si="10"/>
        <v>-5.9830426983815469E+32</v>
      </c>
      <c r="R18" s="1">
        <f t="shared" si="11"/>
        <v>-1.33943641046504E+32</v>
      </c>
      <c r="S18" s="1">
        <f t="shared" si="12"/>
        <v>-5.9830426983815469E+32</v>
      </c>
      <c r="T18" s="1">
        <f t="shared" si="13"/>
        <v>-7.3224791088465875E+32</v>
      </c>
      <c r="U18" s="1">
        <f t="shared" si="14"/>
        <v>-5.9830426983815469E+32</v>
      </c>
      <c r="V18" s="1">
        <f t="shared" si="15"/>
        <v>-1.33943641046504E+32</v>
      </c>
      <c r="W18" s="1">
        <f t="shared" si="16"/>
        <v>0</v>
      </c>
      <c r="X18" cm="1">
        <f t="array" ref="X18">MAX(ABS(T18:W18/B18:E18))</f>
        <v>1.5510473669392622E+40</v>
      </c>
      <c r="Y18" s="1">
        <f t="shared" si="17"/>
        <v>1.002760205672238E+20</v>
      </c>
      <c r="Z18" s="1">
        <f t="shared" si="18"/>
        <v>-8.1933413840037577E+19</v>
      </c>
      <c r="AA18" s="1">
        <f t="shared" si="19"/>
        <v>-1.8342606551876053E+19</v>
      </c>
      <c r="AB18">
        <f t="shared" si="20"/>
        <v>8.1933414047252808E+19</v>
      </c>
      <c r="AC18">
        <f t="shared" si="21"/>
        <v>-8.1933413840037577E+19</v>
      </c>
      <c r="AD18">
        <v>0</v>
      </c>
      <c r="AE18" s="9">
        <f t="shared" si="22"/>
        <v>1.8342606519970996E+19</v>
      </c>
      <c r="AF18">
        <f>0</f>
        <v>0</v>
      </c>
      <c r="AG18" s="1">
        <f t="shared" si="23"/>
        <v>-1.8342606551876053E+19</v>
      </c>
      <c r="AH18" s="16">
        <f t="shared" si="24"/>
        <v>-2.2229111396413583E+40</v>
      </c>
      <c r="AI18" s="16">
        <f t="shared" si="25"/>
        <v>-2.2229111396413583E+40</v>
      </c>
      <c r="AJ18" s="13">
        <f t="shared" si="26"/>
        <v>1.8342606519970957E+17</v>
      </c>
      <c r="AK18" s="16">
        <f t="shared" si="27"/>
        <v>8.1933414047252808E+19</v>
      </c>
      <c r="AL18" s="16">
        <f t="shared" si="28"/>
        <v>-8.1933413840037577E+19</v>
      </c>
      <c r="AM18" s="13">
        <f t="shared" si="29"/>
        <v>6.7608297539198143E-4</v>
      </c>
      <c r="AN18" s="13">
        <f t="shared" si="30"/>
        <v>-2.2229111396413583E+40</v>
      </c>
      <c r="AO18" cm="1">
        <f t="array" ref="AO18:AQ18">TRANSPOSE(MMULT(MINVERSE(_xlfn.WRAPCOLS(Y18:AG18,3)),TRANSPOSE(T18:V18)))</f>
        <v>7.1508584928988193E+29</v>
      </c>
      <c r="AP18" s="1">
        <v>-7.1508584928988193E+29</v>
      </c>
      <c r="AQ18" s="1">
        <v>-7.1508584928988193E+29</v>
      </c>
      <c r="AR18">
        <v>0</v>
      </c>
    </row>
    <row r="19" spans="1:44" x14ac:dyDescent="0.25">
      <c r="A19">
        <f t="shared" si="37"/>
        <v>8</v>
      </c>
      <c r="B19" s="1">
        <f t="shared" si="31"/>
        <v>4.7209899999999998E-8</v>
      </c>
      <c r="C19" s="1">
        <f t="shared" si="31"/>
        <v>1.09987E-3</v>
      </c>
      <c r="D19" s="1">
        <f t="shared" si="32"/>
        <v>1.7799999999999999E-6</v>
      </c>
      <c r="E19" s="1">
        <f t="shared" si="1"/>
        <v>-5.7374163658708705E+66</v>
      </c>
      <c r="F19" s="1">
        <f t="shared" si="33"/>
        <v>-7.1508584928988193E+29</v>
      </c>
      <c r="G19" s="1">
        <f t="shared" si="34"/>
        <v>7.1508584928988193E+29</v>
      </c>
      <c r="H19" s="1">
        <f t="shared" si="35"/>
        <v>7.1508584928988193E+29</v>
      </c>
      <c r="I19" s="1">
        <f t="shared" si="36"/>
        <v>2.6915348039269097E-8</v>
      </c>
      <c r="J19" s="1">
        <f t="shared" si="2"/>
        <v>-1.2844475299043108E+67</v>
      </c>
      <c r="K19" s="1">
        <f t="shared" si="3"/>
        <v>4.8345736864860535E+27</v>
      </c>
      <c r="L19" s="1">
        <f t="shared" si="4"/>
        <v>3.7411058827205313E-7</v>
      </c>
      <c r="M19" s="1">
        <f t="shared" si="5"/>
        <v>4.105425579688298E+32</v>
      </c>
      <c r="N19" s="1">
        <f t="shared" si="6"/>
        <v>2.4851819116456134E+31</v>
      </c>
      <c r="O19" s="1">
        <f t="shared" si="7"/>
        <v>-5.7374163658708705E+66</v>
      </c>
      <c r="P19" s="1">
        <f t="shared" si="9"/>
        <v>-7.0218638957751813E+66</v>
      </c>
      <c r="Q19" s="1">
        <f t="shared" si="10"/>
        <v>-5.7374163658708705E+66</v>
      </c>
      <c r="R19" s="1">
        <f t="shared" si="11"/>
        <v>-1.2844475299043108E+66</v>
      </c>
      <c r="S19" s="1">
        <f t="shared" si="12"/>
        <v>-5.7374163658708705E+66</v>
      </c>
      <c r="T19" s="1">
        <f t="shared" si="13"/>
        <v>-7.0218638957751813E+66</v>
      </c>
      <c r="U19" s="1">
        <f t="shared" si="14"/>
        <v>-5.7374163658708705E+66</v>
      </c>
      <c r="V19" s="1">
        <f t="shared" si="15"/>
        <v>-1.2844475299043108E+66</v>
      </c>
      <c r="W19" s="1">
        <f t="shared" si="16"/>
        <v>0</v>
      </c>
      <c r="X19" cm="1">
        <f t="array" ref="X19">MAX(ABS(T19:W19/B19:E19))</f>
        <v>1.4873710589887252E+74</v>
      </c>
      <c r="Y19" s="1">
        <f t="shared" si="17"/>
        <v>9.8196096353301697E+36</v>
      </c>
      <c r="Z19" s="1">
        <f t="shared" si="18"/>
        <v>-8.0233951931344034E+36</v>
      </c>
      <c r="AA19" s="1">
        <f t="shared" si="19"/>
        <v>-1.796214442195766E+36</v>
      </c>
      <c r="AB19">
        <f t="shared" si="20"/>
        <v>8.0233951931344034E+36</v>
      </c>
      <c r="AC19">
        <f t="shared" si="21"/>
        <v>-8.0233951931344034E+36</v>
      </c>
      <c r="AD19">
        <v>0</v>
      </c>
      <c r="AE19" s="9">
        <f t="shared" si="22"/>
        <v>1.796214442195766E+36</v>
      </c>
      <c r="AF19">
        <f>0</f>
        <v>0</v>
      </c>
      <c r="AG19" s="1">
        <f t="shared" si="23"/>
        <v>-1.796214442195766E+36</v>
      </c>
      <c r="AH19" s="16">
        <f t="shared" si="24"/>
        <v>-2.1316523039197059E+74</v>
      </c>
      <c r="AI19" s="16">
        <f t="shared" si="25"/>
        <v>-2.1316523039197059E+74</v>
      </c>
      <c r="AJ19" s="13">
        <f t="shared" si="26"/>
        <v>1.7962144421957621E+34</v>
      </c>
      <c r="AK19" s="16">
        <f t="shared" si="27"/>
        <v>8.0233951931344034E+36</v>
      </c>
      <c r="AL19" s="16">
        <f t="shared" si="28"/>
        <v>-8.0233951931344034E+36</v>
      </c>
      <c r="AM19" s="13">
        <f t="shared" si="29"/>
        <v>6.7608297539198143E-4</v>
      </c>
      <c r="AN19" s="13">
        <f t="shared" si="30"/>
        <v>-2.1316523039197059E+74</v>
      </c>
      <c r="AO19" cm="1">
        <f t="array" ref="AO19:AQ19">TRANSPOSE(MMULT(MINVERSE(_xlfn.WRAPCOLS(Y19:AG19,3)),TRANSPOSE(T19:V19)))</f>
        <v>-2.379100028342805E+46</v>
      </c>
      <c r="AP19" s="1">
        <v>2.379100028342805E+46</v>
      </c>
      <c r="AQ19" s="1">
        <v>2.379100028342805E+46</v>
      </c>
      <c r="AR19">
        <v>0</v>
      </c>
    </row>
    <row r="20" spans="1:44" x14ac:dyDescent="0.25">
      <c r="A20">
        <f t="shared" si="37"/>
        <v>9</v>
      </c>
      <c r="B20" s="1">
        <f t="shared" si="31"/>
        <v>4.7209899999999998E-8</v>
      </c>
      <c r="C20" s="1">
        <f t="shared" si="31"/>
        <v>1.09987E-3</v>
      </c>
      <c r="D20" s="1">
        <f t="shared" si="32"/>
        <v>1.7799999999999999E-6</v>
      </c>
      <c r="E20" s="1">
        <f t="shared" si="1"/>
        <v>-6.3507556656409955E+99</v>
      </c>
      <c r="F20" s="1">
        <f t="shared" si="33"/>
        <v>2.379100028342805E+46</v>
      </c>
      <c r="G20" s="1">
        <f t="shared" si="34"/>
        <v>-2.379100028342805E+46</v>
      </c>
      <c r="H20" s="1">
        <f t="shared" si="35"/>
        <v>-2.379100028342805E+46</v>
      </c>
      <c r="I20" s="1">
        <f t="shared" si="36"/>
        <v>2.6915348039269097E-8</v>
      </c>
      <c r="J20" s="1">
        <f t="shared" si="2"/>
        <v>-1.4217570954553194E+100</v>
      </c>
      <c r="K20" s="1">
        <f t="shared" si="3"/>
        <v>-1.6084690259171508E+44</v>
      </c>
      <c r="L20" s="1">
        <f t="shared" si="4"/>
        <v>3.7411058827205313E-7</v>
      </c>
      <c r="M20" s="1">
        <f t="shared" si="5"/>
        <v>-1.3658804915095259E+49</v>
      </c>
      <c r="N20" s="1">
        <f t="shared" si="6"/>
        <v>-8.2682329153968389E+47</v>
      </c>
      <c r="O20" s="1">
        <f t="shared" si="7"/>
        <v>-6.3507556656409955E+99</v>
      </c>
      <c r="P20" s="1">
        <f t="shared" si="9"/>
        <v>-7.7725127610963148E+99</v>
      </c>
      <c r="Q20" s="1">
        <f t="shared" si="10"/>
        <v>-6.3507556656409955E+99</v>
      </c>
      <c r="R20" s="1">
        <f t="shared" si="11"/>
        <v>-1.4217570954553194E+99</v>
      </c>
      <c r="S20" s="1">
        <f t="shared" si="12"/>
        <v>-6.3507556656409955E+99</v>
      </c>
      <c r="T20" s="1">
        <f t="shared" si="13"/>
        <v>-7.7725127610963148E+99</v>
      </c>
      <c r="U20" s="1">
        <f t="shared" si="14"/>
        <v>-6.3507556656409955E+99</v>
      </c>
      <c r="V20" s="1">
        <f t="shared" si="15"/>
        <v>-1.4217570954553194E+99</v>
      </c>
      <c r="W20" s="1">
        <f t="shared" si="16"/>
        <v>0</v>
      </c>
      <c r="X20" cm="1">
        <f t="array" ref="X20">MAX(ABS(T20:W20/B20:E20))</f>
        <v>1.6463734854546008E+107</v>
      </c>
      <c r="Y20" s="1">
        <f t="shared" si="17"/>
        <v>-3.2669970444707898E+53</v>
      </c>
      <c r="Z20" s="1">
        <f t="shared" si="18"/>
        <v>2.6693941364309523E+53</v>
      </c>
      <c r="AA20" s="1">
        <f t="shared" si="19"/>
        <v>5.9760290803983732E+52</v>
      </c>
      <c r="AB20">
        <f t="shared" si="20"/>
        <v>-2.6693941364309523E+53</v>
      </c>
      <c r="AC20">
        <f t="shared" si="21"/>
        <v>2.6693941364309523E+53</v>
      </c>
      <c r="AD20">
        <v>0</v>
      </c>
      <c r="AE20" s="9">
        <f t="shared" si="22"/>
        <v>-5.9760290803983732E+52</v>
      </c>
      <c r="AF20">
        <f>0</f>
        <v>0</v>
      </c>
      <c r="AG20" s="1">
        <f t="shared" si="23"/>
        <v>5.9760290803983732E+52</v>
      </c>
      <c r="AH20" s="16">
        <f t="shared" si="24"/>
        <v>-2.359529461174099E+107</v>
      </c>
      <c r="AI20" s="16">
        <f t="shared" si="25"/>
        <v>-2.359529461174099E+107</v>
      </c>
      <c r="AJ20" s="13">
        <f t="shared" si="26"/>
        <v>-5.9760290803983595E+50</v>
      </c>
      <c r="AK20" s="16">
        <f t="shared" si="27"/>
        <v>-2.6693941364309523E+53</v>
      </c>
      <c r="AL20" s="16">
        <f t="shared" si="28"/>
        <v>2.6693941364309523E+53</v>
      </c>
      <c r="AM20" s="13">
        <f t="shared" si="29"/>
        <v>6.7608297539198143E-4</v>
      </c>
      <c r="AN20" s="13">
        <f t="shared" si="30"/>
        <v>-2.359529461174099E+107</v>
      </c>
      <c r="AO20" cm="1">
        <f t="array" ref="AO20:AQ20">TRANSPOSE(MMULT(MINVERSE(_xlfn.WRAPCOLS(Y20:AG20,3)),TRANSPOSE(T20:V20)))</f>
        <v>7.3092358738902828E+62</v>
      </c>
      <c r="AP20" s="1">
        <v>-7.3092358738902837E+62</v>
      </c>
      <c r="AQ20" s="1">
        <v>-7.3092358738902837E+62</v>
      </c>
      <c r="AR20">
        <v>0</v>
      </c>
    </row>
    <row r="21" spans="1:44" x14ac:dyDescent="0.25">
      <c r="A21">
        <f t="shared" si="37"/>
        <v>10</v>
      </c>
      <c r="B21" s="1">
        <f t="shared" si="31"/>
        <v>4.7209899999999998E-8</v>
      </c>
      <c r="C21" s="1">
        <f t="shared" si="31"/>
        <v>1.09987E-3</v>
      </c>
      <c r="D21" s="1">
        <f t="shared" si="32"/>
        <v>1.7799999999999999E-6</v>
      </c>
      <c r="E21" s="1">
        <f t="shared" si="1"/>
        <v>-5.9943756325278006E+132</v>
      </c>
      <c r="F21" s="1">
        <f t="shared" si="33"/>
        <v>-7.3092358738902828E+62</v>
      </c>
      <c r="G21" s="1">
        <f t="shared" si="34"/>
        <v>7.3092358738902837E+62</v>
      </c>
      <c r="H21" s="1">
        <f t="shared" si="35"/>
        <v>7.3092358738902837E+62</v>
      </c>
      <c r="I21" s="1">
        <f t="shared" si="36"/>
        <v>2.6915348039269097E-8</v>
      </c>
      <c r="J21" s="1">
        <f t="shared" si="2"/>
        <v>-1.3419735441058997E+133</v>
      </c>
      <c r="K21" s="1">
        <f t="shared" si="3"/>
        <v>4.9416499374615526E+60</v>
      </c>
      <c r="L21" s="1">
        <f t="shared" si="4"/>
        <v>3.7411058827205313E-7</v>
      </c>
      <c r="M21" s="1">
        <f t="shared" si="5"/>
        <v>4.1963526413567801E+65</v>
      </c>
      <c r="N21" s="1">
        <f t="shared" si="6"/>
        <v>2.5402237786948151E+64</v>
      </c>
      <c r="O21" s="1">
        <f t="shared" si="7"/>
        <v>-5.9943756325278006E+132</v>
      </c>
      <c r="P21" s="1">
        <f t="shared" si="9"/>
        <v>-7.3363491766337001E+132</v>
      </c>
      <c r="Q21" s="1">
        <f t="shared" si="10"/>
        <v>-5.9943756325278006E+132</v>
      </c>
      <c r="R21" s="1">
        <f t="shared" si="11"/>
        <v>-1.3419735441058998E+132</v>
      </c>
      <c r="S21" s="1">
        <f t="shared" si="12"/>
        <v>-5.9943756325278006E+132</v>
      </c>
      <c r="T21" s="1">
        <f t="shared" si="13"/>
        <v>-7.3363491766337001E+132</v>
      </c>
      <c r="U21" s="1">
        <f t="shared" si="14"/>
        <v>-5.9943756325278006E+132</v>
      </c>
      <c r="V21" s="1">
        <f t="shared" si="15"/>
        <v>-1.3419735441058998E+132</v>
      </c>
      <c r="W21" s="1">
        <f t="shared" si="16"/>
        <v>0</v>
      </c>
      <c r="X21" cm="1">
        <f t="array" ref="X21">MAX(ABS(T21:W21/B21:E21))</f>
        <v>1.5539853243988445E+140</v>
      </c>
      <c r="Y21" s="1">
        <f t="shared" si="17"/>
        <v>1.0037094578983654E+70</v>
      </c>
      <c r="Z21" s="1">
        <f t="shared" si="18"/>
        <v>-8.2010975373508381E+69</v>
      </c>
      <c r="AA21" s="1">
        <f t="shared" si="19"/>
        <v>-1.8359970416328141E+69</v>
      </c>
      <c r="AB21">
        <f t="shared" si="20"/>
        <v>8.2010975373508396E+69</v>
      </c>
      <c r="AC21">
        <f t="shared" si="21"/>
        <v>-8.2010975373508381E+69</v>
      </c>
      <c r="AD21">
        <v>0</v>
      </c>
      <c r="AE21" s="9">
        <f t="shared" si="22"/>
        <v>1.8359970416328145E+69</v>
      </c>
      <c r="AF21">
        <f>0</f>
        <v>0</v>
      </c>
      <c r="AG21" s="1">
        <f t="shared" si="23"/>
        <v>-1.8359970416328141E+69</v>
      </c>
      <c r="AH21" s="16">
        <f t="shared" si="24"/>
        <v>-2.2271217239257299E+140</v>
      </c>
      <c r="AI21" s="16">
        <f t="shared" si="25"/>
        <v>-2.2271217239257299E+140</v>
      </c>
      <c r="AJ21" s="13">
        <f t="shared" si="26"/>
        <v>1.8359970416328103E+67</v>
      </c>
      <c r="AK21" s="16">
        <f t="shared" si="27"/>
        <v>8.2010975373508396E+69</v>
      </c>
      <c r="AL21" s="16">
        <f t="shared" si="28"/>
        <v>-8.2010975373508381E+69</v>
      </c>
      <c r="AM21" s="13">
        <f t="shared" si="29"/>
        <v>6.7608297539198143E-4</v>
      </c>
      <c r="AN21" s="13">
        <f t="shared" si="30"/>
        <v>-2.2271217239257299E+140</v>
      </c>
      <c r="AO21" t="e" cm="1">
        <f t="array" ref="AO21">TRANSPOSE(MMULT(MINVERSE(_xlfn.WRAPCOLS(Y21:AG21,3)),TRANSPOSE(T21:V21)))</f>
        <v>#NUM!</v>
      </c>
      <c r="AP21" s="1"/>
      <c r="AQ21" s="1"/>
      <c r="AR21">
        <v>0</v>
      </c>
    </row>
    <row r="22" spans="1:44" x14ac:dyDescent="0.25">
      <c r="A22">
        <f t="shared" si="37"/>
        <v>11</v>
      </c>
      <c r="B22" s="1">
        <f t="shared" si="31"/>
        <v>4.7209899999999998E-8</v>
      </c>
      <c r="C22" s="1">
        <f t="shared" si="31"/>
        <v>1.09987E-3</v>
      </c>
      <c r="D22" s="1">
        <f t="shared" si="32"/>
        <v>1.7799999999999999E-6</v>
      </c>
      <c r="E22" s="1" t="e">
        <f t="shared" si="1"/>
        <v>#NUM!</v>
      </c>
      <c r="F22" s="1" t="e">
        <f t="shared" si="33"/>
        <v>#NUM!</v>
      </c>
      <c r="G22" s="1">
        <f t="shared" si="34"/>
        <v>7.3092358738902837E+62</v>
      </c>
      <c r="H22" s="1">
        <f t="shared" si="35"/>
        <v>7.3092358738902837E+62</v>
      </c>
      <c r="I22" s="1">
        <f t="shared" si="36"/>
        <v>2.6915348039269097E-8</v>
      </c>
      <c r="J22" s="1" t="e">
        <f t="shared" si="2"/>
        <v>#NUM!</v>
      </c>
      <c r="K22" s="1">
        <f t="shared" si="3"/>
        <v>4.9416499374615526E+60</v>
      </c>
      <c r="L22" s="1">
        <f t="shared" si="4"/>
        <v>3.7411058827205313E-7</v>
      </c>
      <c r="M22" s="1">
        <f t="shared" si="5"/>
        <v>4.1963526413567801E+65</v>
      </c>
      <c r="N22" s="1">
        <f t="shared" si="6"/>
        <v>2.5402237786948151E+64</v>
      </c>
      <c r="O22" s="1" t="e">
        <f t="shared" si="7"/>
        <v>#NUM!</v>
      </c>
      <c r="P22" s="1" t="e">
        <f t="shared" si="9"/>
        <v>#NUM!</v>
      </c>
      <c r="Q22" s="1" t="e">
        <f t="shared" si="10"/>
        <v>#NUM!</v>
      </c>
      <c r="R22" s="1" t="e">
        <f t="shared" si="11"/>
        <v>#NUM!</v>
      </c>
      <c r="S22" s="1" t="e">
        <f t="shared" si="12"/>
        <v>#NUM!</v>
      </c>
      <c r="T22" s="1" t="e">
        <f t="shared" si="13"/>
        <v>#NUM!</v>
      </c>
      <c r="U22" s="1" t="e">
        <f t="shared" si="14"/>
        <v>#NUM!</v>
      </c>
      <c r="V22" s="1" t="e">
        <f t="shared" si="15"/>
        <v>#NUM!</v>
      </c>
      <c r="W22" s="1" t="e">
        <f t="shared" si="16"/>
        <v>#NUM!</v>
      </c>
      <c r="X22" t="e" cm="1">
        <f t="array" ref="X22">MAX(ABS(T22:W22/B22:E22))</f>
        <v>#NUM!</v>
      </c>
      <c r="Y22" s="1">
        <f t="shared" si="17"/>
        <v>1.0037094578983654E+70</v>
      </c>
      <c r="Z22" s="1" t="e">
        <f t="shared" si="18"/>
        <v>#NUM!</v>
      </c>
      <c r="AA22" s="1" t="e">
        <f t="shared" si="19"/>
        <v>#NUM!</v>
      </c>
      <c r="AB22">
        <f t="shared" si="20"/>
        <v>8.2010975373508396E+69</v>
      </c>
      <c r="AC22" t="e">
        <f t="shared" si="21"/>
        <v>#NUM!</v>
      </c>
      <c r="AD22">
        <v>0</v>
      </c>
      <c r="AE22" s="9">
        <f t="shared" si="22"/>
        <v>1.8359970416328145E+69</v>
      </c>
      <c r="AF22">
        <f>0</f>
        <v>0</v>
      </c>
      <c r="AG22" s="1" t="e">
        <f t="shared" si="23"/>
        <v>#NUM!</v>
      </c>
      <c r="AH22" s="16" t="e">
        <f t="shared" si="24"/>
        <v>#NUM!</v>
      </c>
      <c r="AI22" s="16" t="e">
        <f t="shared" si="25"/>
        <v>#NUM!</v>
      </c>
      <c r="AJ22" s="13">
        <f t="shared" si="26"/>
        <v>1.8359970416328103E+67</v>
      </c>
      <c r="AK22" s="16">
        <f t="shared" si="27"/>
        <v>8.2010975373508396E+69</v>
      </c>
      <c r="AL22" s="16" t="e">
        <f t="shared" si="28"/>
        <v>#NUM!</v>
      </c>
      <c r="AM22" s="13">
        <f t="shared" si="29"/>
        <v>6.7608297539198143E-4</v>
      </c>
      <c r="AN22" s="13" t="e">
        <f t="shared" si="30"/>
        <v>#NUM!</v>
      </c>
      <c r="AO22" t="e" cm="1">
        <f t="array" ref="AO22">TRANSPOSE(MMULT(MINVERSE(_xlfn.WRAPCOLS(Y22:AG22,3)),TRANSPOSE(T22:V22)))</f>
        <v>#NUM!</v>
      </c>
      <c r="AP22" s="1"/>
      <c r="AQ22" s="1"/>
      <c r="AR22">
        <v>0</v>
      </c>
    </row>
    <row r="23" spans="1:44" x14ac:dyDescent="0.25">
      <c r="A23">
        <f t="shared" si="37"/>
        <v>12</v>
      </c>
      <c r="B23" s="1">
        <f t="shared" si="31"/>
        <v>4.7209899999999998E-8</v>
      </c>
      <c r="C23" s="1">
        <f t="shared" si="31"/>
        <v>1.09987E-3</v>
      </c>
      <c r="D23" s="1">
        <f t="shared" si="32"/>
        <v>1.7799999999999999E-6</v>
      </c>
      <c r="E23" s="1" t="e">
        <f t="shared" si="1"/>
        <v>#NUM!</v>
      </c>
      <c r="F23" s="1" t="e">
        <f t="shared" si="33"/>
        <v>#NUM!</v>
      </c>
      <c r="G23" s="1">
        <f t="shared" si="34"/>
        <v>7.3092358738902837E+62</v>
      </c>
      <c r="H23" s="1">
        <f t="shared" si="35"/>
        <v>7.3092358738902837E+62</v>
      </c>
      <c r="I23" s="1">
        <f t="shared" si="36"/>
        <v>2.6915348039269097E-8</v>
      </c>
      <c r="J23" s="1" t="e">
        <f t="shared" si="2"/>
        <v>#NUM!</v>
      </c>
      <c r="K23" s="1">
        <f t="shared" si="3"/>
        <v>4.9416499374615526E+60</v>
      </c>
      <c r="L23" s="1">
        <f t="shared" si="4"/>
        <v>3.7411058827205313E-7</v>
      </c>
      <c r="M23" s="1">
        <f t="shared" si="5"/>
        <v>4.1963526413567801E+65</v>
      </c>
      <c r="N23" s="1">
        <f t="shared" si="6"/>
        <v>2.5402237786948151E+64</v>
      </c>
      <c r="O23" s="1" t="e">
        <f t="shared" si="7"/>
        <v>#NUM!</v>
      </c>
      <c r="P23" s="1" t="e">
        <f t="shared" si="9"/>
        <v>#NUM!</v>
      </c>
      <c r="Q23" s="1" t="e">
        <f t="shared" si="10"/>
        <v>#NUM!</v>
      </c>
      <c r="R23" s="1" t="e">
        <f t="shared" si="11"/>
        <v>#NUM!</v>
      </c>
      <c r="S23" s="1" t="e">
        <f t="shared" si="12"/>
        <v>#NUM!</v>
      </c>
      <c r="T23" s="1" t="e">
        <f t="shared" si="13"/>
        <v>#NUM!</v>
      </c>
      <c r="U23" s="1" t="e">
        <f t="shared" si="14"/>
        <v>#NUM!</v>
      </c>
      <c r="V23" s="1" t="e">
        <f t="shared" si="15"/>
        <v>#NUM!</v>
      </c>
      <c r="W23" s="1" t="e">
        <f t="shared" si="16"/>
        <v>#NUM!</v>
      </c>
      <c r="X23" t="e" cm="1">
        <f t="array" ref="X23">MAX(ABS(T23:W23/B23:E23))</f>
        <v>#NUM!</v>
      </c>
      <c r="Y23" s="1">
        <f t="shared" si="17"/>
        <v>1.0037094578983654E+70</v>
      </c>
      <c r="Z23" s="1" t="e">
        <f t="shared" si="18"/>
        <v>#NUM!</v>
      </c>
      <c r="AA23" s="1" t="e">
        <f t="shared" si="19"/>
        <v>#NUM!</v>
      </c>
      <c r="AB23">
        <f t="shared" si="20"/>
        <v>8.2010975373508396E+69</v>
      </c>
      <c r="AC23" t="e">
        <f t="shared" si="21"/>
        <v>#NUM!</v>
      </c>
      <c r="AD23">
        <v>0</v>
      </c>
      <c r="AE23" s="9">
        <f t="shared" si="22"/>
        <v>1.8359970416328145E+69</v>
      </c>
      <c r="AF23">
        <f>0</f>
        <v>0</v>
      </c>
      <c r="AG23" s="1" t="e">
        <f t="shared" si="23"/>
        <v>#NUM!</v>
      </c>
      <c r="AH23" s="16" t="e">
        <f t="shared" si="24"/>
        <v>#NUM!</v>
      </c>
      <c r="AI23" s="16" t="e">
        <f t="shared" si="25"/>
        <v>#NUM!</v>
      </c>
      <c r="AJ23" s="13">
        <f t="shared" si="26"/>
        <v>1.8359970416328103E+67</v>
      </c>
      <c r="AK23" s="16">
        <f t="shared" si="27"/>
        <v>8.2010975373508396E+69</v>
      </c>
      <c r="AL23" s="16" t="e">
        <f t="shared" si="28"/>
        <v>#NUM!</v>
      </c>
      <c r="AM23" s="13">
        <f t="shared" si="29"/>
        <v>6.7608297539198143E-4</v>
      </c>
      <c r="AN23" s="13" t="e">
        <f t="shared" si="30"/>
        <v>#NUM!</v>
      </c>
      <c r="AO23" t="e" cm="1">
        <f t="array" ref="AO23">TRANSPOSE(MMULT(MINVERSE(_xlfn.WRAPCOLS(Y23:AG23,3)),TRANSPOSE(T23:V23)))</f>
        <v>#NUM!</v>
      </c>
      <c r="AP23" s="1"/>
      <c r="AQ23" s="1"/>
      <c r="AR23">
        <v>0</v>
      </c>
    </row>
    <row r="24" spans="1:44" x14ac:dyDescent="0.25">
      <c r="A24">
        <f t="shared" si="37"/>
        <v>13</v>
      </c>
      <c r="B24" s="1">
        <f t="shared" si="31"/>
        <v>4.7209899999999998E-8</v>
      </c>
      <c r="C24" s="1">
        <f t="shared" si="31"/>
        <v>1.09987E-3</v>
      </c>
      <c r="D24" s="1">
        <f t="shared" si="32"/>
        <v>1.7799999999999999E-6</v>
      </c>
      <c r="E24" s="1" t="e">
        <f t="shared" si="1"/>
        <v>#NUM!</v>
      </c>
      <c r="F24" s="1" t="e">
        <f t="shared" si="33"/>
        <v>#NUM!</v>
      </c>
      <c r="G24" s="1">
        <f t="shared" si="34"/>
        <v>7.3092358738902837E+62</v>
      </c>
      <c r="H24" s="1">
        <f t="shared" si="35"/>
        <v>7.3092358738902837E+62</v>
      </c>
      <c r="I24" s="1">
        <f t="shared" si="36"/>
        <v>2.6915348039269097E-8</v>
      </c>
      <c r="J24" s="1" t="e">
        <f t="shared" si="2"/>
        <v>#NUM!</v>
      </c>
      <c r="K24" s="1">
        <f t="shared" si="3"/>
        <v>4.9416499374615526E+60</v>
      </c>
      <c r="L24" s="1">
        <f t="shared" si="4"/>
        <v>3.7411058827205313E-7</v>
      </c>
      <c r="M24" s="1">
        <f t="shared" si="5"/>
        <v>4.1963526413567801E+65</v>
      </c>
      <c r="N24" s="1">
        <f t="shared" si="6"/>
        <v>2.5402237786948151E+64</v>
      </c>
      <c r="O24" s="1" t="e">
        <f t="shared" si="7"/>
        <v>#NUM!</v>
      </c>
      <c r="P24" s="1" t="e">
        <f t="shared" si="9"/>
        <v>#NUM!</v>
      </c>
      <c r="Q24" s="1" t="e">
        <f t="shared" si="10"/>
        <v>#NUM!</v>
      </c>
      <c r="R24" s="1" t="e">
        <f t="shared" si="11"/>
        <v>#NUM!</v>
      </c>
      <c r="S24" s="1" t="e">
        <f t="shared" si="12"/>
        <v>#NUM!</v>
      </c>
      <c r="T24" s="1" t="e">
        <f t="shared" si="13"/>
        <v>#NUM!</v>
      </c>
      <c r="U24" s="1" t="e">
        <f t="shared" si="14"/>
        <v>#NUM!</v>
      </c>
      <c r="V24" s="1" t="e">
        <f t="shared" si="15"/>
        <v>#NUM!</v>
      </c>
      <c r="W24" s="1" t="e">
        <f t="shared" si="16"/>
        <v>#NUM!</v>
      </c>
      <c r="X24" t="e" cm="1">
        <f t="array" ref="X24">MAX(ABS(T24:W24/B24:E24))</f>
        <v>#NUM!</v>
      </c>
      <c r="Y24" s="1">
        <f t="shared" si="17"/>
        <v>1.0037094578983654E+70</v>
      </c>
      <c r="Z24" s="1" t="e">
        <f t="shared" si="18"/>
        <v>#NUM!</v>
      </c>
      <c r="AA24" s="1" t="e">
        <f t="shared" si="19"/>
        <v>#NUM!</v>
      </c>
      <c r="AB24">
        <f t="shared" si="20"/>
        <v>8.2010975373508396E+69</v>
      </c>
      <c r="AC24" t="e">
        <f t="shared" si="21"/>
        <v>#NUM!</v>
      </c>
      <c r="AD24">
        <v>0</v>
      </c>
      <c r="AE24" s="9">
        <f t="shared" si="22"/>
        <v>1.8359970416328145E+69</v>
      </c>
      <c r="AF24">
        <f>0</f>
        <v>0</v>
      </c>
      <c r="AG24" s="1" t="e">
        <f t="shared" si="23"/>
        <v>#NUM!</v>
      </c>
      <c r="AH24" s="16" t="e">
        <f t="shared" si="24"/>
        <v>#NUM!</v>
      </c>
      <c r="AI24" s="16" t="e">
        <f t="shared" si="25"/>
        <v>#NUM!</v>
      </c>
      <c r="AJ24" s="13">
        <f t="shared" si="26"/>
        <v>1.8359970416328103E+67</v>
      </c>
      <c r="AK24" s="16">
        <f t="shared" si="27"/>
        <v>8.2010975373508396E+69</v>
      </c>
      <c r="AL24" s="16" t="e">
        <f t="shared" si="28"/>
        <v>#NUM!</v>
      </c>
      <c r="AM24" s="13">
        <f t="shared" si="29"/>
        <v>6.7608297539198143E-4</v>
      </c>
      <c r="AN24" s="13" t="e">
        <f t="shared" si="30"/>
        <v>#NUM!</v>
      </c>
      <c r="AO24" t="e" cm="1">
        <f t="array" ref="AO24">TRANSPOSE(MMULT(MINVERSE(_xlfn.WRAPCOLS(Y24:AG24,3)),TRANSPOSE(T24:V24)))</f>
        <v>#NUM!</v>
      </c>
      <c r="AP24" s="1"/>
      <c r="AQ24" s="1"/>
      <c r="AR24">
        <v>0</v>
      </c>
    </row>
    <row r="25" spans="1:44" x14ac:dyDescent="0.25">
      <c r="A25">
        <f t="shared" si="37"/>
        <v>14</v>
      </c>
      <c r="B25" s="1">
        <f t="shared" si="31"/>
        <v>4.7209899999999998E-8</v>
      </c>
      <c r="C25" s="1">
        <f t="shared" si="31"/>
        <v>1.09987E-3</v>
      </c>
      <c r="D25" s="1">
        <f t="shared" si="32"/>
        <v>1.7799999999999999E-6</v>
      </c>
      <c r="E25" s="1" t="e">
        <f t="shared" si="1"/>
        <v>#NUM!</v>
      </c>
      <c r="F25" s="1" t="e">
        <f t="shared" si="33"/>
        <v>#NUM!</v>
      </c>
      <c r="G25" s="1">
        <f t="shared" si="34"/>
        <v>7.3092358738902837E+62</v>
      </c>
      <c r="H25" s="1">
        <f t="shared" si="35"/>
        <v>7.3092358738902837E+62</v>
      </c>
      <c r="I25" s="1">
        <f t="shared" si="36"/>
        <v>2.6915348039269097E-8</v>
      </c>
      <c r="J25" s="1" t="e">
        <f t="shared" si="2"/>
        <v>#NUM!</v>
      </c>
      <c r="K25" s="1">
        <f t="shared" si="3"/>
        <v>4.9416499374615526E+60</v>
      </c>
      <c r="L25" s="1">
        <f t="shared" si="4"/>
        <v>3.7411058827205313E-7</v>
      </c>
      <c r="M25" s="1">
        <f t="shared" si="5"/>
        <v>4.1963526413567801E+65</v>
      </c>
      <c r="N25" s="1">
        <f t="shared" si="6"/>
        <v>2.5402237786948151E+64</v>
      </c>
      <c r="O25" s="1" t="e">
        <f t="shared" si="7"/>
        <v>#NUM!</v>
      </c>
      <c r="P25" s="1" t="e">
        <f t="shared" si="9"/>
        <v>#NUM!</v>
      </c>
      <c r="Q25" s="1" t="e">
        <f t="shared" si="10"/>
        <v>#NUM!</v>
      </c>
      <c r="R25" s="1" t="e">
        <f t="shared" si="11"/>
        <v>#NUM!</v>
      </c>
      <c r="S25" s="1" t="e">
        <f t="shared" si="12"/>
        <v>#NUM!</v>
      </c>
      <c r="T25" s="1" t="e">
        <f t="shared" si="13"/>
        <v>#NUM!</v>
      </c>
      <c r="U25" s="1" t="e">
        <f t="shared" si="14"/>
        <v>#NUM!</v>
      </c>
      <c r="V25" s="1" t="e">
        <f t="shared" si="15"/>
        <v>#NUM!</v>
      </c>
      <c r="W25" s="1" t="e">
        <f t="shared" si="16"/>
        <v>#NUM!</v>
      </c>
      <c r="X25" t="e" cm="1">
        <f t="array" ref="X25">MAX(ABS(T25:W25/B25:E25))</f>
        <v>#NUM!</v>
      </c>
      <c r="Y25" s="1">
        <f t="shared" si="17"/>
        <v>1.0037094578983654E+70</v>
      </c>
      <c r="Z25" s="1" t="e">
        <f t="shared" si="18"/>
        <v>#NUM!</v>
      </c>
      <c r="AA25" s="1" t="e">
        <f t="shared" si="19"/>
        <v>#NUM!</v>
      </c>
      <c r="AB25">
        <f t="shared" si="20"/>
        <v>8.2010975373508396E+69</v>
      </c>
      <c r="AC25" t="e">
        <f t="shared" si="21"/>
        <v>#NUM!</v>
      </c>
      <c r="AD25">
        <v>0</v>
      </c>
      <c r="AE25" s="9">
        <f t="shared" si="22"/>
        <v>1.8359970416328145E+69</v>
      </c>
      <c r="AF25">
        <f>0</f>
        <v>0</v>
      </c>
      <c r="AG25" s="1" t="e">
        <f t="shared" si="23"/>
        <v>#NUM!</v>
      </c>
      <c r="AH25" s="16" t="e">
        <f t="shared" si="24"/>
        <v>#NUM!</v>
      </c>
      <c r="AI25" s="16" t="e">
        <f t="shared" si="25"/>
        <v>#NUM!</v>
      </c>
      <c r="AJ25" s="13">
        <f t="shared" si="26"/>
        <v>1.8359970416328103E+67</v>
      </c>
      <c r="AK25" s="16">
        <f t="shared" si="27"/>
        <v>8.2010975373508396E+69</v>
      </c>
      <c r="AL25" s="16" t="e">
        <f t="shared" si="28"/>
        <v>#NUM!</v>
      </c>
      <c r="AM25" s="13">
        <f t="shared" si="29"/>
        <v>6.7608297539198143E-4</v>
      </c>
      <c r="AN25" s="13" t="e">
        <f t="shared" si="30"/>
        <v>#NUM!</v>
      </c>
      <c r="AO25" t="e" cm="1">
        <f t="array" ref="AO25">TRANSPOSE(MMULT(MINVERSE(_xlfn.WRAPCOLS(Y25:AG25,3)),TRANSPOSE(T25:V25)))</f>
        <v>#NUM!</v>
      </c>
      <c r="AP25" s="1"/>
      <c r="AQ25" s="1"/>
      <c r="AR25">
        <v>0</v>
      </c>
    </row>
    <row r="26" spans="1:44" x14ac:dyDescent="0.25">
      <c r="A26">
        <f t="shared" si="37"/>
        <v>15</v>
      </c>
      <c r="B26" s="1">
        <f t="shared" si="31"/>
        <v>4.7209899999999998E-8</v>
      </c>
      <c r="C26" s="1">
        <f t="shared" si="31"/>
        <v>1.09987E-3</v>
      </c>
      <c r="D26" s="1">
        <f t="shared" si="32"/>
        <v>1.7799999999999999E-6</v>
      </c>
      <c r="E26" s="1" t="e">
        <f t="shared" si="1"/>
        <v>#NUM!</v>
      </c>
      <c r="F26" s="1" t="e">
        <f t="shared" si="33"/>
        <v>#NUM!</v>
      </c>
      <c r="G26" s="1">
        <f t="shared" si="34"/>
        <v>7.3092358738902837E+62</v>
      </c>
      <c r="H26" s="1">
        <f t="shared" si="35"/>
        <v>7.3092358738902837E+62</v>
      </c>
      <c r="I26" s="1">
        <f t="shared" si="36"/>
        <v>2.6915348039269097E-8</v>
      </c>
      <c r="J26" s="1" t="e">
        <f t="shared" si="2"/>
        <v>#NUM!</v>
      </c>
      <c r="K26" s="1">
        <f t="shared" si="3"/>
        <v>4.9416499374615526E+60</v>
      </c>
      <c r="L26" s="1">
        <f t="shared" si="4"/>
        <v>3.7411058827205313E-7</v>
      </c>
      <c r="M26" s="1">
        <f t="shared" si="5"/>
        <v>4.1963526413567801E+65</v>
      </c>
      <c r="N26" s="1">
        <f t="shared" si="6"/>
        <v>2.5402237786948151E+64</v>
      </c>
      <c r="O26" s="1" t="e">
        <f t="shared" si="7"/>
        <v>#NUM!</v>
      </c>
      <c r="P26" s="1" t="e">
        <f t="shared" si="9"/>
        <v>#NUM!</v>
      </c>
      <c r="Q26" s="1" t="e">
        <f t="shared" si="10"/>
        <v>#NUM!</v>
      </c>
      <c r="R26" s="1" t="e">
        <f t="shared" si="11"/>
        <v>#NUM!</v>
      </c>
      <c r="S26" s="1" t="e">
        <f t="shared" si="12"/>
        <v>#NUM!</v>
      </c>
      <c r="T26" s="1" t="e">
        <f t="shared" si="13"/>
        <v>#NUM!</v>
      </c>
      <c r="U26" s="1" t="e">
        <f t="shared" si="14"/>
        <v>#NUM!</v>
      </c>
      <c r="V26" s="1" t="e">
        <f t="shared" si="15"/>
        <v>#NUM!</v>
      </c>
      <c r="W26" s="1" t="e">
        <f t="shared" si="16"/>
        <v>#NUM!</v>
      </c>
      <c r="X26" t="e" cm="1">
        <f t="array" ref="X26">MAX(ABS(T26:W26/B26:E26))</f>
        <v>#NUM!</v>
      </c>
      <c r="Y26" s="1">
        <f t="shared" si="17"/>
        <v>1.0037094578983654E+70</v>
      </c>
      <c r="Z26" s="1" t="e">
        <f t="shared" si="18"/>
        <v>#NUM!</v>
      </c>
      <c r="AA26" s="1" t="e">
        <f t="shared" si="19"/>
        <v>#NUM!</v>
      </c>
      <c r="AB26">
        <f t="shared" si="20"/>
        <v>8.2010975373508396E+69</v>
      </c>
      <c r="AC26" t="e">
        <f t="shared" si="21"/>
        <v>#NUM!</v>
      </c>
      <c r="AD26">
        <v>0</v>
      </c>
      <c r="AE26" s="9">
        <f t="shared" si="22"/>
        <v>1.8359970416328145E+69</v>
      </c>
      <c r="AF26">
        <f>0</f>
        <v>0</v>
      </c>
      <c r="AG26" s="1" t="e">
        <f t="shared" si="23"/>
        <v>#NUM!</v>
      </c>
      <c r="AH26" s="16" t="e">
        <f t="shared" si="24"/>
        <v>#NUM!</v>
      </c>
      <c r="AI26" s="16" t="e">
        <f t="shared" si="25"/>
        <v>#NUM!</v>
      </c>
      <c r="AJ26" s="13">
        <f t="shared" si="26"/>
        <v>1.8359970416328103E+67</v>
      </c>
      <c r="AK26" s="16">
        <f t="shared" si="27"/>
        <v>8.2010975373508396E+69</v>
      </c>
      <c r="AL26" s="16" t="e">
        <f t="shared" si="28"/>
        <v>#NUM!</v>
      </c>
      <c r="AM26" s="13">
        <f t="shared" si="29"/>
        <v>6.7608297539198143E-4</v>
      </c>
      <c r="AN26" s="13" t="e">
        <f t="shared" si="30"/>
        <v>#NUM!</v>
      </c>
      <c r="AO26" t="e" cm="1">
        <f t="array" ref="AO26">TRANSPOSE(MMULT(MINVERSE(_xlfn.WRAPCOLS(Y26:AG26,3)),TRANSPOSE(T26:V26)))</f>
        <v>#NUM!</v>
      </c>
      <c r="AP26" s="1"/>
      <c r="AQ26" s="1"/>
      <c r="AR26">
        <v>0</v>
      </c>
    </row>
    <row r="27" spans="1:44" x14ac:dyDescent="0.25">
      <c r="A27">
        <f t="shared" si="37"/>
        <v>16</v>
      </c>
      <c r="B27" s="1">
        <f t="shared" si="31"/>
        <v>4.7209899999999998E-8</v>
      </c>
      <c r="C27" s="1">
        <f t="shared" si="31"/>
        <v>1.09987E-3</v>
      </c>
      <c r="D27" s="1">
        <f t="shared" si="32"/>
        <v>1.7799999999999999E-6</v>
      </c>
      <c r="E27" s="1" t="e">
        <f t="shared" si="1"/>
        <v>#NUM!</v>
      </c>
      <c r="F27" s="1" t="e">
        <f t="shared" si="33"/>
        <v>#NUM!</v>
      </c>
      <c r="G27" s="1">
        <f t="shared" si="34"/>
        <v>7.3092358738902837E+62</v>
      </c>
      <c r="H27" s="1">
        <f t="shared" si="35"/>
        <v>7.3092358738902837E+62</v>
      </c>
      <c r="I27" s="1">
        <f t="shared" si="36"/>
        <v>2.6915348039269097E-8</v>
      </c>
      <c r="J27" s="1" t="e">
        <f t="shared" si="2"/>
        <v>#NUM!</v>
      </c>
      <c r="K27" s="1">
        <f t="shared" si="3"/>
        <v>4.9416499374615526E+60</v>
      </c>
      <c r="L27" s="1">
        <f t="shared" si="4"/>
        <v>3.7411058827205313E-7</v>
      </c>
      <c r="M27" s="1">
        <f t="shared" si="5"/>
        <v>4.1963526413567801E+65</v>
      </c>
      <c r="N27" s="1">
        <f t="shared" si="6"/>
        <v>2.5402237786948151E+64</v>
      </c>
      <c r="O27" s="1" t="e">
        <f t="shared" si="7"/>
        <v>#NUM!</v>
      </c>
      <c r="P27" s="1" t="e">
        <f t="shared" si="9"/>
        <v>#NUM!</v>
      </c>
      <c r="Q27" s="1" t="e">
        <f t="shared" si="10"/>
        <v>#NUM!</v>
      </c>
      <c r="R27" s="1" t="e">
        <f t="shared" si="11"/>
        <v>#NUM!</v>
      </c>
      <c r="S27" s="1" t="e">
        <f t="shared" si="12"/>
        <v>#NUM!</v>
      </c>
      <c r="T27" s="1" t="e">
        <f t="shared" si="13"/>
        <v>#NUM!</v>
      </c>
      <c r="U27" s="1" t="e">
        <f t="shared" si="14"/>
        <v>#NUM!</v>
      </c>
      <c r="V27" s="1" t="e">
        <f t="shared" si="15"/>
        <v>#NUM!</v>
      </c>
      <c r="W27" s="1" t="e">
        <f t="shared" si="16"/>
        <v>#NUM!</v>
      </c>
      <c r="X27" t="e" cm="1">
        <f t="array" ref="X27">MAX(ABS(T27:W27/B27:E27))</f>
        <v>#NUM!</v>
      </c>
      <c r="Y27" s="1">
        <f t="shared" si="17"/>
        <v>1.0037094578983654E+70</v>
      </c>
      <c r="Z27" s="1" t="e">
        <f t="shared" si="18"/>
        <v>#NUM!</v>
      </c>
      <c r="AA27" s="1" t="e">
        <f t="shared" si="19"/>
        <v>#NUM!</v>
      </c>
      <c r="AB27">
        <f t="shared" si="20"/>
        <v>8.2010975373508396E+69</v>
      </c>
      <c r="AC27" t="e">
        <f t="shared" si="21"/>
        <v>#NUM!</v>
      </c>
      <c r="AD27">
        <v>0</v>
      </c>
      <c r="AE27" s="9">
        <f t="shared" si="22"/>
        <v>1.8359970416328145E+69</v>
      </c>
      <c r="AF27">
        <f>0</f>
        <v>0</v>
      </c>
      <c r="AG27" s="1" t="e">
        <f t="shared" si="23"/>
        <v>#NUM!</v>
      </c>
      <c r="AH27" s="16" t="e">
        <f t="shared" si="24"/>
        <v>#NUM!</v>
      </c>
      <c r="AI27" s="16" t="e">
        <f t="shared" si="25"/>
        <v>#NUM!</v>
      </c>
      <c r="AJ27" s="13">
        <f t="shared" si="26"/>
        <v>1.8359970416328103E+67</v>
      </c>
      <c r="AK27" s="16">
        <f t="shared" si="27"/>
        <v>8.2010975373508396E+69</v>
      </c>
      <c r="AL27" s="16" t="e">
        <f t="shared" si="28"/>
        <v>#NUM!</v>
      </c>
      <c r="AM27" s="13">
        <f t="shared" si="29"/>
        <v>6.7608297539198143E-4</v>
      </c>
      <c r="AN27" s="13" t="e">
        <f t="shared" si="30"/>
        <v>#NUM!</v>
      </c>
      <c r="AO27" t="e" cm="1">
        <f t="array" ref="AO27">TRANSPOSE(MMULT(MINVERSE(_xlfn.WRAPCOLS(Y27:AG27,3)),TRANSPOSE(T27:V27)))</f>
        <v>#NUM!</v>
      </c>
      <c r="AP27" s="1"/>
      <c r="AQ27" s="1"/>
      <c r="AR27">
        <v>0</v>
      </c>
    </row>
    <row r="28" spans="1:44" x14ac:dyDescent="0.25">
      <c r="A28">
        <f t="shared" si="37"/>
        <v>17</v>
      </c>
      <c r="B28" s="1">
        <f t="shared" si="31"/>
        <v>4.7209899999999998E-8</v>
      </c>
      <c r="C28" s="1">
        <f t="shared" si="31"/>
        <v>1.09987E-3</v>
      </c>
      <c r="D28" s="1">
        <f t="shared" si="32"/>
        <v>1.7799999999999999E-6</v>
      </c>
      <c r="E28" s="1" t="e">
        <f t="shared" si="1"/>
        <v>#NUM!</v>
      </c>
      <c r="F28" s="1" t="e">
        <f t="shared" si="33"/>
        <v>#NUM!</v>
      </c>
      <c r="G28" s="1">
        <f t="shared" si="34"/>
        <v>7.3092358738902837E+62</v>
      </c>
      <c r="H28" s="1">
        <f t="shared" si="35"/>
        <v>7.3092358738902837E+62</v>
      </c>
      <c r="I28" s="1">
        <f t="shared" si="36"/>
        <v>2.6915348039269097E-8</v>
      </c>
      <c r="J28" s="1" t="e">
        <f t="shared" si="2"/>
        <v>#NUM!</v>
      </c>
      <c r="K28" s="1">
        <f t="shared" si="3"/>
        <v>4.9416499374615526E+60</v>
      </c>
      <c r="L28" s="1">
        <f t="shared" si="4"/>
        <v>3.7411058827205313E-7</v>
      </c>
      <c r="M28" s="1">
        <f t="shared" si="5"/>
        <v>4.1963526413567801E+65</v>
      </c>
      <c r="N28" s="1">
        <f t="shared" si="6"/>
        <v>2.5402237786948151E+64</v>
      </c>
      <c r="O28" s="1" t="e">
        <f t="shared" si="7"/>
        <v>#NUM!</v>
      </c>
      <c r="P28" s="1" t="e">
        <f t="shared" si="9"/>
        <v>#NUM!</v>
      </c>
      <c r="Q28" s="1" t="e">
        <f t="shared" si="10"/>
        <v>#NUM!</v>
      </c>
      <c r="R28" s="1" t="e">
        <f t="shared" si="11"/>
        <v>#NUM!</v>
      </c>
      <c r="S28" s="1" t="e">
        <f t="shared" si="12"/>
        <v>#NUM!</v>
      </c>
      <c r="T28" s="1" t="e">
        <f t="shared" si="13"/>
        <v>#NUM!</v>
      </c>
      <c r="U28" s="1" t="e">
        <f t="shared" si="14"/>
        <v>#NUM!</v>
      </c>
      <c r="V28" s="1" t="e">
        <f t="shared" si="15"/>
        <v>#NUM!</v>
      </c>
      <c r="W28" s="1" t="e">
        <f t="shared" si="16"/>
        <v>#NUM!</v>
      </c>
      <c r="X28" t="e" cm="1">
        <f t="array" ref="X28">MAX(ABS(T28:W28/B28:E28))</f>
        <v>#NUM!</v>
      </c>
      <c r="Y28" s="1">
        <f t="shared" si="17"/>
        <v>1.0037094578983654E+70</v>
      </c>
      <c r="Z28" s="1" t="e">
        <f t="shared" si="18"/>
        <v>#NUM!</v>
      </c>
      <c r="AA28" s="1" t="e">
        <f t="shared" si="19"/>
        <v>#NUM!</v>
      </c>
      <c r="AB28">
        <f t="shared" si="20"/>
        <v>8.2010975373508396E+69</v>
      </c>
      <c r="AC28" t="e">
        <f t="shared" si="21"/>
        <v>#NUM!</v>
      </c>
      <c r="AD28">
        <v>0</v>
      </c>
      <c r="AE28" s="9">
        <f t="shared" si="22"/>
        <v>1.8359970416328145E+69</v>
      </c>
      <c r="AF28">
        <f>0</f>
        <v>0</v>
      </c>
      <c r="AG28" s="1" t="e">
        <f t="shared" si="23"/>
        <v>#NUM!</v>
      </c>
      <c r="AH28" s="16" t="e">
        <f t="shared" si="24"/>
        <v>#NUM!</v>
      </c>
      <c r="AI28" s="16" t="e">
        <f t="shared" si="25"/>
        <v>#NUM!</v>
      </c>
      <c r="AJ28" s="13">
        <f t="shared" si="26"/>
        <v>1.8359970416328103E+67</v>
      </c>
      <c r="AK28" s="16">
        <f t="shared" si="27"/>
        <v>8.2010975373508396E+69</v>
      </c>
      <c r="AL28" s="16" t="e">
        <f t="shared" si="28"/>
        <v>#NUM!</v>
      </c>
      <c r="AM28" s="13">
        <f t="shared" si="29"/>
        <v>6.7608297539198143E-4</v>
      </c>
      <c r="AN28" s="13" t="e">
        <f t="shared" si="30"/>
        <v>#NUM!</v>
      </c>
      <c r="AO28" t="e" cm="1">
        <f t="array" ref="AO28">TRANSPOSE(MMULT(MINVERSE(_xlfn.WRAPCOLS(Y28:AG28,3)),TRANSPOSE(T28:V28)))</f>
        <v>#NUM!</v>
      </c>
      <c r="AP28" s="1"/>
      <c r="AQ28" s="1"/>
      <c r="AR28">
        <v>0</v>
      </c>
    </row>
    <row r="29" spans="1:44" x14ac:dyDescent="0.25">
      <c r="A29">
        <f t="shared" si="37"/>
        <v>18</v>
      </c>
      <c r="B29" s="1">
        <f t="shared" si="31"/>
        <v>4.7209899999999998E-8</v>
      </c>
      <c r="C29" s="1">
        <f t="shared" si="31"/>
        <v>1.09987E-3</v>
      </c>
      <c r="D29" s="1">
        <f t="shared" si="32"/>
        <v>1.7799999999999999E-6</v>
      </c>
      <c r="E29" s="1" t="e">
        <f t="shared" si="1"/>
        <v>#NUM!</v>
      </c>
      <c r="F29" s="1" t="e">
        <f t="shared" si="33"/>
        <v>#NUM!</v>
      </c>
      <c r="G29" s="1">
        <f t="shared" si="34"/>
        <v>7.3092358738902837E+62</v>
      </c>
      <c r="H29" s="1">
        <f t="shared" si="35"/>
        <v>7.3092358738902837E+62</v>
      </c>
      <c r="I29" s="1">
        <f t="shared" si="36"/>
        <v>2.6915348039269097E-8</v>
      </c>
      <c r="J29" s="1" t="e">
        <f t="shared" si="2"/>
        <v>#NUM!</v>
      </c>
      <c r="K29" s="1">
        <f t="shared" si="3"/>
        <v>4.9416499374615526E+60</v>
      </c>
      <c r="L29" s="1">
        <f t="shared" si="4"/>
        <v>3.7411058827205313E-7</v>
      </c>
      <c r="M29" s="1">
        <f t="shared" si="5"/>
        <v>4.1963526413567801E+65</v>
      </c>
      <c r="N29" s="1">
        <f t="shared" si="6"/>
        <v>2.5402237786948151E+64</v>
      </c>
      <c r="O29" s="1" t="e">
        <f t="shared" si="7"/>
        <v>#NUM!</v>
      </c>
      <c r="P29" s="1" t="e">
        <f t="shared" si="9"/>
        <v>#NUM!</v>
      </c>
      <c r="Q29" s="1" t="e">
        <f t="shared" si="10"/>
        <v>#NUM!</v>
      </c>
      <c r="R29" s="1" t="e">
        <f t="shared" si="11"/>
        <v>#NUM!</v>
      </c>
      <c r="S29" s="1" t="e">
        <f t="shared" si="12"/>
        <v>#NUM!</v>
      </c>
      <c r="T29" s="1" t="e">
        <f t="shared" si="13"/>
        <v>#NUM!</v>
      </c>
      <c r="U29" s="1" t="e">
        <f t="shared" si="14"/>
        <v>#NUM!</v>
      </c>
      <c r="V29" s="1" t="e">
        <f t="shared" si="15"/>
        <v>#NUM!</v>
      </c>
      <c r="W29" s="1" t="e">
        <f t="shared" si="16"/>
        <v>#NUM!</v>
      </c>
      <c r="X29" t="e" cm="1">
        <f t="array" ref="X29">MAX(ABS(T29:W29/B29:E29))</f>
        <v>#NUM!</v>
      </c>
      <c r="Y29" s="1">
        <f t="shared" si="17"/>
        <v>1.0037094578983654E+70</v>
      </c>
      <c r="Z29" s="1" t="e">
        <f t="shared" si="18"/>
        <v>#NUM!</v>
      </c>
      <c r="AA29" s="1" t="e">
        <f t="shared" si="19"/>
        <v>#NUM!</v>
      </c>
      <c r="AB29">
        <f t="shared" si="20"/>
        <v>8.2010975373508396E+69</v>
      </c>
      <c r="AC29" t="e">
        <f t="shared" si="21"/>
        <v>#NUM!</v>
      </c>
      <c r="AD29">
        <v>0</v>
      </c>
      <c r="AE29" s="9">
        <f t="shared" si="22"/>
        <v>1.8359970416328145E+69</v>
      </c>
      <c r="AF29">
        <f>0</f>
        <v>0</v>
      </c>
      <c r="AG29" s="1" t="e">
        <f t="shared" si="23"/>
        <v>#NUM!</v>
      </c>
      <c r="AH29" s="16" t="e">
        <f t="shared" si="24"/>
        <v>#NUM!</v>
      </c>
      <c r="AI29" s="16" t="e">
        <f t="shared" si="25"/>
        <v>#NUM!</v>
      </c>
      <c r="AJ29" s="13">
        <f t="shared" si="26"/>
        <v>1.8359970416328103E+67</v>
      </c>
      <c r="AK29" s="16">
        <f t="shared" si="27"/>
        <v>8.2010975373508396E+69</v>
      </c>
      <c r="AL29" s="16" t="e">
        <f t="shared" si="28"/>
        <v>#NUM!</v>
      </c>
      <c r="AM29" s="13">
        <f t="shared" si="29"/>
        <v>6.7608297539198143E-4</v>
      </c>
      <c r="AN29" s="13" t="e">
        <f t="shared" si="30"/>
        <v>#NUM!</v>
      </c>
      <c r="AO29" t="e" cm="1">
        <f t="array" ref="AO29">TRANSPOSE(MMULT(MINVERSE(_xlfn.WRAPCOLS(Y29:AG29,3)),TRANSPOSE(T29:V29)))</f>
        <v>#NUM!</v>
      </c>
      <c r="AP29" s="1"/>
      <c r="AQ29" s="1"/>
      <c r="AR29">
        <v>0</v>
      </c>
    </row>
    <row r="30" spans="1:44" x14ac:dyDescent="0.25">
      <c r="A30">
        <f t="shared" si="37"/>
        <v>19</v>
      </c>
      <c r="B30" s="1">
        <f t="shared" si="31"/>
        <v>4.7209899999999998E-8</v>
      </c>
      <c r="C30" s="1">
        <f t="shared" si="31"/>
        <v>1.09987E-3</v>
      </c>
      <c r="D30" s="1">
        <f t="shared" si="32"/>
        <v>1.7799999999999999E-6</v>
      </c>
      <c r="E30" s="1" t="e">
        <f t="shared" si="1"/>
        <v>#NUM!</v>
      </c>
      <c r="F30" s="1" t="e">
        <f t="shared" si="33"/>
        <v>#NUM!</v>
      </c>
      <c r="G30" s="1">
        <f t="shared" si="34"/>
        <v>7.3092358738902837E+62</v>
      </c>
      <c r="H30" s="1">
        <f t="shared" si="35"/>
        <v>7.3092358738902837E+62</v>
      </c>
      <c r="I30" s="1">
        <f t="shared" si="36"/>
        <v>2.6915348039269097E-8</v>
      </c>
      <c r="J30" s="1" t="e">
        <f t="shared" si="2"/>
        <v>#NUM!</v>
      </c>
      <c r="K30" s="1">
        <f t="shared" si="3"/>
        <v>4.9416499374615526E+60</v>
      </c>
      <c r="L30" s="1">
        <f t="shared" si="4"/>
        <v>3.7411058827205313E-7</v>
      </c>
      <c r="M30" s="1">
        <f t="shared" si="5"/>
        <v>4.1963526413567801E+65</v>
      </c>
      <c r="N30" s="1">
        <f t="shared" si="6"/>
        <v>2.5402237786948151E+64</v>
      </c>
      <c r="O30" s="1" t="e">
        <f t="shared" si="7"/>
        <v>#NUM!</v>
      </c>
      <c r="P30" s="1" t="e">
        <f t="shared" si="9"/>
        <v>#NUM!</v>
      </c>
      <c r="Q30" s="1" t="e">
        <f t="shared" si="10"/>
        <v>#NUM!</v>
      </c>
      <c r="R30" s="1" t="e">
        <f t="shared" si="11"/>
        <v>#NUM!</v>
      </c>
      <c r="S30" s="1" t="e">
        <f t="shared" si="12"/>
        <v>#NUM!</v>
      </c>
      <c r="T30" s="1" t="e">
        <f t="shared" si="13"/>
        <v>#NUM!</v>
      </c>
      <c r="U30" s="1" t="e">
        <f t="shared" si="14"/>
        <v>#NUM!</v>
      </c>
      <c r="V30" s="1" t="e">
        <f t="shared" si="15"/>
        <v>#NUM!</v>
      </c>
      <c r="W30" s="1" t="e">
        <f t="shared" si="16"/>
        <v>#NUM!</v>
      </c>
      <c r="X30" t="e" cm="1">
        <f t="array" ref="X30">MAX(ABS(T30:W30/B30:E30))</f>
        <v>#NUM!</v>
      </c>
      <c r="Y30" s="1">
        <f t="shared" si="17"/>
        <v>1.0037094578983654E+70</v>
      </c>
      <c r="Z30" s="1" t="e">
        <f t="shared" si="18"/>
        <v>#NUM!</v>
      </c>
      <c r="AA30" s="1" t="e">
        <f t="shared" si="19"/>
        <v>#NUM!</v>
      </c>
      <c r="AB30">
        <f t="shared" si="20"/>
        <v>8.2010975373508396E+69</v>
      </c>
      <c r="AC30" t="e">
        <f t="shared" si="21"/>
        <v>#NUM!</v>
      </c>
      <c r="AD30">
        <v>0</v>
      </c>
      <c r="AE30" s="9">
        <f t="shared" si="22"/>
        <v>1.8359970416328145E+69</v>
      </c>
      <c r="AF30">
        <f>0</f>
        <v>0</v>
      </c>
      <c r="AG30" s="1" t="e">
        <f t="shared" si="23"/>
        <v>#NUM!</v>
      </c>
      <c r="AH30" s="16" t="e">
        <f t="shared" si="24"/>
        <v>#NUM!</v>
      </c>
      <c r="AI30" s="16" t="e">
        <f t="shared" si="25"/>
        <v>#NUM!</v>
      </c>
      <c r="AJ30" s="13">
        <f t="shared" si="26"/>
        <v>1.8359970416328103E+67</v>
      </c>
      <c r="AK30" s="16">
        <f t="shared" si="27"/>
        <v>8.2010975373508396E+69</v>
      </c>
      <c r="AL30" s="16" t="e">
        <f t="shared" si="28"/>
        <v>#NUM!</v>
      </c>
      <c r="AM30" s="13">
        <f t="shared" si="29"/>
        <v>6.7608297539198143E-4</v>
      </c>
      <c r="AN30" s="13" t="e">
        <f t="shared" si="30"/>
        <v>#NUM!</v>
      </c>
      <c r="AO30" t="e" cm="1">
        <f t="array" ref="AO30">TRANSPOSE(MMULT(MINVERSE(_xlfn.WRAPCOLS(Y30:AG30,3)),TRANSPOSE(T30:V30)))</f>
        <v>#NUM!</v>
      </c>
      <c r="AP30" s="1"/>
      <c r="AQ30" s="1"/>
      <c r="AR30">
        <v>0</v>
      </c>
    </row>
    <row r="31" spans="1:44" x14ac:dyDescent="0.25">
      <c r="A31">
        <f t="shared" si="37"/>
        <v>20</v>
      </c>
      <c r="B31" s="1">
        <f t="shared" si="31"/>
        <v>4.7209899999999998E-8</v>
      </c>
      <c r="C31" s="1">
        <f t="shared" si="31"/>
        <v>1.09987E-3</v>
      </c>
      <c r="D31" s="1">
        <f t="shared" si="32"/>
        <v>1.7799999999999999E-6</v>
      </c>
      <c r="E31" s="1" t="e">
        <f t="shared" si="1"/>
        <v>#NUM!</v>
      </c>
      <c r="F31" s="1" t="e">
        <f t="shared" si="33"/>
        <v>#NUM!</v>
      </c>
      <c r="G31" s="1">
        <f t="shared" si="34"/>
        <v>7.3092358738902837E+62</v>
      </c>
      <c r="H31" s="1">
        <f t="shared" si="35"/>
        <v>7.3092358738902837E+62</v>
      </c>
      <c r="I31" s="1">
        <f t="shared" si="36"/>
        <v>2.6915348039269097E-8</v>
      </c>
      <c r="J31" s="1" t="e">
        <f t="shared" si="2"/>
        <v>#NUM!</v>
      </c>
      <c r="K31" s="1">
        <f t="shared" si="3"/>
        <v>4.9416499374615526E+60</v>
      </c>
      <c r="L31" s="1">
        <f t="shared" si="4"/>
        <v>3.7411058827205313E-7</v>
      </c>
      <c r="M31" s="1">
        <f t="shared" si="5"/>
        <v>4.1963526413567801E+65</v>
      </c>
      <c r="N31" s="1">
        <f t="shared" si="6"/>
        <v>2.5402237786948151E+64</v>
      </c>
      <c r="O31" s="1" t="e">
        <f t="shared" si="7"/>
        <v>#NUM!</v>
      </c>
      <c r="P31" s="1" t="e">
        <f t="shared" si="9"/>
        <v>#NUM!</v>
      </c>
      <c r="Q31" s="1" t="e">
        <f t="shared" si="10"/>
        <v>#NUM!</v>
      </c>
      <c r="R31" s="1" t="e">
        <f t="shared" si="11"/>
        <v>#NUM!</v>
      </c>
      <c r="S31" s="1" t="e">
        <f t="shared" si="12"/>
        <v>#NUM!</v>
      </c>
      <c r="T31" s="1" t="e">
        <f t="shared" si="13"/>
        <v>#NUM!</v>
      </c>
      <c r="U31" s="1" t="e">
        <f t="shared" si="14"/>
        <v>#NUM!</v>
      </c>
      <c r="V31" s="1" t="e">
        <f t="shared" si="15"/>
        <v>#NUM!</v>
      </c>
      <c r="W31" s="1" t="e">
        <f t="shared" si="16"/>
        <v>#NUM!</v>
      </c>
      <c r="X31" t="e" cm="1">
        <f t="array" ref="X31">MAX(ABS(T31:W31/B31:E31))</f>
        <v>#NUM!</v>
      </c>
      <c r="Y31" s="1">
        <f t="shared" si="17"/>
        <v>1.0037094578983654E+70</v>
      </c>
      <c r="Z31" s="1" t="e">
        <f t="shared" si="18"/>
        <v>#NUM!</v>
      </c>
      <c r="AA31" s="1" t="e">
        <f t="shared" si="19"/>
        <v>#NUM!</v>
      </c>
      <c r="AB31">
        <f t="shared" si="20"/>
        <v>8.2010975373508396E+69</v>
      </c>
      <c r="AC31" t="e">
        <f t="shared" si="21"/>
        <v>#NUM!</v>
      </c>
      <c r="AD31">
        <v>0</v>
      </c>
      <c r="AE31" s="9">
        <f t="shared" si="22"/>
        <v>1.8359970416328145E+69</v>
      </c>
      <c r="AF31">
        <f>0</f>
        <v>0</v>
      </c>
      <c r="AG31" s="1" t="e">
        <f t="shared" si="23"/>
        <v>#NUM!</v>
      </c>
      <c r="AH31" s="16" t="e">
        <f t="shared" si="24"/>
        <v>#NUM!</v>
      </c>
      <c r="AI31" s="16" t="e">
        <f t="shared" si="25"/>
        <v>#NUM!</v>
      </c>
      <c r="AJ31" s="13">
        <f t="shared" si="26"/>
        <v>1.8359970416328103E+67</v>
      </c>
      <c r="AK31" s="16">
        <f t="shared" si="27"/>
        <v>8.2010975373508396E+69</v>
      </c>
      <c r="AL31" s="16" t="e">
        <f t="shared" si="28"/>
        <v>#NUM!</v>
      </c>
      <c r="AM31" s="13">
        <f t="shared" si="29"/>
        <v>6.7608297539198143E-4</v>
      </c>
      <c r="AN31" s="13" t="e">
        <f t="shared" si="30"/>
        <v>#NUM!</v>
      </c>
      <c r="AO31" t="e" cm="1">
        <f t="array" ref="AO31">TRANSPOSE(MMULT(MINVERSE(_xlfn.WRAPCOLS(Y31:AG31,3)),TRANSPOSE(T31:V31)))</f>
        <v>#NUM!</v>
      </c>
      <c r="AP31" s="1"/>
      <c r="AQ31" s="1"/>
      <c r="AR31">
        <v>0</v>
      </c>
    </row>
    <row r="32" spans="1:44" x14ac:dyDescent="0.25">
      <c r="A32">
        <f t="shared" si="37"/>
        <v>21</v>
      </c>
      <c r="B32" s="1">
        <f t="shared" si="31"/>
        <v>4.7209899999999998E-8</v>
      </c>
      <c r="C32" s="1">
        <f t="shared" si="31"/>
        <v>1.09987E-3</v>
      </c>
      <c r="D32" s="1">
        <f t="shared" si="32"/>
        <v>1.7799999999999999E-6</v>
      </c>
      <c r="E32" s="1" t="e">
        <f t="shared" si="1"/>
        <v>#NUM!</v>
      </c>
      <c r="F32" s="1" t="e">
        <f t="shared" si="33"/>
        <v>#NUM!</v>
      </c>
      <c r="G32" s="1">
        <f t="shared" si="34"/>
        <v>7.3092358738902837E+62</v>
      </c>
      <c r="H32" s="1">
        <f t="shared" si="35"/>
        <v>7.3092358738902837E+62</v>
      </c>
      <c r="I32" s="1">
        <f t="shared" si="36"/>
        <v>2.6915348039269097E-8</v>
      </c>
      <c r="J32" s="1" t="e">
        <f t="shared" si="2"/>
        <v>#NUM!</v>
      </c>
      <c r="K32" s="1">
        <f t="shared" si="3"/>
        <v>4.9416499374615526E+60</v>
      </c>
      <c r="L32" s="1">
        <f t="shared" si="4"/>
        <v>3.7411058827205313E-7</v>
      </c>
      <c r="M32" s="1">
        <f t="shared" si="5"/>
        <v>4.1963526413567801E+65</v>
      </c>
      <c r="N32" s="1">
        <f t="shared" si="6"/>
        <v>2.5402237786948151E+64</v>
      </c>
      <c r="O32" s="1" t="e">
        <f t="shared" si="7"/>
        <v>#NUM!</v>
      </c>
      <c r="P32" s="1" t="e">
        <f t="shared" si="9"/>
        <v>#NUM!</v>
      </c>
      <c r="Q32" s="1" t="e">
        <f t="shared" si="10"/>
        <v>#NUM!</v>
      </c>
      <c r="R32" s="1" t="e">
        <f t="shared" si="11"/>
        <v>#NUM!</v>
      </c>
      <c r="S32" s="1" t="e">
        <f t="shared" si="12"/>
        <v>#NUM!</v>
      </c>
      <c r="T32" s="1" t="e">
        <f t="shared" si="13"/>
        <v>#NUM!</v>
      </c>
      <c r="U32" s="1" t="e">
        <f t="shared" si="14"/>
        <v>#NUM!</v>
      </c>
      <c r="V32" s="1" t="e">
        <f t="shared" si="15"/>
        <v>#NUM!</v>
      </c>
      <c r="W32" s="1" t="e">
        <f t="shared" si="16"/>
        <v>#NUM!</v>
      </c>
      <c r="X32" t="e" cm="1">
        <f t="array" ref="X32">MAX(ABS(T32:W32/B32:E32))</f>
        <v>#NUM!</v>
      </c>
      <c r="Y32" s="1">
        <f t="shared" si="17"/>
        <v>1.0037094578983654E+70</v>
      </c>
      <c r="Z32" s="1" t="e">
        <f t="shared" si="18"/>
        <v>#NUM!</v>
      </c>
      <c r="AA32" s="1" t="e">
        <f t="shared" si="19"/>
        <v>#NUM!</v>
      </c>
      <c r="AB32">
        <f t="shared" si="20"/>
        <v>8.2010975373508396E+69</v>
      </c>
      <c r="AC32" t="e">
        <f t="shared" si="21"/>
        <v>#NUM!</v>
      </c>
      <c r="AD32">
        <v>0</v>
      </c>
      <c r="AE32" s="9">
        <f t="shared" si="22"/>
        <v>1.8359970416328145E+69</v>
      </c>
      <c r="AF32">
        <f>0</f>
        <v>0</v>
      </c>
      <c r="AG32" s="1" t="e">
        <f t="shared" si="23"/>
        <v>#NUM!</v>
      </c>
      <c r="AH32" s="16" t="e">
        <f t="shared" si="24"/>
        <v>#NUM!</v>
      </c>
      <c r="AI32" s="16" t="e">
        <f t="shared" si="25"/>
        <v>#NUM!</v>
      </c>
      <c r="AJ32" s="13">
        <f t="shared" si="26"/>
        <v>1.8359970416328103E+67</v>
      </c>
      <c r="AK32" s="16">
        <f t="shared" si="27"/>
        <v>8.2010975373508396E+69</v>
      </c>
      <c r="AL32" s="16" t="e">
        <f t="shared" si="28"/>
        <v>#NUM!</v>
      </c>
      <c r="AM32" s="13">
        <f t="shared" si="29"/>
        <v>6.7608297539198143E-4</v>
      </c>
      <c r="AN32" s="13" t="e">
        <f t="shared" si="30"/>
        <v>#NUM!</v>
      </c>
      <c r="AO32" t="e" cm="1">
        <f t="array" ref="AO32">TRANSPOSE(MMULT(MINVERSE(_xlfn.WRAPCOLS(Y32:AG32,3)),TRANSPOSE(T32:V32)))</f>
        <v>#NUM!</v>
      </c>
      <c r="AP32" s="1"/>
      <c r="AQ32" s="1"/>
      <c r="AR32">
        <v>0</v>
      </c>
    </row>
    <row r="33" spans="1:44" x14ac:dyDescent="0.25">
      <c r="A33">
        <f t="shared" si="37"/>
        <v>22</v>
      </c>
      <c r="B33" s="1">
        <f t="shared" si="31"/>
        <v>4.7209899999999998E-8</v>
      </c>
      <c r="C33" s="1">
        <f t="shared" si="31"/>
        <v>1.09987E-3</v>
      </c>
      <c r="D33" s="1">
        <f t="shared" si="32"/>
        <v>1.7799999999999999E-6</v>
      </c>
      <c r="E33" s="1" t="e">
        <f t="shared" si="1"/>
        <v>#NUM!</v>
      </c>
      <c r="F33" s="1" t="e">
        <f t="shared" si="33"/>
        <v>#NUM!</v>
      </c>
      <c r="G33" s="1">
        <f t="shared" si="34"/>
        <v>7.3092358738902837E+62</v>
      </c>
      <c r="H33" s="1">
        <f t="shared" si="35"/>
        <v>7.3092358738902837E+62</v>
      </c>
      <c r="I33" s="1">
        <f t="shared" si="36"/>
        <v>2.6915348039269097E-8</v>
      </c>
      <c r="J33" s="1" t="e">
        <f t="shared" si="2"/>
        <v>#NUM!</v>
      </c>
      <c r="K33" s="1">
        <f t="shared" si="3"/>
        <v>4.9416499374615526E+60</v>
      </c>
      <c r="L33" s="1">
        <f t="shared" si="4"/>
        <v>3.7411058827205313E-7</v>
      </c>
      <c r="M33" s="1">
        <f t="shared" si="5"/>
        <v>4.1963526413567801E+65</v>
      </c>
      <c r="N33" s="1">
        <f t="shared" si="6"/>
        <v>2.5402237786948151E+64</v>
      </c>
      <c r="O33" s="1" t="e">
        <f t="shared" si="7"/>
        <v>#NUM!</v>
      </c>
      <c r="P33" s="1" t="e">
        <f t="shared" si="9"/>
        <v>#NUM!</v>
      </c>
      <c r="Q33" s="1" t="e">
        <f t="shared" si="10"/>
        <v>#NUM!</v>
      </c>
      <c r="R33" s="1" t="e">
        <f t="shared" si="11"/>
        <v>#NUM!</v>
      </c>
      <c r="S33" s="1" t="e">
        <f t="shared" si="12"/>
        <v>#NUM!</v>
      </c>
      <c r="T33" s="1" t="e">
        <f t="shared" si="13"/>
        <v>#NUM!</v>
      </c>
      <c r="U33" s="1" t="e">
        <f t="shared" si="14"/>
        <v>#NUM!</v>
      </c>
      <c r="V33" s="1" t="e">
        <f t="shared" si="15"/>
        <v>#NUM!</v>
      </c>
      <c r="W33" s="1" t="e">
        <f t="shared" si="16"/>
        <v>#NUM!</v>
      </c>
      <c r="X33" t="e" cm="1">
        <f t="array" ref="X33">MAX(ABS(T33:W33/B33:E33))</f>
        <v>#NUM!</v>
      </c>
      <c r="Y33" s="1">
        <f t="shared" si="17"/>
        <v>1.0037094578983654E+70</v>
      </c>
      <c r="Z33" s="1" t="e">
        <f t="shared" si="18"/>
        <v>#NUM!</v>
      </c>
      <c r="AA33" s="1" t="e">
        <f t="shared" si="19"/>
        <v>#NUM!</v>
      </c>
      <c r="AB33">
        <f t="shared" si="20"/>
        <v>8.2010975373508396E+69</v>
      </c>
      <c r="AC33" t="e">
        <f t="shared" si="21"/>
        <v>#NUM!</v>
      </c>
      <c r="AD33">
        <v>0</v>
      </c>
      <c r="AE33" s="9">
        <f t="shared" si="22"/>
        <v>1.8359970416328145E+69</v>
      </c>
      <c r="AF33">
        <f>0</f>
        <v>0</v>
      </c>
      <c r="AG33" s="1" t="e">
        <f t="shared" si="23"/>
        <v>#NUM!</v>
      </c>
      <c r="AH33" s="16" t="e">
        <f t="shared" si="24"/>
        <v>#NUM!</v>
      </c>
      <c r="AI33" s="16" t="e">
        <f t="shared" si="25"/>
        <v>#NUM!</v>
      </c>
      <c r="AJ33" s="13">
        <f t="shared" si="26"/>
        <v>1.8359970416328103E+67</v>
      </c>
      <c r="AK33" s="16">
        <f t="shared" si="27"/>
        <v>8.2010975373508396E+69</v>
      </c>
      <c r="AL33" s="16" t="e">
        <f t="shared" si="28"/>
        <v>#NUM!</v>
      </c>
      <c r="AM33" s="13">
        <f t="shared" si="29"/>
        <v>6.7608297539198143E-4</v>
      </c>
      <c r="AN33" s="13" t="e">
        <f t="shared" si="30"/>
        <v>#NUM!</v>
      </c>
      <c r="AO33" t="e" cm="1">
        <f t="array" ref="AO33">TRANSPOSE(MMULT(MINVERSE(_xlfn.WRAPCOLS(Y33:AG33,3)),TRANSPOSE(T33:V33)))</f>
        <v>#NUM!</v>
      </c>
      <c r="AP33" s="1"/>
      <c r="AQ33" s="1"/>
      <c r="AR33">
        <v>0</v>
      </c>
    </row>
    <row r="34" spans="1:44" x14ac:dyDescent="0.25">
      <c r="A34">
        <f t="shared" si="37"/>
        <v>23</v>
      </c>
      <c r="B34" s="1">
        <f t="shared" si="31"/>
        <v>4.7209899999999998E-8</v>
      </c>
      <c r="C34" s="1">
        <f t="shared" si="31"/>
        <v>1.09987E-3</v>
      </c>
      <c r="D34" s="1">
        <f t="shared" si="32"/>
        <v>1.7799999999999999E-6</v>
      </c>
      <c r="E34" s="1" t="e">
        <f t="shared" si="1"/>
        <v>#NUM!</v>
      </c>
      <c r="F34" s="1" t="e">
        <f t="shared" si="33"/>
        <v>#NUM!</v>
      </c>
      <c r="G34" s="1">
        <f t="shared" si="34"/>
        <v>7.3092358738902837E+62</v>
      </c>
      <c r="H34" s="1">
        <f t="shared" si="35"/>
        <v>7.3092358738902837E+62</v>
      </c>
      <c r="I34" s="1">
        <f t="shared" si="36"/>
        <v>2.6915348039269097E-8</v>
      </c>
      <c r="J34" s="1" t="e">
        <f t="shared" si="2"/>
        <v>#NUM!</v>
      </c>
      <c r="K34" s="1">
        <f t="shared" si="3"/>
        <v>4.9416499374615526E+60</v>
      </c>
      <c r="L34" s="1">
        <f t="shared" si="4"/>
        <v>3.7411058827205313E-7</v>
      </c>
      <c r="M34" s="1">
        <f t="shared" si="5"/>
        <v>4.1963526413567801E+65</v>
      </c>
      <c r="N34" s="1">
        <f t="shared" si="6"/>
        <v>2.5402237786948151E+64</v>
      </c>
      <c r="O34" s="1" t="e">
        <f t="shared" si="7"/>
        <v>#NUM!</v>
      </c>
      <c r="P34" s="1" t="e">
        <f t="shared" si="9"/>
        <v>#NUM!</v>
      </c>
      <c r="Q34" s="1" t="e">
        <f t="shared" si="10"/>
        <v>#NUM!</v>
      </c>
      <c r="R34" s="1" t="e">
        <f t="shared" si="11"/>
        <v>#NUM!</v>
      </c>
      <c r="S34" s="1" t="e">
        <f t="shared" si="12"/>
        <v>#NUM!</v>
      </c>
      <c r="T34" s="1" t="e">
        <f t="shared" si="13"/>
        <v>#NUM!</v>
      </c>
      <c r="U34" s="1" t="e">
        <f t="shared" si="14"/>
        <v>#NUM!</v>
      </c>
      <c r="V34" s="1" t="e">
        <f t="shared" si="15"/>
        <v>#NUM!</v>
      </c>
      <c r="W34" s="1" t="e">
        <f t="shared" si="16"/>
        <v>#NUM!</v>
      </c>
      <c r="X34" t="e" cm="1">
        <f t="array" ref="X34">MAX(ABS(T34:W34/B34:E34))</f>
        <v>#NUM!</v>
      </c>
      <c r="Y34" s="1">
        <f t="shared" si="17"/>
        <v>1.0037094578983654E+70</v>
      </c>
      <c r="Z34" s="1" t="e">
        <f t="shared" si="18"/>
        <v>#NUM!</v>
      </c>
      <c r="AA34" s="1" t="e">
        <f t="shared" si="19"/>
        <v>#NUM!</v>
      </c>
      <c r="AB34">
        <f t="shared" si="20"/>
        <v>8.2010975373508396E+69</v>
      </c>
      <c r="AC34" t="e">
        <f t="shared" si="21"/>
        <v>#NUM!</v>
      </c>
      <c r="AD34">
        <v>0</v>
      </c>
      <c r="AE34" s="9">
        <f t="shared" si="22"/>
        <v>1.8359970416328145E+69</v>
      </c>
      <c r="AF34">
        <f>0</f>
        <v>0</v>
      </c>
      <c r="AG34" s="1" t="e">
        <f t="shared" si="23"/>
        <v>#NUM!</v>
      </c>
      <c r="AH34" s="16" t="e">
        <f t="shared" si="24"/>
        <v>#NUM!</v>
      </c>
      <c r="AI34" s="16" t="e">
        <f t="shared" si="25"/>
        <v>#NUM!</v>
      </c>
      <c r="AJ34" s="13">
        <f t="shared" si="26"/>
        <v>1.8359970416328103E+67</v>
      </c>
      <c r="AK34" s="16">
        <f t="shared" si="27"/>
        <v>8.2010975373508396E+69</v>
      </c>
      <c r="AL34" s="16" t="e">
        <f t="shared" si="28"/>
        <v>#NUM!</v>
      </c>
      <c r="AM34" s="13">
        <f t="shared" si="29"/>
        <v>6.7608297539198143E-4</v>
      </c>
      <c r="AN34" s="13" t="e">
        <f t="shared" si="30"/>
        <v>#NUM!</v>
      </c>
      <c r="AO34" t="e" cm="1">
        <f t="array" ref="AO34">TRANSPOSE(MMULT(MINVERSE(_xlfn.WRAPCOLS(Y34:AG34,3)),TRANSPOSE(T34:V34)))</f>
        <v>#NUM!</v>
      </c>
      <c r="AP34" s="1"/>
      <c r="AQ34" s="1"/>
      <c r="AR34">
        <v>0</v>
      </c>
    </row>
    <row r="35" spans="1:44" x14ac:dyDescent="0.25">
      <c r="A35">
        <f t="shared" si="37"/>
        <v>24</v>
      </c>
      <c r="B35" s="1">
        <f t="shared" si="31"/>
        <v>4.7209899999999998E-8</v>
      </c>
      <c r="C35" s="1">
        <f t="shared" si="31"/>
        <v>1.09987E-3</v>
      </c>
      <c r="D35" s="1">
        <f t="shared" si="32"/>
        <v>1.7799999999999999E-6</v>
      </c>
      <c r="E35" s="1" t="e">
        <f t="shared" si="1"/>
        <v>#NUM!</v>
      </c>
      <c r="F35" s="1" t="e">
        <f t="shared" si="33"/>
        <v>#NUM!</v>
      </c>
      <c r="G35" s="1">
        <f t="shared" si="34"/>
        <v>7.3092358738902837E+62</v>
      </c>
      <c r="H35" s="1">
        <f t="shared" si="35"/>
        <v>7.3092358738902837E+62</v>
      </c>
      <c r="I35" s="1">
        <f t="shared" si="36"/>
        <v>2.6915348039269097E-8</v>
      </c>
      <c r="J35" s="1" t="e">
        <f t="shared" si="2"/>
        <v>#NUM!</v>
      </c>
      <c r="K35" s="1">
        <f t="shared" si="3"/>
        <v>4.9416499374615526E+60</v>
      </c>
      <c r="L35" s="1">
        <f t="shared" si="4"/>
        <v>3.7411058827205313E-7</v>
      </c>
      <c r="M35" s="1">
        <f t="shared" si="5"/>
        <v>4.1963526413567801E+65</v>
      </c>
      <c r="N35" s="1">
        <f t="shared" si="6"/>
        <v>2.5402237786948151E+64</v>
      </c>
      <c r="O35" s="1" t="e">
        <f t="shared" si="7"/>
        <v>#NUM!</v>
      </c>
      <c r="P35" s="1" t="e">
        <f t="shared" si="9"/>
        <v>#NUM!</v>
      </c>
      <c r="Q35" s="1" t="e">
        <f t="shared" si="10"/>
        <v>#NUM!</v>
      </c>
      <c r="R35" s="1" t="e">
        <f t="shared" si="11"/>
        <v>#NUM!</v>
      </c>
      <c r="S35" s="1" t="e">
        <f t="shared" si="12"/>
        <v>#NUM!</v>
      </c>
      <c r="T35" s="1" t="e">
        <f t="shared" si="13"/>
        <v>#NUM!</v>
      </c>
      <c r="U35" s="1" t="e">
        <f t="shared" si="14"/>
        <v>#NUM!</v>
      </c>
      <c r="V35" s="1" t="e">
        <f t="shared" si="15"/>
        <v>#NUM!</v>
      </c>
      <c r="W35" s="1" t="e">
        <f t="shared" si="16"/>
        <v>#NUM!</v>
      </c>
      <c r="X35" t="e" cm="1">
        <f t="array" ref="X35">MAX(ABS(T35:W35/B35:E35))</f>
        <v>#NUM!</v>
      </c>
      <c r="Y35" s="1">
        <f t="shared" si="17"/>
        <v>1.0037094578983654E+70</v>
      </c>
      <c r="Z35" s="1" t="e">
        <f t="shared" si="18"/>
        <v>#NUM!</v>
      </c>
      <c r="AA35" s="1" t="e">
        <f t="shared" si="19"/>
        <v>#NUM!</v>
      </c>
      <c r="AB35">
        <f t="shared" si="20"/>
        <v>8.2010975373508396E+69</v>
      </c>
      <c r="AC35" t="e">
        <f t="shared" si="21"/>
        <v>#NUM!</v>
      </c>
      <c r="AD35">
        <v>0</v>
      </c>
      <c r="AE35" s="9">
        <f t="shared" si="22"/>
        <v>1.8359970416328145E+69</v>
      </c>
      <c r="AF35">
        <f>0</f>
        <v>0</v>
      </c>
      <c r="AG35" s="1" t="e">
        <f t="shared" si="23"/>
        <v>#NUM!</v>
      </c>
      <c r="AH35" s="16" t="e">
        <f t="shared" si="24"/>
        <v>#NUM!</v>
      </c>
      <c r="AI35" s="16" t="e">
        <f t="shared" si="25"/>
        <v>#NUM!</v>
      </c>
      <c r="AJ35" s="13">
        <f t="shared" si="26"/>
        <v>1.8359970416328103E+67</v>
      </c>
      <c r="AK35" s="16">
        <f t="shared" si="27"/>
        <v>8.2010975373508396E+69</v>
      </c>
      <c r="AL35" s="16" t="e">
        <f t="shared" si="28"/>
        <v>#NUM!</v>
      </c>
      <c r="AM35" s="13">
        <f t="shared" si="29"/>
        <v>6.7608297539198143E-4</v>
      </c>
      <c r="AN35" s="13" t="e">
        <f t="shared" si="30"/>
        <v>#NUM!</v>
      </c>
      <c r="AO35" t="e" cm="1">
        <f t="array" ref="AO35">TRANSPOSE(MMULT(MINVERSE(_xlfn.WRAPCOLS(Y35:AG35,3)),TRANSPOSE(T35:V35)))</f>
        <v>#NUM!</v>
      </c>
      <c r="AP35" s="1"/>
      <c r="AQ35" s="1"/>
      <c r="AR35">
        <v>0</v>
      </c>
    </row>
    <row r="36" spans="1:44" x14ac:dyDescent="0.25">
      <c r="A36">
        <f t="shared" si="37"/>
        <v>25</v>
      </c>
      <c r="B36" s="1">
        <f t="shared" si="31"/>
        <v>4.7209899999999998E-8</v>
      </c>
      <c r="C36" s="1">
        <f t="shared" si="31"/>
        <v>1.09987E-3</v>
      </c>
      <c r="D36" s="1">
        <f t="shared" si="32"/>
        <v>1.7799999999999999E-6</v>
      </c>
      <c r="E36" s="1" t="e">
        <f t="shared" si="1"/>
        <v>#NUM!</v>
      </c>
      <c r="F36" s="1" t="e">
        <f t="shared" si="33"/>
        <v>#NUM!</v>
      </c>
      <c r="G36" s="1">
        <f t="shared" si="34"/>
        <v>7.3092358738902837E+62</v>
      </c>
      <c r="H36" s="1">
        <f t="shared" si="35"/>
        <v>7.3092358738902837E+62</v>
      </c>
      <c r="I36" s="1">
        <f t="shared" si="36"/>
        <v>2.6915348039269097E-8</v>
      </c>
      <c r="J36" s="1" t="e">
        <f t="shared" si="2"/>
        <v>#NUM!</v>
      </c>
      <c r="K36" s="1">
        <f t="shared" si="3"/>
        <v>4.9416499374615526E+60</v>
      </c>
      <c r="L36" s="1">
        <f t="shared" si="4"/>
        <v>3.7411058827205313E-7</v>
      </c>
      <c r="M36" s="1">
        <f t="shared" si="5"/>
        <v>4.1963526413567801E+65</v>
      </c>
      <c r="N36" s="1">
        <f t="shared" si="6"/>
        <v>2.5402237786948151E+64</v>
      </c>
      <c r="O36" s="1" t="e">
        <f t="shared" si="7"/>
        <v>#NUM!</v>
      </c>
      <c r="P36" s="1" t="e">
        <f t="shared" si="9"/>
        <v>#NUM!</v>
      </c>
      <c r="Q36" s="1" t="e">
        <f t="shared" si="10"/>
        <v>#NUM!</v>
      </c>
      <c r="R36" s="1" t="e">
        <f t="shared" si="11"/>
        <v>#NUM!</v>
      </c>
      <c r="S36" s="1" t="e">
        <f t="shared" si="12"/>
        <v>#NUM!</v>
      </c>
      <c r="T36" s="1" t="e">
        <f t="shared" si="13"/>
        <v>#NUM!</v>
      </c>
      <c r="U36" s="1" t="e">
        <f t="shared" si="14"/>
        <v>#NUM!</v>
      </c>
      <c r="V36" s="1" t="e">
        <f t="shared" si="15"/>
        <v>#NUM!</v>
      </c>
      <c r="W36" s="1" t="e">
        <f t="shared" si="16"/>
        <v>#NUM!</v>
      </c>
      <c r="X36" t="e" cm="1">
        <f t="array" ref="X36">MAX(ABS(T36:W36/B36:E36))</f>
        <v>#NUM!</v>
      </c>
      <c r="Y36" s="1">
        <f t="shared" si="17"/>
        <v>1.0037094578983654E+70</v>
      </c>
      <c r="Z36" s="1" t="e">
        <f t="shared" si="18"/>
        <v>#NUM!</v>
      </c>
      <c r="AA36" s="1" t="e">
        <f t="shared" si="19"/>
        <v>#NUM!</v>
      </c>
      <c r="AB36">
        <f t="shared" si="20"/>
        <v>8.2010975373508396E+69</v>
      </c>
      <c r="AC36" t="e">
        <f t="shared" si="21"/>
        <v>#NUM!</v>
      </c>
      <c r="AD36">
        <v>0</v>
      </c>
      <c r="AE36" s="9">
        <f t="shared" si="22"/>
        <v>1.8359970416328145E+69</v>
      </c>
      <c r="AF36">
        <f>0</f>
        <v>0</v>
      </c>
      <c r="AG36" s="1" t="e">
        <f t="shared" si="23"/>
        <v>#NUM!</v>
      </c>
      <c r="AH36" s="16" t="e">
        <f t="shared" si="24"/>
        <v>#NUM!</v>
      </c>
      <c r="AI36" s="16" t="e">
        <f t="shared" si="25"/>
        <v>#NUM!</v>
      </c>
      <c r="AJ36" s="13">
        <f t="shared" si="26"/>
        <v>1.8359970416328103E+67</v>
      </c>
      <c r="AK36" s="16">
        <f t="shared" si="27"/>
        <v>8.2010975373508396E+69</v>
      </c>
      <c r="AL36" s="16" t="e">
        <f t="shared" si="28"/>
        <v>#NUM!</v>
      </c>
      <c r="AM36" s="13">
        <f t="shared" si="29"/>
        <v>6.7608297539198143E-4</v>
      </c>
      <c r="AN36" s="13" t="e">
        <f t="shared" si="30"/>
        <v>#NUM!</v>
      </c>
      <c r="AO36" t="e" cm="1">
        <f t="array" ref="AO36">TRANSPOSE(MMULT(MINVERSE(_xlfn.WRAPCOLS(Y36:AG36,3)),TRANSPOSE(T36:V36)))</f>
        <v>#NUM!</v>
      </c>
      <c r="AP36" s="1"/>
      <c r="AQ36" s="1"/>
      <c r="AR36">
        <v>0</v>
      </c>
    </row>
    <row r="37" spans="1:44" x14ac:dyDescent="0.25">
      <c r="A37">
        <f t="shared" si="37"/>
        <v>26</v>
      </c>
      <c r="B37" s="1">
        <f t="shared" si="31"/>
        <v>4.7209899999999998E-8</v>
      </c>
      <c r="C37" s="1">
        <f t="shared" si="31"/>
        <v>1.09987E-3</v>
      </c>
      <c r="D37" s="1">
        <f t="shared" si="32"/>
        <v>1.7799999999999999E-6</v>
      </c>
      <c r="E37" s="1" t="e">
        <f t="shared" si="1"/>
        <v>#NUM!</v>
      </c>
      <c r="F37" s="1" t="e">
        <f t="shared" si="33"/>
        <v>#NUM!</v>
      </c>
      <c r="G37" s="1">
        <f t="shared" si="34"/>
        <v>7.3092358738902837E+62</v>
      </c>
      <c r="H37" s="1">
        <f t="shared" si="35"/>
        <v>7.3092358738902837E+62</v>
      </c>
      <c r="I37" s="1">
        <f t="shared" si="36"/>
        <v>2.6915348039269097E-8</v>
      </c>
      <c r="J37" s="1" t="e">
        <f t="shared" si="2"/>
        <v>#NUM!</v>
      </c>
      <c r="K37" s="1">
        <f t="shared" si="3"/>
        <v>4.9416499374615526E+60</v>
      </c>
      <c r="L37" s="1">
        <f t="shared" si="4"/>
        <v>3.7411058827205313E-7</v>
      </c>
      <c r="M37" s="1">
        <f t="shared" si="5"/>
        <v>4.1963526413567801E+65</v>
      </c>
      <c r="N37" s="1">
        <f t="shared" si="6"/>
        <v>2.5402237786948151E+64</v>
      </c>
      <c r="O37" s="1" t="e">
        <f t="shared" si="7"/>
        <v>#NUM!</v>
      </c>
      <c r="P37" s="1" t="e">
        <f t="shared" si="9"/>
        <v>#NUM!</v>
      </c>
      <c r="Q37" s="1" t="e">
        <f t="shared" si="10"/>
        <v>#NUM!</v>
      </c>
      <c r="R37" s="1" t="e">
        <f t="shared" si="11"/>
        <v>#NUM!</v>
      </c>
      <c r="S37" s="1" t="e">
        <f t="shared" si="12"/>
        <v>#NUM!</v>
      </c>
      <c r="T37" s="1" t="e">
        <f t="shared" si="13"/>
        <v>#NUM!</v>
      </c>
      <c r="U37" s="1" t="e">
        <f t="shared" si="14"/>
        <v>#NUM!</v>
      </c>
      <c r="V37" s="1" t="e">
        <f t="shared" si="15"/>
        <v>#NUM!</v>
      </c>
      <c r="W37" s="1" t="e">
        <f t="shared" si="16"/>
        <v>#NUM!</v>
      </c>
      <c r="X37" t="e" cm="1">
        <f t="array" ref="X37">MAX(ABS(T37:W37/B37:E37))</f>
        <v>#NUM!</v>
      </c>
      <c r="Y37" s="1">
        <f t="shared" si="17"/>
        <v>1.0037094578983654E+70</v>
      </c>
      <c r="Z37" s="1" t="e">
        <f t="shared" si="18"/>
        <v>#NUM!</v>
      </c>
      <c r="AA37" s="1" t="e">
        <f t="shared" si="19"/>
        <v>#NUM!</v>
      </c>
      <c r="AB37">
        <f t="shared" si="20"/>
        <v>8.2010975373508396E+69</v>
      </c>
      <c r="AC37" t="e">
        <f t="shared" si="21"/>
        <v>#NUM!</v>
      </c>
      <c r="AD37">
        <v>0</v>
      </c>
      <c r="AE37" s="9">
        <f t="shared" si="22"/>
        <v>1.8359970416328145E+69</v>
      </c>
      <c r="AF37">
        <f>0</f>
        <v>0</v>
      </c>
      <c r="AG37" s="1" t="e">
        <f t="shared" si="23"/>
        <v>#NUM!</v>
      </c>
      <c r="AH37" s="16" t="e">
        <f t="shared" si="24"/>
        <v>#NUM!</v>
      </c>
      <c r="AI37" s="16" t="e">
        <f t="shared" si="25"/>
        <v>#NUM!</v>
      </c>
      <c r="AJ37" s="13">
        <f t="shared" si="26"/>
        <v>1.8359970416328103E+67</v>
      </c>
      <c r="AK37" s="16">
        <f t="shared" si="27"/>
        <v>8.2010975373508396E+69</v>
      </c>
      <c r="AL37" s="16" t="e">
        <f t="shared" si="28"/>
        <v>#NUM!</v>
      </c>
      <c r="AM37" s="13">
        <f t="shared" si="29"/>
        <v>6.7608297539198143E-4</v>
      </c>
      <c r="AN37" s="13" t="e">
        <f t="shared" si="30"/>
        <v>#NUM!</v>
      </c>
      <c r="AO37" t="e" cm="1">
        <f t="array" ref="AO37">TRANSPOSE(MMULT(MINVERSE(_xlfn.WRAPCOLS(Y37:AG37,3)),TRANSPOSE(T37:V37)))</f>
        <v>#NUM!</v>
      </c>
      <c r="AP37" s="1"/>
      <c r="AQ37" s="1"/>
      <c r="AR37">
        <v>0</v>
      </c>
    </row>
    <row r="38" spans="1:44" x14ac:dyDescent="0.25">
      <c r="A38">
        <f t="shared" si="37"/>
        <v>27</v>
      </c>
      <c r="B38" s="1">
        <f t="shared" si="31"/>
        <v>4.7209899999999998E-8</v>
      </c>
      <c r="C38" s="1">
        <f t="shared" si="31"/>
        <v>1.09987E-3</v>
      </c>
      <c r="D38" s="1">
        <f t="shared" si="32"/>
        <v>1.7799999999999999E-6</v>
      </c>
      <c r="E38" s="1" t="e">
        <f t="shared" si="1"/>
        <v>#NUM!</v>
      </c>
      <c r="F38" s="1" t="e">
        <f t="shared" si="33"/>
        <v>#NUM!</v>
      </c>
      <c r="G38" s="1">
        <f t="shared" si="34"/>
        <v>7.3092358738902837E+62</v>
      </c>
      <c r="H38" s="1">
        <f t="shared" si="35"/>
        <v>7.3092358738902837E+62</v>
      </c>
      <c r="I38" s="1">
        <f t="shared" si="36"/>
        <v>2.6915348039269097E-8</v>
      </c>
      <c r="J38" s="1" t="e">
        <f t="shared" si="2"/>
        <v>#NUM!</v>
      </c>
      <c r="K38" s="1">
        <f t="shared" si="3"/>
        <v>4.9416499374615526E+60</v>
      </c>
      <c r="L38" s="1">
        <f t="shared" si="4"/>
        <v>3.7411058827205313E-7</v>
      </c>
      <c r="M38" s="1">
        <f t="shared" si="5"/>
        <v>4.1963526413567801E+65</v>
      </c>
      <c r="N38" s="1">
        <f t="shared" si="6"/>
        <v>2.5402237786948151E+64</v>
      </c>
      <c r="O38" s="1" t="e">
        <f t="shared" si="7"/>
        <v>#NUM!</v>
      </c>
      <c r="P38" s="1" t="e">
        <f t="shared" si="9"/>
        <v>#NUM!</v>
      </c>
      <c r="Q38" s="1" t="e">
        <f t="shared" si="10"/>
        <v>#NUM!</v>
      </c>
      <c r="R38" s="1" t="e">
        <f t="shared" si="11"/>
        <v>#NUM!</v>
      </c>
      <c r="S38" s="1" t="e">
        <f t="shared" si="12"/>
        <v>#NUM!</v>
      </c>
      <c r="T38" s="1" t="e">
        <f t="shared" si="13"/>
        <v>#NUM!</v>
      </c>
      <c r="U38" s="1" t="e">
        <f t="shared" si="14"/>
        <v>#NUM!</v>
      </c>
      <c r="V38" s="1" t="e">
        <f t="shared" si="15"/>
        <v>#NUM!</v>
      </c>
      <c r="W38" s="1" t="e">
        <f t="shared" si="16"/>
        <v>#NUM!</v>
      </c>
      <c r="X38" t="e" cm="1">
        <f t="array" ref="X38">MAX(ABS(T38:W38/B38:E38))</f>
        <v>#NUM!</v>
      </c>
      <c r="Y38" s="1">
        <f t="shared" si="17"/>
        <v>1.0037094578983654E+70</v>
      </c>
      <c r="Z38" s="1" t="e">
        <f t="shared" si="18"/>
        <v>#NUM!</v>
      </c>
      <c r="AA38" s="1" t="e">
        <f t="shared" si="19"/>
        <v>#NUM!</v>
      </c>
      <c r="AB38">
        <f t="shared" si="20"/>
        <v>8.2010975373508396E+69</v>
      </c>
      <c r="AC38" t="e">
        <f t="shared" si="21"/>
        <v>#NUM!</v>
      </c>
      <c r="AD38">
        <v>0</v>
      </c>
      <c r="AE38" s="9">
        <f t="shared" si="22"/>
        <v>1.8359970416328145E+69</v>
      </c>
      <c r="AF38">
        <f>0</f>
        <v>0</v>
      </c>
      <c r="AG38" s="1" t="e">
        <f t="shared" si="23"/>
        <v>#NUM!</v>
      </c>
      <c r="AH38" s="16" t="e">
        <f t="shared" si="24"/>
        <v>#NUM!</v>
      </c>
      <c r="AI38" s="16" t="e">
        <f t="shared" si="25"/>
        <v>#NUM!</v>
      </c>
      <c r="AJ38" s="13">
        <f t="shared" si="26"/>
        <v>1.8359970416328103E+67</v>
      </c>
      <c r="AK38" s="16">
        <f t="shared" si="27"/>
        <v>8.2010975373508396E+69</v>
      </c>
      <c r="AL38" s="16" t="e">
        <f t="shared" si="28"/>
        <v>#NUM!</v>
      </c>
      <c r="AM38" s="13">
        <f t="shared" si="29"/>
        <v>6.7608297539198143E-4</v>
      </c>
      <c r="AN38" s="13" t="e">
        <f t="shared" si="30"/>
        <v>#NUM!</v>
      </c>
      <c r="AO38" t="e" cm="1">
        <f t="array" ref="AO38">TRANSPOSE(MMULT(MINVERSE(_xlfn.WRAPCOLS(Y38:AG38,3)),TRANSPOSE(T38:V38)))</f>
        <v>#NUM!</v>
      </c>
      <c r="AP38" s="1"/>
      <c r="AQ38" s="1"/>
      <c r="AR38">
        <v>0</v>
      </c>
    </row>
    <row r="39" spans="1:44" x14ac:dyDescent="0.25">
      <c r="A39">
        <f t="shared" ref="A39:A74" si="38">A38+1</f>
        <v>28</v>
      </c>
      <c r="B39" s="1">
        <f t="shared" ref="B39:B74" si="39">B38</f>
        <v>4.7209899999999998E-8</v>
      </c>
      <c r="C39" s="1">
        <f t="shared" ref="C39:C74" si="40">C38</f>
        <v>1.09987E-3</v>
      </c>
      <c r="D39" s="1">
        <f t="shared" ref="D39:D74" si="41">D38</f>
        <v>1.7799999999999999E-6</v>
      </c>
      <c r="E39" s="1" t="e">
        <f t="shared" ref="E39:E74" si="42">I39+M39+2*N39-L39+O39+K39</f>
        <v>#NUM!</v>
      </c>
      <c r="F39" s="1" t="e">
        <f t="shared" si="33"/>
        <v>#NUM!</v>
      </c>
      <c r="G39" s="1">
        <f t="shared" si="34"/>
        <v>7.3092358738902837E+62</v>
      </c>
      <c r="H39" s="1">
        <f t="shared" si="35"/>
        <v>7.3092358738902837E+62</v>
      </c>
      <c r="I39" s="1">
        <f t="shared" si="36"/>
        <v>2.6915348039269097E-8</v>
      </c>
      <c r="J39" s="1" t="e">
        <f t="shared" ref="J39:J74" si="43">H39*F39*$J$4</f>
        <v>#NUM!</v>
      </c>
      <c r="K39" s="1">
        <f t="shared" ref="K39:K74" si="44">H39*I39*$K$4</f>
        <v>4.9416499374615526E+60</v>
      </c>
      <c r="L39" s="1">
        <f t="shared" ref="L39:L74" si="45">I39^(-1)*$L$4</f>
        <v>3.7411058827205313E-7</v>
      </c>
      <c r="M39" s="1">
        <f t="shared" ref="M39:M74" si="46">I39*G39*$M$4</f>
        <v>4.1963526413567801E+65</v>
      </c>
      <c r="N39" s="1">
        <f t="shared" ref="N39:N74" si="47">I39^2*G39*$N$4</f>
        <v>2.5402237786948151E+64</v>
      </c>
      <c r="O39" s="1" t="e">
        <f t="shared" ref="O39:O74" si="48">F39*I39*G39*$O$4</f>
        <v>#NUM!</v>
      </c>
      <c r="P39" s="1" t="e">
        <f t="shared" ref="P39:P74" si="49">F39+J39*$J$7+O39</f>
        <v>#NUM!</v>
      </c>
      <c r="Q39" s="1" t="e">
        <f t="shared" ref="Q39:Q74" si="50">G39+M39+N39+O39</f>
        <v>#NUM!</v>
      </c>
      <c r="R39" s="1" t="e">
        <f t="shared" ref="R39:R74" si="51">H39*$H$7+J39*$J$7+K39*$K$7</f>
        <v>#NUM!</v>
      </c>
      <c r="S39" s="1" t="e">
        <f t="shared" ref="S39:S74" si="52">I39+M39+2*N39-L39+O39+K39*$K$7</f>
        <v>#NUM!</v>
      </c>
      <c r="T39" s="1" t="e">
        <f t="shared" ref="T39:T74" si="53">P39-B39</f>
        <v>#NUM!</v>
      </c>
      <c r="U39" s="1" t="e">
        <f t="shared" ref="U39:U74" si="54">Q39-C39</f>
        <v>#NUM!</v>
      </c>
      <c r="V39" s="1" t="e">
        <f t="shared" ref="V39:V74" si="55">R39-D39</f>
        <v>#NUM!</v>
      </c>
      <c r="W39" s="1" t="e">
        <f t="shared" ref="W39:W74" si="56">S39-E39</f>
        <v>#NUM!</v>
      </c>
      <c r="X39" t="e" cm="1">
        <f t="array" ref="X39">MAX(ABS(T39:W39/B39:E39))</f>
        <v>#NUM!</v>
      </c>
      <c r="Y39" s="1">
        <f t="shared" ref="Y39:Y74" si="57">1+I39*G39*$O$4+H39*$J$4*$J$7</f>
        <v>1.0037094578983654E+70</v>
      </c>
      <c r="Z39" s="1" t="e">
        <f t="shared" ref="Z39:Z74" si="58">F39*I39*$O$4</f>
        <v>#NUM!</v>
      </c>
      <c r="AA39" s="1" t="e">
        <f t="shared" ref="AA39:AA74" si="59">F39*$J$4*$J$7</f>
        <v>#NUM!</v>
      </c>
      <c r="AB39">
        <f t="shared" ref="AB39:AB74" si="60">I39*G39*$O$4</f>
        <v>8.2010975373508396E+69</v>
      </c>
      <c r="AC39" t="e">
        <f t="shared" ref="AC39:AC74" si="61">1+I39*$M$4+I39^2*$N$4+F39*I39*$O$4</f>
        <v>#NUM!</v>
      </c>
      <c r="AD39">
        <v>0</v>
      </c>
      <c r="AE39" s="9">
        <f t="shared" ref="AE39:AE74" si="62">H39*$J$4*$J$7</f>
        <v>1.8359970416328145E+69</v>
      </c>
      <c r="AF39">
        <f>0</f>
        <v>0</v>
      </c>
      <c r="AG39" s="1" t="e">
        <f t="shared" ref="AG39:AG74" si="63">$H$7+F39*$J$4*$J$7+I39*$K$4*$K$7</f>
        <v>#NUM!</v>
      </c>
      <c r="AH39" s="16" t="e">
        <f t="shared" ref="AH39:AH74" si="64">F39*G39*$O$4</f>
        <v>#NUM!</v>
      </c>
      <c r="AI39" s="16" t="e">
        <f t="shared" ref="AI39:AI74" si="65">G39*$M$4+2*I39*G39*$N$4+F39*G39*$O$4</f>
        <v>#NUM!</v>
      </c>
      <c r="AJ39" s="13">
        <f t="shared" ref="AJ39:AJ74" si="66">H39*$K$4*$K$7</f>
        <v>1.8359970416328103E+67</v>
      </c>
      <c r="AK39" s="16">
        <f t="shared" ref="AK39:AK74" si="67">I39*G39*$O$4</f>
        <v>8.2010975373508396E+69</v>
      </c>
      <c r="AL39" s="16" t="e">
        <f t="shared" ref="AL39:AL74" si="68">I39*$M$4+2*I39^2*$N$4+F39*I39*$O$4</f>
        <v>#NUM!</v>
      </c>
      <c r="AM39" s="13">
        <f t="shared" ref="AM39:AM74" si="69">I39*$K$4*$K$7</f>
        <v>6.7608297539198143E-4</v>
      </c>
      <c r="AN39" s="13" t="e">
        <f t="shared" ref="AN39:AN74" si="70">1+G39*$M$4+4*I39*G39*$N$4+F39*G39*$O$4+I39^-2*$L$4+H39*$K$4*$K$7</f>
        <v>#NUM!</v>
      </c>
      <c r="AO39" t="e" cm="1">
        <f t="array" ref="AO39">TRANSPOSE(MMULT(MINVERSE(_xlfn.WRAPCOLS(Y39:AG39,3)),TRANSPOSE(T39:V39)))</f>
        <v>#NUM!</v>
      </c>
      <c r="AP39" s="1"/>
      <c r="AQ39" s="1"/>
      <c r="AR39">
        <v>0</v>
      </c>
    </row>
    <row r="40" spans="1:44" x14ac:dyDescent="0.25">
      <c r="A40">
        <f t="shared" si="38"/>
        <v>29</v>
      </c>
      <c r="B40" s="1">
        <f t="shared" si="39"/>
        <v>4.7209899999999998E-8</v>
      </c>
      <c r="C40" s="1">
        <f t="shared" si="40"/>
        <v>1.09987E-3</v>
      </c>
      <c r="D40" s="1">
        <f t="shared" si="41"/>
        <v>1.7799999999999999E-6</v>
      </c>
      <c r="E40" s="1" t="e">
        <f t="shared" si="42"/>
        <v>#NUM!</v>
      </c>
      <c r="F40" s="1" t="e">
        <f t="shared" si="33"/>
        <v>#NUM!</v>
      </c>
      <c r="G40" s="1">
        <f t="shared" si="34"/>
        <v>7.3092358738902837E+62</v>
      </c>
      <c r="H40" s="1">
        <f t="shared" si="35"/>
        <v>7.3092358738902837E+62</v>
      </c>
      <c r="I40" s="1">
        <f t="shared" si="36"/>
        <v>2.6915348039269097E-8</v>
      </c>
      <c r="J40" s="1" t="e">
        <f t="shared" si="43"/>
        <v>#NUM!</v>
      </c>
      <c r="K40" s="1">
        <f t="shared" si="44"/>
        <v>4.9416499374615526E+60</v>
      </c>
      <c r="L40" s="1">
        <f t="shared" si="45"/>
        <v>3.7411058827205313E-7</v>
      </c>
      <c r="M40" s="1">
        <f t="shared" si="46"/>
        <v>4.1963526413567801E+65</v>
      </c>
      <c r="N40" s="1">
        <f t="shared" si="47"/>
        <v>2.5402237786948151E+64</v>
      </c>
      <c r="O40" s="1" t="e">
        <f t="shared" si="48"/>
        <v>#NUM!</v>
      </c>
      <c r="P40" s="1" t="e">
        <f t="shared" si="49"/>
        <v>#NUM!</v>
      </c>
      <c r="Q40" s="1" t="e">
        <f t="shared" si="50"/>
        <v>#NUM!</v>
      </c>
      <c r="R40" s="1" t="e">
        <f t="shared" si="51"/>
        <v>#NUM!</v>
      </c>
      <c r="S40" s="1" t="e">
        <f t="shared" si="52"/>
        <v>#NUM!</v>
      </c>
      <c r="T40" s="1" t="e">
        <f t="shared" si="53"/>
        <v>#NUM!</v>
      </c>
      <c r="U40" s="1" t="e">
        <f t="shared" si="54"/>
        <v>#NUM!</v>
      </c>
      <c r="V40" s="1" t="e">
        <f t="shared" si="55"/>
        <v>#NUM!</v>
      </c>
      <c r="W40" s="1" t="e">
        <f t="shared" si="56"/>
        <v>#NUM!</v>
      </c>
      <c r="X40" t="e" cm="1">
        <f t="array" ref="X40">MAX(ABS(T40:W40/B40:E40))</f>
        <v>#NUM!</v>
      </c>
      <c r="Y40" s="1">
        <f t="shared" si="57"/>
        <v>1.0037094578983654E+70</v>
      </c>
      <c r="Z40" s="1" t="e">
        <f t="shared" si="58"/>
        <v>#NUM!</v>
      </c>
      <c r="AA40" s="1" t="e">
        <f t="shared" si="59"/>
        <v>#NUM!</v>
      </c>
      <c r="AB40">
        <f t="shared" si="60"/>
        <v>8.2010975373508396E+69</v>
      </c>
      <c r="AC40" t="e">
        <f t="shared" si="61"/>
        <v>#NUM!</v>
      </c>
      <c r="AD40">
        <v>0</v>
      </c>
      <c r="AE40" s="9">
        <f t="shared" si="62"/>
        <v>1.8359970416328145E+69</v>
      </c>
      <c r="AF40">
        <f>0</f>
        <v>0</v>
      </c>
      <c r="AG40" s="1" t="e">
        <f t="shared" si="63"/>
        <v>#NUM!</v>
      </c>
      <c r="AH40" s="16" t="e">
        <f t="shared" si="64"/>
        <v>#NUM!</v>
      </c>
      <c r="AI40" s="16" t="e">
        <f t="shared" si="65"/>
        <v>#NUM!</v>
      </c>
      <c r="AJ40" s="13">
        <f t="shared" si="66"/>
        <v>1.8359970416328103E+67</v>
      </c>
      <c r="AK40" s="16">
        <f t="shared" si="67"/>
        <v>8.2010975373508396E+69</v>
      </c>
      <c r="AL40" s="16" t="e">
        <f t="shared" si="68"/>
        <v>#NUM!</v>
      </c>
      <c r="AM40" s="13">
        <f t="shared" si="69"/>
        <v>6.7608297539198143E-4</v>
      </c>
      <c r="AN40" s="13" t="e">
        <f t="shared" si="70"/>
        <v>#NUM!</v>
      </c>
      <c r="AO40" t="e" cm="1">
        <f t="array" ref="AO40">TRANSPOSE(MMULT(MINVERSE(_xlfn.WRAPCOLS(Y40:AG40,3)),TRANSPOSE(T40:V40)))</f>
        <v>#NUM!</v>
      </c>
      <c r="AP40" s="1"/>
      <c r="AQ40" s="1"/>
      <c r="AR40">
        <v>0</v>
      </c>
    </row>
    <row r="41" spans="1:44" x14ac:dyDescent="0.25">
      <c r="A41">
        <f t="shared" si="38"/>
        <v>30</v>
      </c>
      <c r="B41" s="1">
        <f t="shared" si="39"/>
        <v>4.7209899999999998E-8</v>
      </c>
      <c r="C41" s="1">
        <f t="shared" si="40"/>
        <v>1.09987E-3</v>
      </c>
      <c r="D41" s="1">
        <f t="shared" si="41"/>
        <v>1.7799999999999999E-6</v>
      </c>
      <c r="E41" s="1" t="e">
        <f t="shared" si="42"/>
        <v>#NUM!</v>
      </c>
      <c r="F41" s="1" t="e">
        <f t="shared" si="33"/>
        <v>#NUM!</v>
      </c>
      <c r="G41" s="1">
        <f t="shared" si="34"/>
        <v>7.3092358738902837E+62</v>
      </c>
      <c r="H41" s="1">
        <f t="shared" si="35"/>
        <v>7.3092358738902837E+62</v>
      </c>
      <c r="I41" s="1">
        <f t="shared" si="36"/>
        <v>2.6915348039269097E-8</v>
      </c>
      <c r="J41" s="1" t="e">
        <f t="shared" si="43"/>
        <v>#NUM!</v>
      </c>
      <c r="K41" s="1">
        <f t="shared" si="44"/>
        <v>4.9416499374615526E+60</v>
      </c>
      <c r="L41" s="1">
        <f t="shared" si="45"/>
        <v>3.7411058827205313E-7</v>
      </c>
      <c r="M41" s="1">
        <f t="shared" si="46"/>
        <v>4.1963526413567801E+65</v>
      </c>
      <c r="N41" s="1">
        <f t="shared" si="47"/>
        <v>2.5402237786948151E+64</v>
      </c>
      <c r="O41" s="1" t="e">
        <f t="shared" si="48"/>
        <v>#NUM!</v>
      </c>
      <c r="P41" s="1" t="e">
        <f t="shared" si="49"/>
        <v>#NUM!</v>
      </c>
      <c r="Q41" s="1" t="e">
        <f t="shared" si="50"/>
        <v>#NUM!</v>
      </c>
      <c r="R41" s="1" t="e">
        <f t="shared" si="51"/>
        <v>#NUM!</v>
      </c>
      <c r="S41" s="1" t="e">
        <f t="shared" si="52"/>
        <v>#NUM!</v>
      </c>
      <c r="T41" s="1" t="e">
        <f t="shared" si="53"/>
        <v>#NUM!</v>
      </c>
      <c r="U41" s="1" t="e">
        <f t="shared" si="54"/>
        <v>#NUM!</v>
      </c>
      <c r="V41" s="1" t="e">
        <f t="shared" si="55"/>
        <v>#NUM!</v>
      </c>
      <c r="W41" s="1" t="e">
        <f t="shared" si="56"/>
        <v>#NUM!</v>
      </c>
      <c r="X41" t="e" cm="1">
        <f t="array" ref="X41">MAX(ABS(T41:W41/B41:E41))</f>
        <v>#NUM!</v>
      </c>
      <c r="Y41" s="1">
        <f t="shared" si="57"/>
        <v>1.0037094578983654E+70</v>
      </c>
      <c r="Z41" s="1" t="e">
        <f t="shared" si="58"/>
        <v>#NUM!</v>
      </c>
      <c r="AA41" s="1" t="e">
        <f t="shared" si="59"/>
        <v>#NUM!</v>
      </c>
      <c r="AB41">
        <f t="shared" si="60"/>
        <v>8.2010975373508396E+69</v>
      </c>
      <c r="AC41" t="e">
        <f t="shared" si="61"/>
        <v>#NUM!</v>
      </c>
      <c r="AD41">
        <v>0</v>
      </c>
      <c r="AE41" s="9">
        <f t="shared" si="62"/>
        <v>1.8359970416328145E+69</v>
      </c>
      <c r="AF41">
        <f>0</f>
        <v>0</v>
      </c>
      <c r="AG41" s="1" t="e">
        <f t="shared" si="63"/>
        <v>#NUM!</v>
      </c>
      <c r="AH41" s="16" t="e">
        <f t="shared" si="64"/>
        <v>#NUM!</v>
      </c>
      <c r="AI41" s="16" t="e">
        <f t="shared" si="65"/>
        <v>#NUM!</v>
      </c>
      <c r="AJ41" s="13">
        <f t="shared" si="66"/>
        <v>1.8359970416328103E+67</v>
      </c>
      <c r="AK41" s="16">
        <f t="shared" si="67"/>
        <v>8.2010975373508396E+69</v>
      </c>
      <c r="AL41" s="16" t="e">
        <f t="shared" si="68"/>
        <v>#NUM!</v>
      </c>
      <c r="AM41" s="13">
        <f t="shared" si="69"/>
        <v>6.7608297539198143E-4</v>
      </c>
      <c r="AN41" s="13" t="e">
        <f t="shared" si="70"/>
        <v>#NUM!</v>
      </c>
      <c r="AO41" t="e" cm="1">
        <f t="array" ref="AO41">TRANSPOSE(MMULT(MINVERSE(_xlfn.WRAPCOLS(Y41:AG41,3)),TRANSPOSE(T41:V41)))</f>
        <v>#NUM!</v>
      </c>
      <c r="AP41" s="1"/>
      <c r="AQ41" s="1"/>
      <c r="AR41">
        <v>0</v>
      </c>
    </row>
    <row r="42" spans="1:44" x14ac:dyDescent="0.25">
      <c r="A42">
        <f t="shared" si="38"/>
        <v>31</v>
      </c>
      <c r="B42" s="1">
        <f t="shared" si="39"/>
        <v>4.7209899999999998E-8</v>
      </c>
      <c r="C42" s="1">
        <f t="shared" si="40"/>
        <v>1.09987E-3</v>
      </c>
      <c r="D42" s="1">
        <f t="shared" si="41"/>
        <v>1.7799999999999999E-6</v>
      </c>
      <c r="E42" s="1" t="e">
        <f t="shared" si="42"/>
        <v>#NUM!</v>
      </c>
      <c r="F42" s="1" t="e">
        <f t="shared" si="33"/>
        <v>#NUM!</v>
      </c>
      <c r="G42" s="1">
        <f t="shared" si="34"/>
        <v>7.3092358738902837E+62</v>
      </c>
      <c r="H42" s="1">
        <f t="shared" si="35"/>
        <v>7.3092358738902837E+62</v>
      </c>
      <c r="I42" s="1">
        <f t="shared" si="36"/>
        <v>2.6915348039269097E-8</v>
      </c>
      <c r="J42" s="1" t="e">
        <f t="shared" si="43"/>
        <v>#NUM!</v>
      </c>
      <c r="K42" s="1">
        <f t="shared" si="44"/>
        <v>4.9416499374615526E+60</v>
      </c>
      <c r="L42" s="1">
        <f t="shared" si="45"/>
        <v>3.7411058827205313E-7</v>
      </c>
      <c r="M42" s="1">
        <f t="shared" si="46"/>
        <v>4.1963526413567801E+65</v>
      </c>
      <c r="N42" s="1">
        <f t="shared" si="47"/>
        <v>2.5402237786948151E+64</v>
      </c>
      <c r="O42" s="1" t="e">
        <f t="shared" si="48"/>
        <v>#NUM!</v>
      </c>
      <c r="P42" s="1" t="e">
        <f t="shared" si="49"/>
        <v>#NUM!</v>
      </c>
      <c r="Q42" s="1" t="e">
        <f t="shared" si="50"/>
        <v>#NUM!</v>
      </c>
      <c r="R42" s="1" t="e">
        <f t="shared" si="51"/>
        <v>#NUM!</v>
      </c>
      <c r="S42" s="1" t="e">
        <f t="shared" si="52"/>
        <v>#NUM!</v>
      </c>
      <c r="T42" s="1" t="e">
        <f t="shared" si="53"/>
        <v>#NUM!</v>
      </c>
      <c r="U42" s="1" t="e">
        <f t="shared" si="54"/>
        <v>#NUM!</v>
      </c>
      <c r="V42" s="1" t="e">
        <f t="shared" si="55"/>
        <v>#NUM!</v>
      </c>
      <c r="W42" s="1" t="e">
        <f t="shared" si="56"/>
        <v>#NUM!</v>
      </c>
      <c r="X42" t="e" cm="1">
        <f t="array" ref="X42">MAX(ABS(T42:W42/B42:E42))</f>
        <v>#NUM!</v>
      </c>
      <c r="Y42" s="1">
        <f t="shared" si="57"/>
        <v>1.0037094578983654E+70</v>
      </c>
      <c r="Z42" s="1" t="e">
        <f t="shared" si="58"/>
        <v>#NUM!</v>
      </c>
      <c r="AA42" s="1" t="e">
        <f t="shared" si="59"/>
        <v>#NUM!</v>
      </c>
      <c r="AB42">
        <f t="shared" si="60"/>
        <v>8.2010975373508396E+69</v>
      </c>
      <c r="AC42" t="e">
        <f t="shared" si="61"/>
        <v>#NUM!</v>
      </c>
      <c r="AD42">
        <v>0</v>
      </c>
      <c r="AE42" s="9">
        <f t="shared" si="62"/>
        <v>1.8359970416328145E+69</v>
      </c>
      <c r="AF42">
        <f>0</f>
        <v>0</v>
      </c>
      <c r="AG42" s="1" t="e">
        <f t="shared" si="63"/>
        <v>#NUM!</v>
      </c>
      <c r="AH42" s="16" t="e">
        <f t="shared" si="64"/>
        <v>#NUM!</v>
      </c>
      <c r="AI42" s="16" t="e">
        <f t="shared" si="65"/>
        <v>#NUM!</v>
      </c>
      <c r="AJ42" s="13">
        <f t="shared" si="66"/>
        <v>1.8359970416328103E+67</v>
      </c>
      <c r="AK42" s="16">
        <f t="shared" si="67"/>
        <v>8.2010975373508396E+69</v>
      </c>
      <c r="AL42" s="16" t="e">
        <f t="shared" si="68"/>
        <v>#NUM!</v>
      </c>
      <c r="AM42" s="13">
        <f t="shared" si="69"/>
        <v>6.7608297539198143E-4</v>
      </c>
      <c r="AN42" s="13" t="e">
        <f t="shared" si="70"/>
        <v>#NUM!</v>
      </c>
      <c r="AO42" t="e" cm="1">
        <f t="array" ref="AO42">TRANSPOSE(MMULT(MINVERSE(_xlfn.WRAPCOLS(Y42:AG42,3)),TRANSPOSE(T42:V42)))</f>
        <v>#NUM!</v>
      </c>
      <c r="AP42" s="1"/>
      <c r="AQ42" s="1"/>
      <c r="AR42">
        <v>0</v>
      </c>
    </row>
    <row r="43" spans="1:44" x14ac:dyDescent="0.25">
      <c r="A43">
        <f t="shared" si="38"/>
        <v>32</v>
      </c>
      <c r="B43" s="1">
        <f t="shared" si="39"/>
        <v>4.7209899999999998E-8</v>
      </c>
      <c r="C43" s="1">
        <f t="shared" si="40"/>
        <v>1.09987E-3</v>
      </c>
      <c r="D43" s="1">
        <f t="shared" si="41"/>
        <v>1.7799999999999999E-6</v>
      </c>
      <c r="E43" s="1" t="e">
        <f t="shared" si="42"/>
        <v>#NUM!</v>
      </c>
      <c r="F43" s="1" t="e">
        <f t="shared" si="33"/>
        <v>#NUM!</v>
      </c>
      <c r="G43" s="1">
        <f t="shared" si="34"/>
        <v>7.3092358738902837E+62</v>
      </c>
      <c r="H43" s="1">
        <f t="shared" si="35"/>
        <v>7.3092358738902837E+62</v>
      </c>
      <c r="I43" s="1">
        <f t="shared" si="36"/>
        <v>2.6915348039269097E-8</v>
      </c>
      <c r="J43" s="1" t="e">
        <f t="shared" si="43"/>
        <v>#NUM!</v>
      </c>
      <c r="K43" s="1">
        <f t="shared" si="44"/>
        <v>4.9416499374615526E+60</v>
      </c>
      <c r="L43" s="1">
        <f t="shared" si="45"/>
        <v>3.7411058827205313E-7</v>
      </c>
      <c r="M43" s="1">
        <f t="shared" si="46"/>
        <v>4.1963526413567801E+65</v>
      </c>
      <c r="N43" s="1">
        <f t="shared" si="47"/>
        <v>2.5402237786948151E+64</v>
      </c>
      <c r="O43" s="1" t="e">
        <f t="shared" si="48"/>
        <v>#NUM!</v>
      </c>
      <c r="P43" s="1" t="e">
        <f t="shared" si="49"/>
        <v>#NUM!</v>
      </c>
      <c r="Q43" s="1" t="e">
        <f t="shared" si="50"/>
        <v>#NUM!</v>
      </c>
      <c r="R43" s="1" t="e">
        <f t="shared" si="51"/>
        <v>#NUM!</v>
      </c>
      <c r="S43" s="1" t="e">
        <f t="shared" si="52"/>
        <v>#NUM!</v>
      </c>
      <c r="T43" s="1" t="e">
        <f t="shared" si="53"/>
        <v>#NUM!</v>
      </c>
      <c r="U43" s="1" t="e">
        <f t="shared" si="54"/>
        <v>#NUM!</v>
      </c>
      <c r="V43" s="1" t="e">
        <f t="shared" si="55"/>
        <v>#NUM!</v>
      </c>
      <c r="W43" s="1" t="e">
        <f t="shared" si="56"/>
        <v>#NUM!</v>
      </c>
      <c r="X43" t="e" cm="1">
        <f t="array" ref="X43">MAX(ABS(T43:W43/B43:E43))</f>
        <v>#NUM!</v>
      </c>
      <c r="Y43" s="1">
        <f t="shared" si="57"/>
        <v>1.0037094578983654E+70</v>
      </c>
      <c r="Z43" s="1" t="e">
        <f t="shared" si="58"/>
        <v>#NUM!</v>
      </c>
      <c r="AA43" s="1" t="e">
        <f t="shared" si="59"/>
        <v>#NUM!</v>
      </c>
      <c r="AB43">
        <f t="shared" si="60"/>
        <v>8.2010975373508396E+69</v>
      </c>
      <c r="AC43" t="e">
        <f t="shared" si="61"/>
        <v>#NUM!</v>
      </c>
      <c r="AD43">
        <v>0</v>
      </c>
      <c r="AE43" s="9">
        <f t="shared" si="62"/>
        <v>1.8359970416328145E+69</v>
      </c>
      <c r="AF43">
        <f>0</f>
        <v>0</v>
      </c>
      <c r="AG43" s="1" t="e">
        <f t="shared" si="63"/>
        <v>#NUM!</v>
      </c>
      <c r="AH43" s="16" t="e">
        <f t="shared" si="64"/>
        <v>#NUM!</v>
      </c>
      <c r="AI43" s="16" t="e">
        <f t="shared" si="65"/>
        <v>#NUM!</v>
      </c>
      <c r="AJ43" s="13">
        <f t="shared" si="66"/>
        <v>1.8359970416328103E+67</v>
      </c>
      <c r="AK43" s="16">
        <f t="shared" si="67"/>
        <v>8.2010975373508396E+69</v>
      </c>
      <c r="AL43" s="16" t="e">
        <f t="shared" si="68"/>
        <v>#NUM!</v>
      </c>
      <c r="AM43" s="13">
        <f t="shared" si="69"/>
        <v>6.7608297539198143E-4</v>
      </c>
      <c r="AN43" s="13" t="e">
        <f t="shared" si="70"/>
        <v>#NUM!</v>
      </c>
      <c r="AO43" t="e" cm="1">
        <f t="array" ref="AO43">TRANSPOSE(MMULT(MINVERSE(_xlfn.WRAPCOLS(Y43:AG43,3)),TRANSPOSE(T43:V43)))</f>
        <v>#NUM!</v>
      </c>
      <c r="AP43" s="1"/>
      <c r="AQ43" s="1"/>
      <c r="AR43">
        <v>0</v>
      </c>
    </row>
    <row r="44" spans="1:44" x14ac:dyDescent="0.25">
      <c r="A44">
        <f t="shared" si="38"/>
        <v>33</v>
      </c>
      <c r="B44" s="1">
        <f t="shared" si="39"/>
        <v>4.7209899999999998E-8</v>
      </c>
      <c r="C44" s="1">
        <f t="shared" si="40"/>
        <v>1.09987E-3</v>
      </c>
      <c r="D44" s="1">
        <f t="shared" si="41"/>
        <v>1.7799999999999999E-6</v>
      </c>
      <c r="E44" s="1" t="e">
        <f t="shared" si="42"/>
        <v>#NUM!</v>
      </c>
      <c r="F44" s="1" t="e">
        <f t="shared" si="33"/>
        <v>#NUM!</v>
      </c>
      <c r="G44" s="1">
        <f t="shared" si="34"/>
        <v>7.3092358738902837E+62</v>
      </c>
      <c r="H44" s="1">
        <f t="shared" si="35"/>
        <v>7.3092358738902837E+62</v>
      </c>
      <c r="I44" s="1">
        <f t="shared" si="36"/>
        <v>2.6915348039269097E-8</v>
      </c>
      <c r="J44" s="1" t="e">
        <f t="shared" si="43"/>
        <v>#NUM!</v>
      </c>
      <c r="K44" s="1">
        <f t="shared" si="44"/>
        <v>4.9416499374615526E+60</v>
      </c>
      <c r="L44" s="1">
        <f t="shared" si="45"/>
        <v>3.7411058827205313E-7</v>
      </c>
      <c r="M44" s="1">
        <f t="shared" si="46"/>
        <v>4.1963526413567801E+65</v>
      </c>
      <c r="N44" s="1">
        <f t="shared" si="47"/>
        <v>2.5402237786948151E+64</v>
      </c>
      <c r="O44" s="1" t="e">
        <f t="shared" si="48"/>
        <v>#NUM!</v>
      </c>
      <c r="P44" s="1" t="e">
        <f t="shared" si="49"/>
        <v>#NUM!</v>
      </c>
      <c r="Q44" s="1" t="e">
        <f t="shared" si="50"/>
        <v>#NUM!</v>
      </c>
      <c r="R44" s="1" t="e">
        <f t="shared" si="51"/>
        <v>#NUM!</v>
      </c>
      <c r="S44" s="1" t="e">
        <f t="shared" si="52"/>
        <v>#NUM!</v>
      </c>
      <c r="T44" s="1" t="e">
        <f t="shared" si="53"/>
        <v>#NUM!</v>
      </c>
      <c r="U44" s="1" t="e">
        <f t="shared" si="54"/>
        <v>#NUM!</v>
      </c>
      <c r="V44" s="1" t="e">
        <f t="shared" si="55"/>
        <v>#NUM!</v>
      </c>
      <c r="W44" s="1" t="e">
        <f t="shared" si="56"/>
        <v>#NUM!</v>
      </c>
      <c r="X44" t="e" cm="1">
        <f t="array" ref="X44">MAX(ABS(T44:W44/B44:E44))</f>
        <v>#NUM!</v>
      </c>
      <c r="Y44" s="1">
        <f t="shared" si="57"/>
        <v>1.0037094578983654E+70</v>
      </c>
      <c r="Z44" s="1" t="e">
        <f t="shared" si="58"/>
        <v>#NUM!</v>
      </c>
      <c r="AA44" s="1" t="e">
        <f t="shared" si="59"/>
        <v>#NUM!</v>
      </c>
      <c r="AB44">
        <f t="shared" si="60"/>
        <v>8.2010975373508396E+69</v>
      </c>
      <c r="AC44" t="e">
        <f t="shared" si="61"/>
        <v>#NUM!</v>
      </c>
      <c r="AD44">
        <v>0</v>
      </c>
      <c r="AE44" s="9">
        <f t="shared" si="62"/>
        <v>1.8359970416328145E+69</v>
      </c>
      <c r="AF44">
        <f>0</f>
        <v>0</v>
      </c>
      <c r="AG44" s="1" t="e">
        <f t="shared" si="63"/>
        <v>#NUM!</v>
      </c>
      <c r="AH44" s="16" t="e">
        <f t="shared" si="64"/>
        <v>#NUM!</v>
      </c>
      <c r="AI44" s="16" t="e">
        <f t="shared" si="65"/>
        <v>#NUM!</v>
      </c>
      <c r="AJ44" s="13">
        <f t="shared" si="66"/>
        <v>1.8359970416328103E+67</v>
      </c>
      <c r="AK44" s="16">
        <f t="shared" si="67"/>
        <v>8.2010975373508396E+69</v>
      </c>
      <c r="AL44" s="16" t="e">
        <f t="shared" si="68"/>
        <v>#NUM!</v>
      </c>
      <c r="AM44" s="13">
        <f t="shared" si="69"/>
        <v>6.7608297539198143E-4</v>
      </c>
      <c r="AN44" s="13" t="e">
        <f t="shared" si="70"/>
        <v>#NUM!</v>
      </c>
      <c r="AO44" t="e" cm="1">
        <f t="array" ref="AO44">TRANSPOSE(MMULT(MINVERSE(_xlfn.WRAPCOLS(Y44:AG44,3)),TRANSPOSE(T44:V44)))</f>
        <v>#NUM!</v>
      </c>
      <c r="AP44" s="1"/>
      <c r="AQ44" s="1"/>
      <c r="AR44">
        <v>0</v>
      </c>
    </row>
    <row r="45" spans="1:44" x14ac:dyDescent="0.25">
      <c r="A45">
        <f t="shared" si="38"/>
        <v>34</v>
      </c>
      <c r="B45" s="1">
        <f t="shared" si="39"/>
        <v>4.7209899999999998E-8</v>
      </c>
      <c r="C45" s="1">
        <f t="shared" si="40"/>
        <v>1.09987E-3</v>
      </c>
      <c r="D45" s="1">
        <f t="shared" si="41"/>
        <v>1.7799999999999999E-6</v>
      </c>
      <c r="E45" s="1" t="e">
        <f t="shared" si="42"/>
        <v>#NUM!</v>
      </c>
      <c r="F45" s="1" t="e">
        <f t="shared" si="33"/>
        <v>#NUM!</v>
      </c>
      <c r="G45" s="1">
        <f t="shared" si="34"/>
        <v>7.3092358738902837E+62</v>
      </c>
      <c r="H45" s="1">
        <f t="shared" si="35"/>
        <v>7.3092358738902837E+62</v>
      </c>
      <c r="I45" s="1">
        <f t="shared" si="36"/>
        <v>2.6915348039269097E-8</v>
      </c>
      <c r="J45" s="1" t="e">
        <f t="shared" si="43"/>
        <v>#NUM!</v>
      </c>
      <c r="K45" s="1">
        <f t="shared" si="44"/>
        <v>4.9416499374615526E+60</v>
      </c>
      <c r="L45" s="1">
        <f t="shared" si="45"/>
        <v>3.7411058827205313E-7</v>
      </c>
      <c r="M45" s="1">
        <f t="shared" si="46"/>
        <v>4.1963526413567801E+65</v>
      </c>
      <c r="N45" s="1">
        <f t="shared" si="47"/>
        <v>2.5402237786948151E+64</v>
      </c>
      <c r="O45" s="1" t="e">
        <f t="shared" si="48"/>
        <v>#NUM!</v>
      </c>
      <c r="P45" s="1" t="e">
        <f t="shared" si="49"/>
        <v>#NUM!</v>
      </c>
      <c r="Q45" s="1" t="e">
        <f t="shared" si="50"/>
        <v>#NUM!</v>
      </c>
      <c r="R45" s="1" t="e">
        <f t="shared" si="51"/>
        <v>#NUM!</v>
      </c>
      <c r="S45" s="1" t="e">
        <f t="shared" si="52"/>
        <v>#NUM!</v>
      </c>
      <c r="T45" s="1" t="e">
        <f t="shared" si="53"/>
        <v>#NUM!</v>
      </c>
      <c r="U45" s="1" t="e">
        <f t="shared" si="54"/>
        <v>#NUM!</v>
      </c>
      <c r="V45" s="1" t="e">
        <f t="shared" si="55"/>
        <v>#NUM!</v>
      </c>
      <c r="W45" s="1" t="e">
        <f t="shared" si="56"/>
        <v>#NUM!</v>
      </c>
      <c r="X45" t="e" cm="1">
        <f t="array" ref="X45">MAX(ABS(T45:W45/B45:E45))</f>
        <v>#NUM!</v>
      </c>
      <c r="Y45" s="1">
        <f t="shared" si="57"/>
        <v>1.0037094578983654E+70</v>
      </c>
      <c r="Z45" s="1" t="e">
        <f t="shared" si="58"/>
        <v>#NUM!</v>
      </c>
      <c r="AA45" s="1" t="e">
        <f t="shared" si="59"/>
        <v>#NUM!</v>
      </c>
      <c r="AB45">
        <f t="shared" si="60"/>
        <v>8.2010975373508396E+69</v>
      </c>
      <c r="AC45" t="e">
        <f t="shared" si="61"/>
        <v>#NUM!</v>
      </c>
      <c r="AD45">
        <v>0</v>
      </c>
      <c r="AE45" s="9">
        <f t="shared" si="62"/>
        <v>1.8359970416328145E+69</v>
      </c>
      <c r="AF45">
        <f>0</f>
        <v>0</v>
      </c>
      <c r="AG45" s="1" t="e">
        <f t="shared" si="63"/>
        <v>#NUM!</v>
      </c>
      <c r="AH45" s="16" t="e">
        <f t="shared" si="64"/>
        <v>#NUM!</v>
      </c>
      <c r="AI45" s="16" t="e">
        <f t="shared" si="65"/>
        <v>#NUM!</v>
      </c>
      <c r="AJ45" s="13">
        <f t="shared" si="66"/>
        <v>1.8359970416328103E+67</v>
      </c>
      <c r="AK45" s="16">
        <f t="shared" si="67"/>
        <v>8.2010975373508396E+69</v>
      </c>
      <c r="AL45" s="16" t="e">
        <f t="shared" si="68"/>
        <v>#NUM!</v>
      </c>
      <c r="AM45" s="13">
        <f t="shared" si="69"/>
        <v>6.7608297539198143E-4</v>
      </c>
      <c r="AN45" s="13" t="e">
        <f t="shared" si="70"/>
        <v>#NUM!</v>
      </c>
      <c r="AO45" t="e" cm="1">
        <f t="array" ref="AO45">TRANSPOSE(MMULT(MINVERSE(_xlfn.WRAPCOLS(Y45:AG45,3)),TRANSPOSE(T45:V45)))</f>
        <v>#NUM!</v>
      </c>
      <c r="AP45" s="1"/>
      <c r="AQ45" s="1"/>
      <c r="AR45">
        <v>0</v>
      </c>
    </row>
    <row r="46" spans="1:44" x14ac:dyDescent="0.25">
      <c r="A46">
        <f t="shared" si="38"/>
        <v>35</v>
      </c>
      <c r="B46" s="1">
        <f t="shared" si="39"/>
        <v>4.7209899999999998E-8</v>
      </c>
      <c r="C46" s="1">
        <f t="shared" si="40"/>
        <v>1.09987E-3</v>
      </c>
      <c r="D46" s="1">
        <f t="shared" si="41"/>
        <v>1.7799999999999999E-6</v>
      </c>
      <c r="E46" s="1" t="e">
        <f t="shared" si="42"/>
        <v>#NUM!</v>
      </c>
      <c r="F46" s="1" t="e">
        <f t="shared" si="33"/>
        <v>#NUM!</v>
      </c>
      <c r="G46" s="1">
        <f t="shared" si="34"/>
        <v>7.3092358738902837E+62</v>
      </c>
      <c r="H46" s="1">
        <f t="shared" si="35"/>
        <v>7.3092358738902837E+62</v>
      </c>
      <c r="I46" s="1">
        <f t="shared" si="36"/>
        <v>2.6915348039269097E-8</v>
      </c>
      <c r="J46" s="1" t="e">
        <f t="shared" si="43"/>
        <v>#NUM!</v>
      </c>
      <c r="K46" s="1">
        <f t="shared" si="44"/>
        <v>4.9416499374615526E+60</v>
      </c>
      <c r="L46" s="1">
        <f t="shared" si="45"/>
        <v>3.7411058827205313E-7</v>
      </c>
      <c r="M46" s="1">
        <f t="shared" si="46"/>
        <v>4.1963526413567801E+65</v>
      </c>
      <c r="N46" s="1">
        <f t="shared" si="47"/>
        <v>2.5402237786948151E+64</v>
      </c>
      <c r="O46" s="1" t="e">
        <f t="shared" si="48"/>
        <v>#NUM!</v>
      </c>
      <c r="P46" s="1" t="e">
        <f t="shared" si="49"/>
        <v>#NUM!</v>
      </c>
      <c r="Q46" s="1" t="e">
        <f t="shared" si="50"/>
        <v>#NUM!</v>
      </c>
      <c r="R46" s="1" t="e">
        <f t="shared" si="51"/>
        <v>#NUM!</v>
      </c>
      <c r="S46" s="1" t="e">
        <f t="shared" si="52"/>
        <v>#NUM!</v>
      </c>
      <c r="T46" s="1" t="e">
        <f t="shared" si="53"/>
        <v>#NUM!</v>
      </c>
      <c r="U46" s="1" t="e">
        <f t="shared" si="54"/>
        <v>#NUM!</v>
      </c>
      <c r="V46" s="1" t="e">
        <f t="shared" si="55"/>
        <v>#NUM!</v>
      </c>
      <c r="W46" s="1" t="e">
        <f t="shared" si="56"/>
        <v>#NUM!</v>
      </c>
      <c r="X46" t="e" cm="1">
        <f t="array" ref="X46">MAX(ABS(T46:W46/B46:E46))</f>
        <v>#NUM!</v>
      </c>
      <c r="Y46" s="1">
        <f t="shared" si="57"/>
        <v>1.0037094578983654E+70</v>
      </c>
      <c r="Z46" s="1" t="e">
        <f t="shared" si="58"/>
        <v>#NUM!</v>
      </c>
      <c r="AA46" s="1" t="e">
        <f t="shared" si="59"/>
        <v>#NUM!</v>
      </c>
      <c r="AB46">
        <f t="shared" si="60"/>
        <v>8.2010975373508396E+69</v>
      </c>
      <c r="AC46" t="e">
        <f t="shared" si="61"/>
        <v>#NUM!</v>
      </c>
      <c r="AD46">
        <v>0</v>
      </c>
      <c r="AE46" s="9">
        <f t="shared" si="62"/>
        <v>1.8359970416328145E+69</v>
      </c>
      <c r="AF46">
        <f>0</f>
        <v>0</v>
      </c>
      <c r="AG46" s="1" t="e">
        <f t="shared" si="63"/>
        <v>#NUM!</v>
      </c>
      <c r="AH46" s="16" t="e">
        <f t="shared" si="64"/>
        <v>#NUM!</v>
      </c>
      <c r="AI46" s="16" t="e">
        <f t="shared" si="65"/>
        <v>#NUM!</v>
      </c>
      <c r="AJ46" s="13">
        <f t="shared" si="66"/>
        <v>1.8359970416328103E+67</v>
      </c>
      <c r="AK46" s="16">
        <f t="shared" si="67"/>
        <v>8.2010975373508396E+69</v>
      </c>
      <c r="AL46" s="16" t="e">
        <f t="shared" si="68"/>
        <v>#NUM!</v>
      </c>
      <c r="AM46" s="13">
        <f t="shared" si="69"/>
        <v>6.7608297539198143E-4</v>
      </c>
      <c r="AN46" s="13" t="e">
        <f t="shared" si="70"/>
        <v>#NUM!</v>
      </c>
      <c r="AO46" t="e" cm="1">
        <f t="array" ref="AO46">TRANSPOSE(MMULT(MINVERSE(_xlfn.WRAPCOLS(Y46:AG46,3)),TRANSPOSE(T46:V46)))</f>
        <v>#NUM!</v>
      </c>
      <c r="AP46" s="1"/>
      <c r="AQ46" s="1"/>
      <c r="AR46">
        <v>0</v>
      </c>
    </row>
    <row r="47" spans="1:44" x14ac:dyDescent="0.25">
      <c r="A47">
        <f t="shared" si="38"/>
        <v>36</v>
      </c>
      <c r="B47" s="1">
        <f t="shared" si="39"/>
        <v>4.7209899999999998E-8</v>
      </c>
      <c r="C47" s="1">
        <f t="shared" si="40"/>
        <v>1.09987E-3</v>
      </c>
      <c r="D47" s="1">
        <f t="shared" si="41"/>
        <v>1.7799999999999999E-6</v>
      </c>
      <c r="E47" s="1" t="e">
        <f t="shared" si="42"/>
        <v>#NUM!</v>
      </c>
      <c r="F47" s="1" t="e">
        <f t="shared" si="33"/>
        <v>#NUM!</v>
      </c>
      <c r="G47" s="1">
        <f t="shared" si="34"/>
        <v>7.3092358738902837E+62</v>
      </c>
      <c r="H47" s="1">
        <f t="shared" si="35"/>
        <v>7.3092358738902837E+62</v>
      </c>
      <c r="I47" s="1">
        <f t="shared" si="36"/>
        <v>2.6915348039269097E-8</v>
      </c>
      <c r="J47" s="1" t="e">
        <f t="shared" si="43"/>
        <v>#NUM!</v>
      </c>
      <c r="K47" s="1">
        <f t="shared" si="44"/>
        <v>4.9416499374615526E+60</v>
      </c>
      <c r="L47" s="1">
        <f t="shared" si="45"/>
        <v>3.7411058827205313E-7</v>
      </c>
      <c r="M47" s="1">
        <f t="shared" si="46"/>
        <v>4.1963526413567801E+65</v>
      </c>
      <c r="N47" s="1">
        <f t="shared" si="47"/>
        <v>2.5402237786948151E+64</v>
      </c>
      <c r="O47" s="1" t="e">
        <f t="shared" si="48"/>
        <v>#NUM!</v>
      </c>
      <c r="P47" s="1" t="e">
        <f t="shared" si="49"/>
        <v>#NUM!</v>
      </c>
      <c r="Q47" s="1" t="e">
        <f t="shared" si="50"/>
        <v>#NUM!</v>
      </c>
      <c r="R47" s="1" t="e">
        <f t="shared" si="51"/>
        <v>#NUM!</v>
      </c>
      <c r="S47" s="1" t="e">
        <f t="shared" si="52"/>
        <v>#NUM!</v>
      </c>
      <c r="T47" s="1" t="e">
        <f t="shared" si="53"/>
        <v>#NUM!</v>
      </c>
      <c r="U47" s="1" t="e">
        <f t="shared" si="54"/>
        <v>#NUM!</v>
      </c>
      <c r="V47" s="1" t="e">
        <f t="shared" si="55"/>
        <v>#NUM!</v>
      </c>
      <c r="W47" s="1" t="e">
        <f t="shared" si="56"/>
        <v>#NUM!</v>
      </c>
      <c r="X47" t="e" cm="1">
        <f t="array" ref="X47">MAX(ABS(T47:W47/B47:E47))</f>
        <v>#NUM!</v>
      </c>
      <c r="Y47" s="1">
        <f t="shared" si="57"/>
        <v>1.0037094578983654E+70</v>
      </c>
      <c r="Z47" s="1" t="e">
        <f t="shared" si="58"/>
        <v>#NUM!</v>
      </c>
      <c r="AA47" s="1" t="e">
        <f t="shared" si="59"/>
        <v>#NUM!</v>
      </c>
      <c r="AB47">
        <f t="shared" si="60"/>
        <v>8.2010975373508396E+69</v>
      </c>
      <c r="AC47" t="e">
        <f t="shared" si="61"/>
        <v>#NUM!</v>
      </c>
      <c r="AD47">
        <v>0</v>
      </c>
      <c r="AE47" s="9">
        <f t="shared" si="62"/>
        <v>1.8359970416328145E+69</v>
      </c>
      <c r="AF47">
        <f>0</f>
        <v>0</v>
      </c>
      <c r="AG47" s="1" t="e">
        <f t="shared" si="63"/>
        <v>#NUM!</v>
      </c>
      <c r="AH47" s="16" t="e">
        <f t="shared" si="64"/>
        <v>#NUM!</v>
      </c>
      <c r="AI47" s="16" t="e">
        <f t="shared" si="65"/>
        <v>#NUM!</v>
      </c>
      <c r="AJ47" s="13">
        <f t="shared" si="66"/>
        <v>1.8359970416328103E+67</v>
      </c>
      <c r="AK47" s="16">
        <f t="shared" si="67"/>
        <v>8.2010975373508396E+69</v>
      </c>
      <c r="AL47" s="16" t="e">
        <f t="shared" si="68"/>
        <v>#NUM!</v>
      </c>
      <c r="AM47" s="13">
        <f t="shared" si="69"/>
        <v>6.7608297539198143E-4</v>
      </c>
      <c r="AN47" s="13" t="e">
        <f t="shared" si="70"/>
        <v>#NUM!</v>
      </c>
      <c r="AO47" t="e" cm="1">
        <f t="array" ref="AO47">TRANSPOSE(MMULT(MINVERSE(_xlfn.WRAPCOLS(Y47:AG47,3)),TRANSPOSE(T47:V47)))</f>
        <v>#NUM!</v>
      </c>
      <c r="AP47" s="1"/>
      <c r="AQ47" s="1"/>
      <c r="AR47">
        <v>0</v>
      </c>
    </row>
    <row r="48" spans="1:44" x14ac:dyDescent="0.25">
      <c r="A48">
        <f t="shared" si="38"/>
        <v>37</v>
      </c>
      <c r="B48" s="1">
        <f t="shared" si="39"/>
        <v>4.7209899999999998E-8</v>
      </c>
      <c r="C48" s="1">
        <f t="shared" si="40"/>
        <v>1.09987E-3</v>
      </c>
      <c r="D48" s="1">
        <f t="shared" si="41"/>
        <v>1.7799999999999999E-6</v>
      </c>
      <c r="E48" s="1" t="e">
        <f t="shared" si="42"/>
        <v>#NUM!</v>
      </c>
      <c r="F48" s="1" t="e">
        <f t="shared" si="33"/>
        <v>#NUM!</v>
      </c>
      <c r="G48" s="1">
        <f t="shared" si="34"/>
        <v>7.3092358738902837E+62</v>
      </c>
      <c r="H48" s="1">
        <f t="shared" si="35"/>
        <v>7.3092358738902837E+62</v>
      </c>
      <c r="I48" s="1">
        <f t="shared" si="36"/>
        <v>2.6915348039269097E-8</v>
      </c>
      <c r="J48" s="1" t="e">
        <f t="shared" si="43"/>
        <v>#NUM!</v>
      </c>
      <c r="K48" s="1">
        <f t="shared" si="44"/>
        <v>4.9416499374615526E+60</v>
      </c>
      <c r="L48" s="1">
        <f t="shared" si="45"/>
        <v>3.7411058827205313E-7</v>
      </c>
      <c r="M48" s="1">
        <f t="shared" si="46"/>
        <v>4.1963526413567801E+65</v>
      </c>
      <c r="N48" s="1">
        <f t="shared" si="47"/>
        <v>2.5402237786948151E+64</v>
      </c>
      <c r="O48" s="1" t="e">
        <f t="shared" si="48"/>
        <v>#NUM!</v>
      </c>
      <c r="P48" s="1" t="e">
        <f t="shared" si="49"/>
        <v>#NUM!</v>
      </c>
      <c r="Q48" s="1" t="e">
        <f t="shared" si="50"/>
        <v>#NUM!</v>
      </c>
      <c r="R48" s="1" t="e">
        <f t="shared" si="51"/>
        <v>#NUM!</v>
      </c>
      <c r="S48" s="1" t="e">
        <f t="shared" si="52"/>
        <v>#NUM!</v>
      </c>
      <c r="T48" s="1" t="e">
        <f t="shared" si="53"/>
        <v>#NUM!</v>
      </c>
      <c r="U48" s="1" t="e">
        <f t="shared" si="54"/>
        <v>#NUM!</v>
      </c>
      <c r="V48" s="1" t="e">
        <f t="shared" si="55"/>
        <v>#NUM!</v>
      </c>
      <c r="W48" s="1" t="e">
        <f t="shared" si="56"/>
        <v>#NUM!</v>
      </c>
      <c r="X48" t="e" cm="1">
        <f t="array" ref="X48">MAX(ABS(T48:W48/B48:E48))</f>
        <v>#NUM!</v>
      </c>
      <c r="Y48" s="1">
        <f t="shared" si="57"/>
        <v>1.0037094578983654E+70</v>
      </c>
      <c r="Z48" s="1" t="e">
        <f t="shared" si="58"/>
        <v>#NUM!</v>
      </c>
      <c r="AA48" s="1" t="e">
        <f t="shared" si="59"/>
        <v>#NUM!</v>
      </c>
      <c r="AB48">
        <f t="shared" si="60"/>
        <v>8.2010975373508396E+69</v>
      </c>
      <c r="AC48" t="e">
        <f t="shared" si="61"/>
        <v>#NUM!</v>
      </c>
      <c r="AD48">
        <v>0</v>
      </c>
      <c r="AE48" s="9">
        <f t="shared" si="62"/>
        <v>1.8359970416328145E+69</v>
      </c>
      <c r="AF48">
        <f>0</f>
        <v>0</v>
      </c>
      <c r="AG48" s="1" t="e">
        <f t="shared" si="63"/>
        <v>#NUM!</v>
      </c>
      <c r="AH48" s="16" t="e">
        <f t="shared" si="64"/>
        <v>#NUM!</v>
      </c>
      <c r="AI48" s="16" t="e">
        <f t="shared" si="65"/>
        <v>#NUM!</v>
      </c>
      <c r="AJ48" s="13">
        <f t="shared" si="66"/>
        <v>1.8359970416328103E+67</v>
      </c>
      <c r="AK48" s="16">
        <f t="shared" si="67"/>
        <v>8.2010975373508396E+69</v>
      </c>
      <c r="AL48" s="16" t="e">
        <f t="shared" si="68"/>
        <v>#NUM!</v>
      </c>
      <c r="AM48" s="13">
        <f t="shared" si="69"/>
        <v>6.7608297539198143E-4</v>
      </c>
      <c r="AN48" s="13" t="e">
        <f t="shared" si="70"/>
        <v>#NUM!</v>
      </c>
      <c r="AO48" t="e" cm="1">
        <f t="array" ref="AO48">TRANSPOSE(MMULT(MINVERSE(_xlfn.WRAPCOLS(Y48:AG48,3)),TRANSPOSE(T48:V48)))</f>
        <v>#NUM!</v>
      </c>
      <c r="AP48" s="1"/>
      <c r="AQ48" s="1"/>
      <c r="AR48">
        <v>0</v>
      </c>
    </row>
    <row r="49" spans="1:44" x14ac:dyDescent="0.25">
      <c r="A49">
        <f t="shared" si="38"/>
        <v>38</v>
      </c>
      <c r="B49" s="1">
        <f t="shared" si="39"/>
        <v>4.7209899999999998E-8</v>
      </c>
      <c r="C49" s="1">
        <f t="shared" si="40"/>
        <v>1.09987E-3</v>
      </c>
      <c r="D49" s="1">
        <f t="shared" si="41"/>
        <v>1.7799999999999999E-6</v>
      </c>
      <c r="E49" s="1" t="e">
        <f t="shared" si="42"/>
        <v>#NUM!</v>
      </c>
      <c r="F49" s="1" t="e">
        <f t="shared" si="33"/>
        <v>#NUM!</v>
      </c>
      <c r="G49" s="1">
        <f t="shared" si="34"/>
        <v>7.3092358738902837E+62</v>
      </c>
      <c r="H49" s="1">
        <f t="shared" si="35"/>
        <v>7.3092358738902837E+62</v>
      </c>
      <c r="I49" s="1">
        <f t="shared" si="36"/>
        <v>2.6915348039269097E-8</v>
      </c>
      <c r="J49" s="1" t="e">
        <f t="shared" si="43"/>
        <v>#NUM!</v>
      </c>
      <c r="K49" s="1">
        <f t="shared" si="44"/>
        <v>4.9416499374615526E+60</v>
      </c>
      <c r="L49" s="1">
        <f t="shared" si="45"/>
        <v>3.7411058827205313E-7</v>
      </c>
      <c r="M49" s="1">
        <f t="shared" si="46"/>
        <v>4.1963526413567801E+65</v>
      </c>
      <c r="N49" s="1">
        <f t="shared" si="47"/>
        <v>2.5402237786948151E+64</v>
      </c>
      <c r="O49" s="1" t="e">
        <f t="shared" si="48"/>
        <v>#NUM!</v>
      </c>
      <c r="P49" s="1" t="e">
        <f t="shared" si="49"/>
        <v>#NUM!</v>
      </c>
      <c r="Q49" s="1" t="e">
        <f t="shared" si="50"/>
        <v>#NUM!</v>
      </c>
      <c r="R49" s="1" t="e">
        <f t="shared" si="51"/>
        <v>#NUM!</v>
      </c>
      <c r="S49" s="1" t="e">
        <f t="shared" si="52"/>
        <v>#NUM!</v>
      </c>
      <c r="T49" s="1" t="e">
        <f t="shared" si="53"/>
        <v>#NUM!</v>
      </c>
      <c r="U49" s="1" t="e">
        <f t="shared" si="54"/>
        <v>#NUM!</v>
      </c>
      <c r="V49" s="1" t="e">
        <f t="shared" si="55"/>
        <v>#NUM!</v>
      </c>
      <c r="W49" s="1" t="e">
        <f t="shared" si="56"/>
        <v>#NUM!</v>
      </c>
      <c r="X49" t="e" cm="1">
        <f t="array" ref="X49">MAX(ABS(T49:W49/B49:E49))</f>
        <v>#NUM!</v>
      </c>
      <c r="Y49" s="1">
        <f t="shared" si="57"/>
        <v>1.0037094578983654E+70</v>
      </c>
      <c r="Z49" s="1" t="e">
        <f t="shared" si="58"/>
        <v>#NUM!</v>
      </c>
      <c r="AA49" s="1" t="e">
        <f t="shared" si="59"/>
        <v>#NUM!</v>
      </c>
      <c r="AB49">
        <f t="shared" si="60"/>
        <v>8.2010975373508396E+69</v>
      </c>
      <c r="AC49" t="e">
        <f t="shared" si="61"/>
        <v>#NUM!</v>
      </c>
      <c r="AD49">
        <v>0</v>
      </c>
      <c r="AE49" s="9">
        <f t="shared" si="62"/>
        <v>1.8359970416328145E+69</v>
      </c>
      <c r="AF49">
        <f>0</f>
        <v>0</v>
      </c>
      <c r="AG49" s="1" t="e">
        <f t="shared" si="63"/>
        <v>#NUM!</v>
      </c>
      <c r="AH49" s="16" t="e">
        <f t="shared" si="64"/>
        <v>#NUM!</v>
      </c>
      <c r="AI49" s="16" t="e">
        <f t="shared" si="65"/>
        <v>#NUM!</v>
      </c>
      <c r="AJ49" s="13">
        <f t="shared" si="66"/>
        <v>1.8359970416328103E+67</v>
      </c>
      <c r="AK49" s="16">
        <f t="shared" si="67"/>
        <v>8.2010975373508396E+69</v>
      </c>
      <c r="AL49" s="16" t="e">
        <f t="shared" si="68"/>
        <v>#NUM!</v>
      </c>
      <c r="AM49" s="13">
        <f t="shared" si="69"/>
        <v>6.7608297539198143E-4</v>
      </c>
      <c r="AN49" s="13" t="e">
        <f t="shared" si="70"/>
        <v>#NUM!</v>
      </c>
      <c r="AO49" t="e" cm="1">
        <f t="array" ref="AO49">TRANSPOSE(MMULT(MINVERSE(_xlfn.WRAPCOLS(Y49:AG49,3)),TRANSPOSE(T49:V49)))</f>
        <v>#NUM!</v>
      </c>
      <c r="AP49" s="1"/>
      <c r="AQ49" s="1"/>
      <c r="AR49">
        <v>0</v>
      </c>
    </row>
    <row r="50" spans="1:44" x14ac:dyDescent="0.25">
      <c r="A50">
        <f t="shared" si="38"/>
        <v>39</v>
      </c>
      <c r="B50" s="1">
        <f t="shared" si="39"/>
        <v>4.7209899999999998E-8</v>
      </c>
      <c r="C50" s="1">
        <f t="shared" si="40"/>
        <v>1.09987E-3</v>
      </c>
      <c r="D50" s="1">
        <f t="shared" si="41"/>
        <v>1.7799999999999999E-6</v>
      </c>
      <c r="E50" s="1" t="e">
        <f t="shared" si="42"/>
        <v>#NUM!</v>
      </c>
      <c r="F50" s="1" t="e">
        <f t="shared" si="33"/>
        <v>#NUM!</v>
      </c>
      <c r="G50" s="1">
        <f t="shared" si="34"/>
        <v>7.3092358738902837E+62</v>
      </c>
      <c r="H50" s="1">
        <f t="shared" si="35"/>
        <v>7.3092358738902837E+62</v>
      </c>
      <c r="I50" s="1">
        <f t="shared" si="36"/>
        <v>2.6915348039269097E-8</v>
      </c>
      <c r="J50" s="1" t="e">
        <f t="shared" si="43"/>
        <v>#NUM!</v>
      </c>
      <c r="K50" s="1">
        <f t="shared" si="44"/>
        <v>4.9416499374615526E+60</v>
      </c>
      <c r="L50" s="1">
        <f t="shared" si="45"/>
        <v>3.7411058827205313E-7</v>
      </c>
      <c r="M50" s="1">
        <f t="shared" si="46"/>
        <v>4.1963526413567801E+65</v>
      </c>
      <c r="N50" s="1">
        <f t="shared" si="47"/>
        <v>2.5402237786948151E+64</v>
      </c>
      <c r="O50" s="1" t="e">
        <f t="shared" si="48"/>
        <v>#NUM!</v>
      </c>
      <c r="P50" s="1" t="e">
        <f t="shared" si="49"/>
        <v>#NUM!</v>
      </c>
      <c r="Q50" s="1" t="e">
        <f t="shared" si="50"/>
        <v>#NUM!</v>
      </c>
      <c r="R50" s="1" t="e">
        <f t="shared" si="51"/>
        <v>#NUM!</v>
      </c>
      <c r="S50" s="1" t="e">
        <f t="shared" si="52"/>
        <v>#NUM!</v>
      </c>
      <c r="T50" s="1" t="e">
        <f t="shared" si="53"/>
        <v>#NUM!</v>
      </c>
      <c r="U50" s="1" t="e">
        <f t="shared" si="54"/>
        <v>#NUM!</v>
      </c>
      <c r="V50" s="1" t="e">
        <f t="shared" si="55"/>
        <v>#NUM!</v>
      </c>
      <c r="W50" s="1" t="e">
        <f t="shared" si="56"/>
        <v>#NUM!</v>
      </c>
      <c r="X50" t="e" cm="1">
        <f t="array" ref="X50">MAX(ABS(T50:W50/B50:E50))</f>
        <v>#NUM!</v>
      </c>
      <c r="Y50" s="1">
        <f t="shared" si="57"/>
        <v>1.0037094578983654E+70</v>
      </c>
      <c r="Z50" s="1" t="e">
        <f t="shared" si="58"/>
        <v>#NUM!</v>
      </c>
      <c r="AA50" s="1" t="e">
        <f t="shared" si="59"/>
        <v>#NUM!</v>
      </c>
      <c r="AB50">
        <f t="shared" si="60"/>
        <v>8.2010975373508396E+69</v>
      </c>
      <c r="AC50" t="e">
        <f t="shared" si="61"/>
        <v>#NUM!</v>
      </c>
      <c r="AD50">
        <v>0</v>
      </c>
      <c r="AE50" s="9">
        <f t="shared" si="62"/>
        <v>1.8359970416328145E+69</v>
      </c>
      <c r="AF50">
        <f>0</f>
        <v>0</v>
      </c>
      <c r="AG50" s="1" t="e">
        <f t="shared" si="63"/>
        <v>#NUM!</v>
      </c>
      <c r="AH50" s="16" t="e">
        <f t="shared" si="64"/>
        <v>#NUM!</v>
      </c>
      <c r="AI50" s="16" t="e">
        <f t="shared" si="65"/>
        <v>#NUM!</v>
      </c>
      <c r="AJ50" s="13">
        <f t="shared" si="66"/>
        <v>1.8359970416328103E+67</v>
      </c>
      <c r="AK50" s="16">
        <f t="shared" si="67"/>
        <v>8.2010975373508396E+69</v>
      </c>
      <c r="AL50" s="16" t="e">
        <f t="shared" si="68"/>
        <v>#NUM!</v>
      </c>
      <c r="AM50" s="13">
        <f t="shared" si="69"/>
        <v>6.7608297539198143E-4</v>
      </c>
      <c r="AN50" s="13" t="e">
        <f t="shared" si="70"/>
        <v>#NUM!</v>
      </c>
      <c r="AO50" t="e" cm="1">
        <f t="array" ref="AO50">TRANSPOSE(MMULT(MINVERSE(_xlfn.WRAPCOLS(Y50:AG50,3)),TRANSPOSE(T50:V50)))</f>
        <v>#NUM!</v>
      </c>
      <c r="AP50" s="1"/>
      <c r="AQ50" s="1"/>
      <c r="AR50">
        <v>0</v>
      </c>
    </row>
    <row r="51" spans="1:44" x14ac:dyDescent="0.25">
      <c r="A51">
        <f t="shared" si="38"/>
        <v>40</v>
      </c>
      <c r="B51" s="1">
        <f t="shared" si="39"/>
        <v>4.7209899999999998E-8</v>
      </c>
      <c r="C51" s="1">
        <f t="shared" si="40"/>
        <v>1.09987E-3</v>
      </c>
      <c r="D51" s="1">
        <f t="shared" si="41"/>
        <v>1.7799999999999999E-6</v>
      </c>
      <c r="E51" s="1" t="e">
        <f t="shared" si="42"/>
        <v>#NUM!</v>
      </c>
      <c r="F51" s="1" t="e">
        <f t="shared" si="33"/>
        <v>#NUM!</v>
      </c>
      <c r="G51" s="1">
        <f t="shared" si="34"/>
        <v>7.3092358738902837E+62</v>
      </c>
      <c r="H51" s="1">
        <f t="shared" si="35"/>
        <v>7.3092358738902837E+62</v>
      </c>
      <c r="I51" s="1">
        <f t="shared" si="36"/>
        <v>2.6915348039269097E-8</v>
      </c>
      <c r="J51" s="1" t="e">
        <f t="shared" si="43"/>
        <v>#NUM!</v>
      </c>
      <c r="K51" s="1">
        <f t="shared" si="44"/>
        <v>4.9416499374615526E+60</v>
      </c>
      <c r="L51" s="1">
        <f t="shared" si="45"/>
        <v>3.7411058827205313E-7</v>
      </c>
      <c r="M51" s="1">
        <f t="shared" si="46"/>
        <v>4.1963526413567801E+65</v>
      </c>
      <c r="N51" s="1">
        <f t="shared" si="47"/>
        <v>2.5402237786948151E+64</v>
      </c>
      <c r="O51" s="1" t="e">
        <f t="shared" si="48"/>
        <v>#NUM!</v>
      </c>
      <c r="P51" s="1" t="e">
        <f t="shared" si="49"/>
        <v>#NUM!</v>
      </c>
      <c r="Q51" s="1" t="e">
        <f t="shared" si="50"/>
        <v>#NUM!</v>
      </c>
      <c r="R51" s="1" t="e">
        <f t="shared" si="51"/>
        <v>#NUM!</v>
      </c>
      <c r="S51" s="1" t="e">
        <f t="shared" si="52"/>
        <v>#NUM!</v>
      </c>
      <c r="T51" s="1" t="e">
        <f t="shared" si="53"/>
        <v>#NUM!</v>
      </c>
      <c r="U51" s="1" t="e">
        <f t="shared" si="54"/>
        <v>#NUM!</v>
      </c>
      <c r="V51" s="1" t="e">
        <f t="shared" si="55"/>
        <v>#NUM!</v>
      </c>
      <c r="W51" s="1" t="e">
        <f t="shared" si="56"/>
        <v>#NUM!</v>
      </c>
      <c r="X51" t="e" cm="1">
        <f t="array" ref="X51">MAX(ABS(T51:W51/B51:E51))</f>
        <v>#NUM!</v>
      </c>
      <c r="Y51" s="1">
        <f t="shared" si="57"/>
        <v>1.0037094578983654E+70</v>
      </c>
      <c r="Z51" s="1" t="e">
        <f t="shared" si="58"/>
        <v>#NUM!</v>
      </c>
      <c r="AA51" s="1" t="e">
        <f t="shared" si="59"/>
        <v>#NUM!</v>
      </c>
      <c r="AB51">
        <f t="shared" si="60"/>
        <v>8.2010975373508396E+69</v>
      </c>
      <c r="AC51" t="e">
        <f t="shared" si="61"/>
        <v>#NUM!</v>
      </c>
      <c r="AD51">
        <v>0</v>
      </c>
      <c r="AE51" s="9">
        <f t="shared" si="62"/>
        <v>1.8359970416328145E+69</v>
      </c>
      <c r="AF51">
        <f>0</f>
        <v>0</v>
      </c>
      <c r="AG51" s="1" t="e">
        <f t="shared" si="63"/>
        <v>#NUM!</v>
      </c>
      <c r="AH51" s="16" t="e">
        <f t="shared" si="64"/>
        <v>#NUM!</v>
      </c>
      <c r="AI51" s="16" t="e">
        <f t="shared" si="65"/>
        <v>#NUM!</v>
      </c>
      <c r="AJ51" s="13">
        <f t="shared" si="66"/>
        <v>1.8359970416328103E+67</v>
      </c>
      <c r="AK51" s="16">
        <f t="shared" si="67"/>
        <v>8.2010975373508396E+69</v>
      </c>
      <c r="AL51" s="16" t="e">
        <f t="shared" si="68"/>
        <v>#NUM!</v>
      </c>
      <c r="AM51" s="13">
        <f t="shared" si="69"/>
        <v>6.7608297539198143E-4</v>
      </c>
      <c r="AN51" s="13" t="e">
        <f t="shared" si="70"/>
        <v>#NUM!</v>
      </c>
      <c r="AO51" t="e" cm="1">
        <f t="array" ref="AO51">TRANSPOSE(MMULT(MINVERSE(_xlfn.WRAPCOLS(Y51:AG51,3)),TRANSPOSE(T51:V51)))</f>
        <v>#NUM!</v>
      </c>
      <c r="AP51" s="1"/>
      <c r="AQ51" s="1"/>
      <c r="AR51">
        <v>0</v>
      </c>
    </row>
    <row r="52" spans="1:44" x14ac:dyDescent="0.25">
      <c r="A52">
        <f t="shared" si="38"/>
        <v>41</v>
      </c>
      <c r="B52" s="1">
        <f t="shared" si="39"/>
        <v>4.7209899999999998E-8</v>
      </c>
      <c r="C52" s="1">
        <f t="shared" si="40"/>
        <v>1.09987E-3</v>
      </c>
      <c r="D52" s="1">
        <f t="shared" si="41"/>
        <v>1.7799999999999999E-6</v>
      </c>
      <c r="E52" s="1" t="e">
        <f t="shared" si="42"/>
        <v>#NUM!</v>
      </c>
      <c r="F52" s="1" t="e">
        <f t="shared" si="33"/>
        <v>#NUM!</v>
      </c>
      <c r="G52" s="1">
        <f t="shared" si="34"/>
        <v>7.3092358738902837E+62</v>
      </c>
      <c r="H52" s="1">
        <f t="shared" si="35"/>
        <v>7.3092358738902837E+62</v>
      </c>
      <c r="I52" s="1">
        <f t="shared" si="36"/>
        <v>2.6915348039269097E-8</v>
      </c>
      <c r="J52" s="1" t="e">
        <f t="shared" si="43"/>
        <v>#NUM!</v>
      </c>
      <c r="K52" s="1">
        <f t="shared" si="44"/>
        <v>4.9416499374615526E+60</v>
      </c>
      <c r="L52" s="1">
        <f t="shared" si="45"/>
        <v>3.7411058827205313E-7</v>
      </c>
      <c r="M52" s="1">
        <f t="shared" si="46"/>
        <v>4.1963526413567801E+65</v>
      </c>
      <c r="N52" s="1">
        <f t="shared" si="47"/>
        <v>2.5402237786948151E+64</v>
      </c>
      <c r="O52" s="1" t="e">
        <f t="shared" si="48"/>
        <v>#NUM!</v>
      </c>
      <c r="P52" s="1" t="e">
        <f t="shared" si="49"/>
        <v>#NUM!</v>
      </c>
      <c r="Q52" s="1" t="e">
        <f t="shared" si="50"/>
        <v>#NUM!</v>
      </c>
      <c r="R52" s="1" t="e">
        <f t="shared" si="51"/>
        <v>#NUM!</v>
      </c>
      <c r="S52" s="1" t="e">
        <f t="shared" si="52"/>
        <v>#NUM!</v>
      </c>
      <c r="T52" s="1" t="e">
        <f t="shared" si="53"/>
        <v>#NUM!</v>
      </c>
      <c r="U52" s="1" t="e">
        <f t="shared" si="54"/>
        <v>#NUM!</v>
      </c>
      <c r="V52" s="1" t="e">
        <f t="shared" si="55"/>
        <v>#NUM!</v>
      </c>
      <c r="W52" s="1" t="e">
        <f t="shared" si="56"/>
        <v>#NUM!</v>
      </c>
      <c r="X52" t="e" cm="1">
        <f t="array" ref="X52">MAX(ABS(T52:W52/B52:E52))</f>
        <v>#NUM!</v>
      </c>
      <c r="Y52" s="1">
        <f t="shared" si="57"/>
        <v>1.0037094578983654E+70</v>
      </c>
      <c r="Z52" s="1" t="e">
        <f t="shared" si="58"/>
        <v>#NUM!</v>
      </c>
      <c r="AA52" s="1" t="e">
        <f t="shared" si="59"/>
        <v>#NUM!</v>
      </c>
      <c r="AB52">
        <f t="shared" si="60"/>
        <v>8.2010975373508396E+69</v>
      </c>
      <c r="AC52" t="e">
        <f t="shared" si="61"/>
        <v>#NUM!</v>
      </c>
      <c r="AD52">
        <v>0</v>
      </c>
      <c r="AE52" s="9">
        <f t="shared" si="62"/>
        <v>1.8359970416328145E+69</v>
      </c>
      <c r="AF52">
        <f>0</f>
        <v>0</v>
      </c>
      <c r="AG52" s="1" t="e">
        <f t="shared" si="63"/>
        <v>#NUM!</v>
      </c>
      <c r="AH52" s="16" t="e">
        <f t="shared" si="64"/>
        <v>#NUM!</v>
      </c>
      <c r="AI52" s="16" t="e">
        <f t="shared" si="65"/>
        <v>#NUM!</v>
      </c>
      <c r="AJ52" s="13">
        <f t="shared" si="66"/>
        <v>1.8359970416328103E+67</v>
      </c>
      <c r="AK52" s="16">
        <f t="shared" si="67"/>
        <v>8.2010975373508396E+69</v>
      </c>
      <c r="AL52" s="16" t="e">
        <f t="shared" si="68"/>
        <v>#NUM!</v>
      </c>
      <c r="AM52" s="13">
        <f t="shared" si="69"/>
        <v>6.7608297539198143E-4</v>
      </c>
      <c r="AN52" s="13" t="e">
        <f t="shared" si="70"/>
        <v>#NUM!</v>
      </c>
      <c r="AO52" t="e" cm="1">
        <f t="array" ref="AO52">TRANSPOSE(MMULT(MINVERSE(_xlfn.WRAPCOLS(Y52:AG52,3)),TRANSPOSE(T52:V52)))</f>
        <v>#NUM!</v>
      </c>
      <c r="AP52" s="1"/>
      <c r="AQ52" s="1"/>
      <c r="AR52">
        <v>0</v>
      </c>
    </row>
    <row r="53" spans="1:44" x14ac:dyDescent="0.25">
      <c r="A53">
        <f t="shared" si="38"/>
        <v>42</v>
      </c>
      <c r="B53" s="1">
        <f t="shared" si="39"/>
        <v>4.7209899999999998E-8</v>
      </c>
      <c r="C53" s="1">
        <f t="shared" si="40"/>
        <v>1.09987E-3</v>
      </c>
      <c r="D53" s="1">
        <f t="shared" si="41"/>
        <v>1.7799999999999999E-6</v>
      </c>
      <c r="E53" s="1" t="e">
        <f t="shared" si="42"/>
        <v>#NUM!</v>
      </c>
      <c r="F53" s="1" t="e">
        <f t="shared" si="33"/>
        <v>#NUM!</v>
      </c>
      <c r="G53" s="1">
        <f t="shared" si="34"/>
        <v>7.3092358738902837E+62</v>
      </c>
      <c r="H53" s="1">
        <f t="shared" si="35"/>
        <v>7.3092358738902837E+62</v>
      </c>
      <c r="I53" s="1">
        <f t="shared" si="36"/>
        <v>2.6915348039269097E-8</v>
      </c>
      <c r="J53" s="1" t="e">
        <f t="shared" si="43"/>
        <v>#NUM!</v>
      </c>
      <c r="K53" s="1">
        <f t="shared" si="44"/>
        <v>4.9416499374615526E+60</v>
      </c>
      <c r="L53" s="1">
        <f t="shared" si="45"/>
        <v>3.7411058827205313E-7</v>
      </c>
      <c r="M53" s="1">
        <f t="shared" si="46"/>
        <v>4.1963526413567801E+65</v>
      </c>
      <c r="N53" s="1">
        <f t="shared" si="47"/>
        <v>2.5402237786948151E+64</v>
      </c>
      <c r="O53" s="1" t="e">
        <f t="shared" si="48"/>
        <v>#NUM!</v>
      </c>
      <c r="P53" s="1" t="e">
        <f t="shared" si="49"/>
        <v>#NUM!</v>
      </c>
      <c r="Q53" s="1" t="e">
        <f t="shared" si="50"/>
        <v>#NUM!</v>
      </c>
      <c r="R53" s="1" t="e">
        <f t="shared" si="51"/>
        <v>#NUM!</v>
      </c>
      <c r="S53" s="1" t="e">
        <f t="shared" si="52"/>
        <v>#NUM!</v>
      </c>
      <c r="T53" s="1" t="e">
        <f t="shared" si="53"/>
        <v>#NUM!</v>
      </c>
      <c r="U53" s="1" t="e">
        <f t="shared" si="54"/>
        <v>#NUM!</v>
      </c>
      <c r="V53" s="1" t="e">
        <f t="shared" si="55"/>
        <v>#NUM!</v>
      </c>
      <c r="W53" s="1" t="e">
        <f t="shared" si="56"/>
        <v>#NUM!</v>
      </c>
      <c r="X53" t="e" cm="1">
        <f t="array" ref="X53">MAX(ABS(T53:W53/B53:E53))</f>
        <v>#NUM!</v>
      </c>
      <c r="Y53" s="1">
        <f t="shared" si="57"/>
        <v>1.0037094578983654E+70</v>
      </c>
      <c r="Z53" s="1" t="e">
        <f t="shared" si="58"/>
        <v>#NUM!</v>
      </c>
      <c r="AA53" s="1" t="e">
        <f t="shared" si="59"/>
        <v>#NUM!</v>
      </c>
      <c r="AB53">
        <f t="shared" si="60"/>
        <v>8.2010975373508396E+69</v>
      </c>
      <c r="AC53" t="e">
        <f t="shared" si="61"/>
        <v>#NUM!</v>
      </c>
      <c r="AD53">
        <v>0</v>
      </c>
      <c r="AE53" s="9">
        <f t="shared" si="62"/>
        <v>1.8359970416328145E+69</v>
      </c>
      <c r="AF53">
        <f>0</f>
        <v>0</v>
      </c>
      <c r="AG53" s="1" t="e">
        <f t="shared" si="63"/>
        <v>#NUM!</v>
      </c>
      <c r="AH53" s="16" t="e">
        <f t="shared" si="64"/>
        <v>#NUM!</v>
      </c>
      <c r="AI53" s="16" t="e">
        <f t="shared" si="65"/>
        <v>#NUM!</v>
      </c>
      <c r="AJ53" s="13">
        <f t="shared" si="66"/>
        <v>1.8359970416328103E+67</v>
      </c>
      <c r="AK53" s="16">
        <f t="shared" si="67"/>
        <v>8.2010975373508396E+69</v>
      </c>
      <c r="AL53" s="16" t="e">
        <f t="shared" si="68"/>
        <v>#NUM!</v>
      </c>
      <c r="AM53" s="13">
        <f t="shared" si="69"/>
        <v>6.7608297539198143E-4</v>
      </c>
      <c r="AN53" s="13" t="e">
        <f t="shared" si="70"/>
        <v>#NUM!</v>
      </c>
      <c r="AO53" t="e" cm="1">
        <f t="array" ref="AO53">TRANSPOSE(MMULT(MINVERSE(_xlfn.WRAPCOLS(Y53:AG53,3)),TRANSPOSE(T53:V53)))</f>
        <v>#NUM!</v>
      </c>
      <c r="AP53" s="1"/>
      <c r="AQ53" s="1"/>
      <c r="AR53">
        <v>0</v>
      </c>
    </row>
    <row r="54" spans="1:44" x14ac:dyDescent="0.25">
      <c r="A54">
        <f t="shared" si="38"/>
        <v>43</v>
      </c>
      <c r="B54" s="1">
        <f t="shared" si="39"/>
        <v>4.7209899999999998E-8</v>
      </c>
      <c r="C54" s="1">
        <f t="shared" si="40"/>
        <v>1.09987E-3</v>
      </c>
      <c r="D54" s="1">
        <f t="shared" si="41"/>
        <v>1.7799999999999999E-6</v>
      </c>
      <c r="E54" s="1" t="e">
        <f t="shared" si="42"/>
        <v>#NUM!</v>
      </c>
      <c r="F54" s="1" t="e">
        <f t="shared" si="33"/>
        <v>#NUM!</v>
      </c>
      <c r="G54" s="1">
        <f t="shared" si="34"/>
        <v>7.3092358738902837E+62</v>
      </c>
      <c r="H54" s="1">
        <f t="shared" si="35"/>
        <v>7.3092358738902837E+62</v>
      </c>
      <c r="I54" s="1">
        <f t="shared" si="36"/>
        <v>2.6915348039269097E-8</v>
      </c>
      <c r="J54" s="1" t="e">
        <f t="shared" si="43"/>
        <v>#NUM!</v>
      </c>
      <c r="K54" s="1">
        <f t="shared" si="44"/>
        <v>4.9416499374615526E+60</v>
      </c>
      <c r="L54" s="1">
        <f t="shared" si="45"/>
        <v>3.7411058827205313E-7</v>
      </c>
      <c r="M54" s="1">
        <f t="shared" si="46"/>
        <v>4.1963526413567801E+65</v>
      </c>
      <c r="N54" s="1">
        <f t="shared" si="47"/>
        <v>2.5402237786948151E+64</v>
      </c>
      <c r="O54" s="1" t="e">
        <f t="shared" si="48"/>
        <v>#NUM!</v>
      </c>
      <c r="P54" s="1" t="e">
        <f t="shared" si="49"/>
        <v>#NUM!</v>
      </c>
      <c r="Q54" s="1" t="e">
        <f t="shared" si="50"/>
        <v>#NUM!</v>
      </c>
      <c r="R54" s="1" t="e">
        <f t="shared" si="51"/>
        <v>#NUM!</v>
      </c>
      <c r="S54" s="1" t="e">
        <f t="shared" si="52"/>
        <v>#NUM!</v>
      </c>
      <c r="T54" s="1" t="e">
        <f t="shared" si="53"/>
        <v>#NUM!</v>
      </c>
      <c r="U54" s="1" t="e">
        <f t="shared" si="54"/>
        <v>#NUM!</v>
      </c>
      <c r="V54" s="1" t="e">
        <f t="shared" si="55"/>
        <v>#NUM!</v>
      </c>
      <c r="W54" s="1" t="e">
        <f t="shared" si="56"/>
        <v>#NUM!</v>
      </c>
      <c r="X54" t="e" cm="1">
        <f t="array" ref="X54">MAX(ABS(T54:W54/B54:E54))</f>
        <v>#NUM!</v>
      </c>
      <c r="Y54" s="1">
        <f t="shared" si="57"/>
        <v>1.0037094578983654E+70</v>
      </c>
      <c r="Z54" s="1" t="e">
        <f t="shared" si="58"/>
        <v>#NUM!</v>
      </c>
      <c r="AA54" s="1" t="e">
        <f t="shared" si="59"/>
        <v>#NUM!</v>
      </c>
      <c r="AB54">
        <f t="shared" si="60"/>
        <v>8.2010975373508396E+69</v>
      </c>
      <c r="AC54" t="e">
        <f t="shared" si="61"/>
        <v>#NUM!</v>
      </c>
      <c r="AD54">
        <v>0</v>
      </c>
      <c r="AE54" s="9">
        <f t="shared" si="62"/>
        <v>1.8359970416328145E+69</v>
      </c>
      <c r="AF54">
        <f>0</f>
        <v>0</v>
      </c>
      <c r="AG54" s="1" t="e">
        <f t="shared" si="63"/>
        <v>#NUM!</v>
      </c>
      <c r="AH54" s="16" t="e">
        <f t="shared" si="64"/>
        <v>#NUM!</v>
      </c>
      <c r="AI54" s="16" t="e">
        <f t="shared" si="65"/>
        <v>#NUM!</v>
      </c>
      <c r="AJ54" s="13">
        <f t="shared" si="66"/>
        <v>1.8359970416328103E+67</v>
      </c>
      <c r="AK54" s="16">
        <f t="shared" si="67"/>
        <v>8.2010975373508396E+69</v>
      </c>
      <c r="AL54" s="16" t="e">
        <f t="shared" si="68"/>
        <v>#NUM!</v>
      </c>
      <c r="AM54" s="13">
        <f t="shared" si="69"/>
        <v>6.7608297539198143E-4</v>
      </c>
      <c r="AN54" s="13" t="e">
        <f t="shared" si="70"/>
        <v>#NUM!</v>
      </c>
      <c r="AO54" t="e" cm="1">
        <f t="array" ref="AO54">TRANSPOSE(MMULT(MINVERSE(_xlfn.WRAPCOLS(Y54:AG54,3)),TRANSPOSE(T54:V54)))</f>
        <v>#NUM!</v>
      </c>
      <c r="AP54" s="1"/>
      <c r="AQ54" s="1"/>
      <c r="AR54">
        <v>0</v>
      </c>
    </row>
    <row r="55" spans="1:44" x14ac:dyDescent="0.25">
      <c r="A55">
        <f t="shared" si="38"/>
        <v>44</v>
      </c>
      <c r="B55" s="1">
        <f t="shared" si="39"/>
        <v>4.7209899999999998E-8</v>
      </c>
      <c r="C55" s="1">
        <f t="shared" si="40"/>
        <v>1.09987E-3</v>
      </c>
      <c r="D55" s="1">
        <f t="shared" si="41"/>
        <v>1.7799999999999999E-6</v>
      </c>
      <c r="E55" s="1" t="e">
        <f t="shared" si="42"/>
        <v>#NUM!</v>
      </c>
      <c r="F55" s="1" t="e">
        <f t="shared" si="33"/>
        <v>#NUM!</v>
      </c>
      <c r="G55" s="1">
        <f t="shared" si="34"/>
        <v>7.3092358738902837E+62</v>
      </c>
      <c r="H55" s="1">
        <f t="shared" si="35"/>
        <v>7.3092358738902837E+62</v>
      </c>
      <c r="I55" s="1">
        <f t="shared" si="36"/>
        <v>2.6915348039269097E-8</v>
      </c>
      <c r="J55" s="1" t="e">
        <f t="shared" si="43"/>
        <v>#NUM!</v>
      </c>
      <c r="K55" s="1">
        <f t="shared" si="44"/>
        <v>4.9416499374615526E+60</v>
      </c>
      <c r="L55" s="1">
        <f t="shared" si="45"/>
        <v>3.7411058827205313E-7</v>
      </c>
      <c r="M55" s="1">
        <f t="shared" si="46"/>
        <v>4.1963526413567801E+65</v>
      </c>
      <c r="N55" s="1">
        <f t="shared" si="47"/>
        <v>2.5402237786948151E+64</v>
      </c>
      <c r="O55" s="1" t="e">
        <f t="shared" si="48"/>
        <v>#NUM!</v>
      </c>
      <c r="P55" s="1" t="e">
        <f t="shared" si="49"/>
        <v>#NUM!</v>
      </c>
      <c r="Q55" s="1" t="e">
        <f t="shared" si="50"/>
        <v>#NUM!</v>
      </c>
      <c r="R55" s="1" t="e">
        <f t="shared" si="51"/>
        <v>#NUM!</v>
      </c>
      <c r="S55" s="1" t="e">
        <f t="shared" si="52"/>
        <v>#NUM!</v>
      </c>
      <c r="T55" s="1" t="e">
        <f t="shared" si="53"/>
        <v>#NUM!</v>
      </c>
      <c r="U55" s="1" t="e">
        <f t="shared" si="54"/>
        <v>#NUM!</v>
      </c>
      <c r="V55" s="1" t="e">
        <f t="shared" si="55"/>
        <v>#NUM!</v>
      </c>
      <c r="W55" s="1" t="e">
        <f t="shared" si="56"/>
        <v>#NUM!</v>
      </c>
      <c r="X55" t="e" cm="1">
        <f t="array" ref="X55">MAX(ABS(T55:W55/B55:E55))</f>
        <v>#NUM!</v>
      </c>
      <c r="Y55" s="1">
        <f t="shared" si="57"/>
        <v>1.0037094578983654E+70</v>
      </c>
      <c r="Z55" s="1" t="e">
        <f t="shared" si="58"/>
        <v>#NUM!</v>
      </c>
      <c r="AA55" s="1" t="e">
        <f t="shared" si="59"/>
        <v>#NUM!</v>
      </c>
      <c r="AB55">
        <f t="shared" si="60"/>
        <v>8.2010975373508396E+69</v>
      </c>
      <c r="AC55" t="e">
        <f t="shared" si="61"/>
        <v>#NUM!</v>
      </c>
      <c r="AD55">
        <v>0</v>
      </c>
      <c r="AE55" s="9">
        <f t="shared" si="62"/>
        <v>1.8359970416328145E+69</v>
      </c>
      <c r="AF55">
        <f>0</f>
        <v>0</v>
      </c>
      <c r="AG55" s="1" t="e">
        <f t="shared" si="63"/>
        <v>#NUM!</v>
      </c>
      <c r="AH55" s="16" t="e">
        <f t="shared" si="64"/>
        <v>#NUM!</v>
      </c>
      <c r="AI55" s="16" t="e">
        <f t="shared" si="65"/>
        <v>#NUM!</v>
      </c>
      <c r="AJ55" s="13">
        <f t="shared" si="66"/>
        <v>1.8359970416328103E+67</v>
      </c>
      <c r="AK55" s="16">
        <f t="shared" si="67"/>
        <v>8.2010975373508396E+69</v>
      </c>
      <c r="AL55" s="16" t="e">
        <f t="shared" si="68"/>
        <v>#NUM!</v>
      </c>
      <c r="AM55" s="13">
        <f t="shared" si="69"/>
        <v>6.7608297539198143E-4</v>
      </c>
      <c r="AN55" s="13" t="e">
        <f t="shared" si="70"/>
        <v>#NUM!</v>
      </c>
      <c r="AO55" t="e" cm="1">
        <f t="array" ref="AO55">TRANSPOSE(MMULT(MINVERSE(_xlfn.WRAPCOLS(Y55:AG55,3)),TRANSPOSE(T55:V55)))</f>
        <v>#NUM!</v>
      </c>
      <c r="AP55" s="1"/>
      <c r="AQ55" s="1"/>
      <c r="AR55">
        <v>0</v>
      </c>
    </row>
    <row r="56" spans="1:44" x14ac:dyDescent="0.25">
      <c r="A56">
        <f t="shared" si="38"/>
        <v>45</v>
      </c>
      <c r="B56" s="1">
        <f t="shared" si="39"/>
        <v>4.7209899999999998E-8</v>
      </c>
      <c r="C56" s="1">
        <f t="shared" si="40"/>
        <v>1.09987E-3</v>
      </c>
      <c r="D56" s="1">
        <f t="shared" si="41"/>
        <v>1.7799999999999999E-6</v>
      </c>
      <c r="E56" s="1" t="e">
        <f t="shared" si="42"/>
        <v>#NUM!</v>
      </c>
      <c r="F56" s="1" t="e">
        <f t="shared" si="33"/>
        <v>#NUM!</v>
      </c>
      <c r="G56" s="1">
        <f t="shared" si="34"/>
        <v>7.3092358738902837E+62</v>
      </c>
      <c r="H56" s="1">
        <f t="shared" si="35"/>
        <v>7.3092358738902837E+62</v>
      </c>
      <c r="I56" s="1">
        <f t="shared" si="36"/>
        <v>2.6915348039269097E-8</v>
      </c>
      <c r="J56" s="1" t="e">
        <f t="shared" si="43"/>
        <v>#NUM!</v>
      </c>
      <c r="K56" s="1">
        <f t="shared" si="44"/>
        <v>4.9416499374615526E+60</v>
      </c>
      <c r="L56" s="1">
        <f t="shared" si="45"/>
        <v>3.7411058827205313E-7</v>
      </c>
      <c r="M56" s="1">
        <f t="shared" si="46"/>
        <v>4.1963526413567801E+65</v>
      </c>
      <c r="N56" s="1">
        <f t="shared" si="47"/>
        <v>2.5402237786948151E+64</v>
      </c>
      <c r="O56" s="1" t="e">
        <f t="shared" si="48"/>
        <v>#NUM!</v>
      </c>
      <c r="P56" s="1" t="e">
        <f t="shared" si="49"/>
        <v>#NUM!</v>
      </c>
      <c r="Q56" s="1" t="e">
        <f t="shared" si="50"/>
        <v>#NUM!</v>
      </c>
      <c r="R56" s="1" t="e">
        <f t="shared" si="51"/>
        <v>#NUM!</v>
      </c>
      <c r="S56" s="1" t="e">
        <f t="shared" si="52"/>
        <v>#NUM!</v>
      </c>
      <c r="T56" s="1" t="e">
        <f t="shared" si="53"/>
        <v>#NUM!</v>
      </c>
      <c r="U56" s="1" t="e">
        <f t="shared" si="54"/>
        <v>#NUM!</v>
      </c>
      <c r="V56" s="1" t="e">
        <f t="shared" si="55"/>
        <v>#NUM!</v>
      </c>
      <c r="W56" s="1" t="e">
        <f t="shared" si="56"/>
        <v>#NUM!</v>
      </c>
      <c r="X56" t="e" cm="1">
        <f t="array" ref="X56">MAX(ABS(T56:W56/B56:E56))</f>
        <v>#NUM!</v>
      </c>
      <c r="Y56" s="1">
        <f t="shared" si="57"/>
        <v>1.0037094578983654E+70</v>
      </c>
      <c r="Z56" s="1" t="e">
        <f t="shared" si="58"/>
        <v>#NUM!</v>
      </c>
      <c r="AA56" s="1" t="e">
        <f t="shared" si="59"/>
        <v>#NUM!</v>
      </c>
      <c r="AB56">
        <f t="shared" si="60"/>
        <v>8.2010975373508396E+69</v>
      </c>
      <c r="AC56" t="e">
        <f t="shared" si="61"/>
        <v>#NUM!</v>
      </c>
      <c r="AD56">
        <v>0</v>
      </c>
      <c r="AE56" s="9">
        <f t="shared" si="62"/>
        <v>1.8359970416328145E+69</v>
      </c>
      <c r="AF56">
        <f>0</f>
        <v>0</v>
      </c>
      <c r="AG56" s="1" t="e">
        <f t="shared" si="63"/>
        <v>#NUM!</v>
      </c>
      <c r="AH56" s="16" t="e">
        <f t="shared" si="64"/>
        <v>#NUM!</v>
      </c>
      <c r="AI56" s="16" t="e">
        <f t="shared" si="65"/>
        <v>#NUM!</v>
      </c>
      <c r="AJ56" s="13">
        <f t="shared" si="66"/>
        <v>1.8359970416328103E+67</v>
      </c>
      <c r="AK56" s="16">
        <f t="shared" si="67"/>
        <v>8.2010975373508396E+69</v>
      </c>
      <c r="AL56" s="16" t="e">
        <f t="shared" si="68"/>
        <v>#NUM!</v>
      </c>
      <c r="AM56" s="13">
        <f t="shared" si="69"/>
        <v>6.7608297539198143E-4</v>
      </c>
      <c r="AN56" s="13" t="e">
        <f t="shared" si="70"/>
        <v>#NUM!</v>
      </c>
      <c r="AO56" t="e" cm="1">
        <f t="array" ref="AO56">TRANSPOSE(MMULT(MINVERSE(_xlfn.WRAPCOLS(Y56:AG56,3)),TRANSPOSE(T56:V56)))</f>
        <v>#NUM!</v>
      </c>
      <c r="AP56" s="1"/>
      <c r="AQ56" s="1"/>
      <c r="AR56">
        <v>0</v>
      </c>
    </row>
    <row r="57" spans="1:44" x14ac:dyDescent="0.25">
      <c r="A57">
        <f t="shared" si="38"/>
        <v>46</v>
      </c>
      <c r="B57" s="1">
        <f t="shared" si="39"/>
        <v>4.7209899999999998E-8</v>
      </c>
      <c r="C57" s="1">
        <f t="shared" si="40"/>
        <v>1.09987E-3</v>
      </c>
      <c r="D57" s="1">
        <f t="shared" si="41"/>
        <v>1.7799999999999999E-6</v>
      </c>
      <c r="E57" s="1" t="e">
        <f t="shared" si="42"/>
        <v>#NUM!</v>
      </c>
      <c r="F57" s="1" t="e">
        <f t="shared" si="33"/>
        <v>#NUM!</v>
      </c>
      <c r="G57" s="1">
        <f t="shared" si="34"/>
        <v>7.3092358738902837E+62</v>
      </c>
      <c r="H57" s="1">
        <f t="shared" si="35"/>
        <v>7.3092358738902837E+62</v>
      </c>
      <c r="I57" s="1">
        <f t="shared" si="36"/>
        <v>2.6915348039269097E-8</v>
      </c>
      <c r="J57" s="1" t="e">
        <f t="shared" si="43"/>
        <v>#NUM!</v>
      </c>
      <c r="K57" s="1">
        <f t="shared" si="44"/>
        <v>4.9416499374615526E+60</v>
      </c>
      <c r="L57" s="1">
        <f t="shared" si="45"/>
        <v>3.7411058827205313E-7</v>
      </c>
      <c r="M57" s="1">
        <f t="shared" si="46"/>
        <v>4.1963526413567801E+65</v>
      </c>
      <c r="N57" s="1">
        <f t="shared" si="47"/>
        <v>2.5402237786948151E+64</v>
      </c>
      <c r="O57" s="1" t="e">
        <f t="shared" si="48"/>
        <v>#NUM!</v>
      </c>
      <c r="P57" s="1" t="e">
        <f t="shared" si="49"/>
        <v>#NUM!</v>
      </c>
      <c r="Q57" s="1" t="e">
        <f t="shared" si="50"/>
        <v>#NUM!</v>
      </c>
      <c r="R57" s="1" t="e">
        <f t="shared" si="51"/>
        <v>#NUM!</v>
      </c>
      <c r="S57" s="1" t="e">
        <f t="shared" si="52"/>
        <v>#NUM!</v>
      </c>
      <c r="T57" s="1" t="e">
        <f t="shared" si="53"/>
        <v>#NUM!</v>
      </c>
      <c r="U57" s="1" t="e">
        <f t="shared" si="54"/>
        <v>#NUM!</v>
      </c>
      <c r="V57" s="1" t="e">
        <f t="shared" si="55"/>
        <v>#NUM!</v>
      </c>
      <c r="W57" s="1" t="e">
        <f t="shared" si="56"/>
        <v>#NUM!</v>
      </c>
      <c r="X57" t="e" cm="1">
        <f t="array" ref="X57">MAX(ABS(T57:W57/B57:E57))</f>
        <v>#NUM!</v>
      </c>
      <c r="Y57" s="1">
        <f t="shared" si="57"/>
        <v>1.0037094578983654E+70</v>
      </c>
      <c r="Z57" s="1" t="e">
        <f t="shared" si="58"/>
        <v>#NUM!</v>
      </c>
      <c r="AA57" s="1" t="e">
        <f t="shared" si="59"/>
        <v>#NUM!</v>
      </c>
      <c r="AB57">
        <f t="shared" si="60"/>
        <v>8.2010975373508396E+69</v>
      </c>
      <c r="AC57" t="e">
        <f t="shared" si="61"/>
        <v>#NUM!</v>
      </c>
      <c r="AD57">
        <v>0</v>
      </c>
      <c r="AE57" s="9">
        <f t="shared" si="62"/>
        <v>1.8359970416328145E+69</v>
      </c>
      <c r="AF57">
        <f>0</f>
        <v>0</v>
      </c>
      <c r="AG57" s="1" t="e">
        <f t="shared" si="63"/>
        <v>#NUM!</v>
      </c>
      <c r="AH57" s="16" t="e">
        <f t="shared" si="64"/>
        <v>#NUM!</v>
      </c>
      <c r="AI57" s="16" t="e">
        <f t="shared" si="65"/>
        <v>#NUM!</v>
      </c>
      <c r="AJ57" s="13">
        <f t="shared" si="66"/>
        <v>1.8359970416328103E+67</v>
      </c>
      <c r="AK57" s="16">
        <f t="shared" si="67"/>
        <v>8.2010975373508396E+69</v>
      </c>
      <c r="AL57" s="16" t="e">
        <f t="shared" si="68"/>
        <v>#NUM!</v>
      </c>
      <c r="AM57" s="13">
        <f t="shared" si="69"/>
        <v>6.7608297539198143E-4</v>
      </c>
      <c r="AN57" s="13" t="e">
        <f t="shared" si="70"/>
        <v>#NUM!</v>
      </c>
      <c r="AO57" t="e" cm="1">
        <f t="array" ref="AO57">TRANSPOSE(MMULT(MINVERSE(_xlfn.WRAPCOLS(Y57:AG57,3)),TRANSPOSE(T57:V57)))</f>
        <v>#NUM!</v>
      </c>
      <c r="AP57" s="1"/>
      <c r="AQ57" s="1"/>
      <c r="AR57">
        <v>0</v>
      </c>
    </row>
    <row r="58" spans="1:44" x14ac:dyDescent="0.25">
      <c r="A58">
        <f t="shared" si="38"/>
        <v>47</v>
      </c>
      <c r="B58" s="1">
        <f t="shared" si="39"/>
        <v>4.7209899999999998E-8</v>
      </c>
      <c r="C58" s="1">
        <f t="shared" si="40"/>
        <v>1.09987E-3</v>
      </c>
      <c r="D58" s="1">
        <f t="shared" si="41"/>
        <v>1.7799999999999999E-6</v>
      </c>
      <c r="E58" s="1" t="e">
        <f t="shared" si="42"/>
        <v>#NUM!</v>
      </c>
      <c r="F58" s="1" t="e">
        <f t="shared" si="33"/>
        <v>#NUM!</v>
      </c>
      <c r="G58" s="1">
        <f t="shared" si="34"/>
        <v>7.3092358738902837E+62</v>
      </c>
      <c r="H58" s="1">
        <f t="shared" si="35"/>
        <v>7.3092358738902837E+62</v>
      </c>
      <c r="I58" s="1">
        <f t="shared" si="36"/>
        <v>2.6915348039269097E-8</v>
      </c>
      <c r="J58" s="1" t="e">
        <f t="shared" si="43"/>
        <v>#NUM!</v>
      </c>
      <c r="K58" s="1">
        <f t="shared" si="44"/>
        <v>4.9416499374615526E+60</v>
      </c>
      <c r="L58" s="1">
        <f t="shared" si="45"/>
        <v>3.7411058827205313E-7</v>
      </c>
      <c r="M58" s="1">
        <f t="shared" si="46"/>
        <v>4.1963526413567801E+65</v>
      </c>
      <c r="N58" s="1">
        <f t="shared" si="47"/>
        <v>2.5402237786948151E+64</v>
      </c>
      <c r="O58" s="1" t="e">
        <f t="shared" si="48"/>
        <v>#NUM!</v>
      </c>
      <c r="P58" s="1" t="e">
        <f t="shared" si="49"/>
        <v>#NUM!</v>
      </c>
      <c r="Q58" s="1" t="e">
        <f t="shared" si="50"/>
        <v>#NUM!</v>
      </c>
      <c r="R58" s="1" t="e">
        <f t="shared" si="51"/>
        <v>#NUM!</v>
      </c>
      <c r="S58" s="1" t="e">
        <f t="shared" si="52"/>
        <v>#NUM!</v>
      </c>
      <c r="T58" s="1" t="e">
        <f t="shared" si="53"/>
        <v>#NUM!</v>
      </c>
      <c r="U58" s="1" t="e">
        <f t="shared" si="54"/>
        <v>#NUM!</v>
      </c>
      <c r="V58" s="1" t="e">
        <f t="shared" si="55"/>
        <v>#NUM!</v>
      </c>
      <c r="W58" s="1" t="e">
        <f t="shared" si="56"/>
        <v>#NUM!</v>
      </c>
      <c r="X58" t="e" cm="1">
        <f t="array" ref="X58">MAX(ABS(T58:W58/B58:E58))</f>
        <v>#NUM!</v>
      </c>
      <c r="Y58" s="1">
        <f t="shared" si="57"/>
        <v>1.0037094578983654E+70</v>
      </c>
      <c r="Z58" s="1" t="e">
        <f t="shared" si="58"/>
        <v>#NUM!</v>
      </c>
      <c r="AA58" s="1" t="e">
        <f t="shared" si="59"/>
        <v>#NUM!</v>
      </c>
      <c r="AB58">
        <f t="shared" si="60"/>
        <v>8.2010975373508396E+69</v>
      </c>
      <c r="AC58" t="e">
        <f t="shared" si="61"/>
        <v>#NUM!</v>
      </c>
      <c r="AD58">
        <v>0</v>
      </c>
      <c r="AE58" s="9">
        <f t="shared" si="62"/>
        <v>1.8359970416328145E+69</v>
      </c>
      <c r="AF58">
        <f>0</f>
        <v>0</v>
      </c>
      <c r="AG58" s="1" t="e">
        <f t="shared" si="63"/>
        <v>#NUM!</v>
      </c>
      <c r="AH58" s="16" t="e">
        <f t="shared" si="64"/>
        <v>#NUM!</v>
      </c>
      <c r="AI58" s="16" t="e">
        <f t="shared" si="65"/>
        <v>#NUM!</v>
      </c>
      <c r="AJ58" s="13">
        <f t="shared" si="66"/>
        <v>1.8359970416328103E+67</v>
      </c>
      <c r="AK58" s="16">
        <f t="shared" si="67"/>
        <v>8.2010975373508396E+69</v>
      </c>
      <c r="AL58" s="16" t="e">
        <f t="shared" si="68"/>
        <v>#NUM!</v>
      </c>
      <c r="AM58" s="13">
        <f t="shared" si="69"/>
        <v>6.7608297539198143E-4</v>
      </c>
      <c r="AN58" s="13" t="e">
        <f t="shared" si="70"/>
        <v>#NUM!</v>
      </c>
      <c r="AO58" t="e" cm="1">
        <f t="array" ref="AO58">TRANSPOSE(MMULT(MINVERSE(_xlfn.WRAPCOLS(Y58:AG58,3)),TRANSPOSE(T58:V58)))</f>
        <v>#NUM!</v>
      </c>
      <c r="AP58" s="1"/>
      <c r="AQ58" s="1"/>
      <c r="AR58">
        <v>0</v>
      </c>
    </row>
    <row r="59" spans="1:44" x14ac:dyDescent="0.25">
      <c r="A59">
        <f t="shared" si="38"/>
        <v>48</v>
      </c>
      <c r="B59" s="1">
        <f t="shared" si="39"/>
        <v>4.7209899999999998E-8</v>
      </c>
      <c r="C59" s="1">
        <f t="shared" si="40"/>
        <v>1.09987E-3</v>
      </c>
      <c r="D59" s="1">
        <f t="shared" si="41"/>
        <v>1.7799999999999999E-6</v>
      </c>
      <c r="E59" s="1" t="e">
        <f t="shared" si="42"/>
        <v>#NUM!</v>
      </c>
      <c r="F59" s="1" t="e">
        <f t="shared" si="33"/>
        <v>#NUM!</v>
      </c>
      <c r="G59" s="1">
        <f t="shared" si="34"/>
        <v>7.3092358738902837E+62</v>
      </c>
      <c r="H59" s="1">
        <f t="shared" si="35"/>
        <v>7.3092358738902837E+62</v>
      </c>
      <c r="I59" s="1">
        <f t="shared" si="36"/>
        <v>2.6915348039269097E-8</v>
      </c>
      <c r="J59" s="1" t="e">
        <f t="shared" si="43"/>
        <v>#NUM!</v>
      </c>
      <c r="K59" s="1">
        <f t="shared" si="44"/>
        <v>4.9416499374615526E+60</v>
      </c>
      <c r="L59" s="1">
        <f t="shared" si="45"/>
        <v>3.7411058827205313E-7</v>
      </c>
      <c r="M59" s="1">
        <f t="shared" si="46"/>
        <v>4.1963526413567801E+65</v>
      </c>
      <c r="N59" s="1">
        <f t="shared" si="47"/>
        <v>2.5402237786948151E+64</v>
      </c>
      <c r="O59" s="1" t="e">
        <f t="shared" si="48"/>
        <v>#NUM!</v>
      </c>
      <c r="P59" s="1" t="e">
        <f t="shared" si="49"/>
        <v>#NUM!</v>
      </c>
      <c r="Q59" s="1" t="e">
        <f t="shared" si="50"/>
        <v>#NUM!</v>
      </c>
      <c r="R59" s="1" t="e">
        <f t="shared" si="51"/>
        <v>#NUM!</v>
      </c>
      <c r="S59" s="1" t="e">
        <f t="shared" si="52"/>
        <v>#NUM!</v>
      </c>
      <c r="T59" s="1" t="e">
        <f t="shared" si="53"/>
        <v>#NUM!</v>
      </c>
      <c r="U59" s="1" t="e">
        <f t="shared" si="54"/>
        <v>#NUM!</v>
      </c>
      <c r="V59" s="1" t="e">
        <f t="shared" si="55"/>
        <v>#NUM!</v>
      </c>
      <c r="W59" s="1" t="e">
        <f t="shared" si="56"/>
        <v>#NUM!</v>
      </c>
      <c r="X59" t="e" cm="1">
        <f t="array" ref="X59">MAX(ABS(T59:W59/B59:E59))</f>
        <v>#NUM!</v>
      </c>
      <c r="Y59" s="1">
        <f t="shared" si="57"/>
        <v>1.0037094578983654E+70</v>
      </c>
      <c r="Z59" s="1" t="e">
        <f t="shared" si="58"/>
        <v>#NUM!</v>
      </c>
      <c r="AA59" s="1" t="e">
        <f t="shared" si="59"/>
        <v>#NUM!</v>
      </c>
      <c r="AB59">
        <f t="shared" si="60"/>
        <v>8.2010975373508396E+69</v>
      </c>
      <c r="AC59" t="e">
        <f t="shared" si="61"/>
        <v>#NUM!</v>
      </c>
      <c r="AD59">
        <v>0</v>
      </c>
      <c r="AE59" s="9">
        <f t="shared" si="62"/>
        <v>1.8359970416328145E+69</v>
      </c>
      <c r="AF59">
        <f>0</f>
        <v>0</v>
      </c>
      <c r="AG59" s="1" t="e">
        <f t="shared" si="63"/>
        <v>#NUM!</v>
      </c>
      <c r="AH59" s="16" t="e">
        <f t="shared" si="64"/>
        <v>#NUM!</v>
      </c>
      <c r="AI59" s="16" t="e">
        <f t="shared" si="65"/>
        <v>#NUM!</v>
      </c>
      <c r="AJ59" s="13">
        <f t="shared" si="66"/>
        <v>1.8359970416328103E+67</v>
      </c>
      <c r="AK59" s="16">
        <f t="shared" si="67"/>
        <v>8.2010975373508396E+69</v>
      </c>
      <c r="AL59" s="16" t="e">
        <f t="shared" si="68"/>
        <v>#NUM!</v>
      </c>
      <c r="AM59" s="13">
        <f t="shared" si="69"/>
        <v>6.7608297539198143E-4</v>
      </c>
      <c r="AN59" s="13" t="e">
        <f t="shared" si="70"/>
        <v>#NUM!</v>
      </c>
      <c r="AO59" t="e" cm="1">
        <f t="array" ref="AO59">TRANSPOSE(MMULT(MINVERSE(_xlfn.WRAPCOLS(Y59:AG59,3)),TRANSPOSE(T59:V59)))</f>
        <v>#NUM!</v>
      </c>
      <c r="AP59" s="1"/>
      <c r="AQ59" s="1"/>
      <c r="AR59">
        <v>0</v>
      </c>
    </row>
    <row r="60" spans="1:44" x14ac:dyDescent="0.25">
      <c r="A60">
        <f t="shared" si="38"/>
        <v>49</v>
      </c>
      <c r="B60" s="1">
        <f t="shared" si="39"/>
        <v>4.7209899999999998E-8</v>
      </c>
      <c r="C60" s="1">
        <f t="shared" si="40"/>
        <v>1.09987E-3</v>
      </c>
      <c r="D60" s="1">
        <f t="shared" si="41"/>
        <v>1.7799999999999999E-6</v>
      </c>
      <c r="E60" s="1" t="e">
        <f t="shared" si="42"/>
        <v>#NUM!</v>
      </c>
      <c r="F60" s="1" t="e">
        <f t="shared" si="33"/>
        <v>#NUM!</v>
      </c>
      <c r="G60" s="1">
        <f t="shared" si="34"/>
        <v>7.3092358738902837E+62</v>
      </c>
      <c r="H60" s="1">
        <f t="shared" si="35"/>
        <v>7.3092358738902837E+62</v>
      </c>
      <c r="I60" s="1">
        <f t="shared" si="36"/>
        <v>2.6915348039269097E-8</v>
      </c>
      <c r="J60" s="1" t="e">
        <f t="shared" si="43"/>
        <v>#NUM!</v>
      </c>
      <c r="K60" s="1">
        <f t="shared" si="44"/>
        <v>4.9416499374615526E+60</v>
      </c>
      <c r="L60" s="1">
        <f t="shared" si="45"/>
        <v>3.7411058827205313E-7</v>
      </c>
      <c r="M60" s="1">
        <f t="shared" si="46"/>
        <v>4.1963526413567801E+65</v>
      </c>
      <c r="N60" s="1">
        <f t="shared" si="47"/>
        <v>2.5402237786948151E+64</v>
      </c>
      <c r="O60" s="1" t="e">
        <f t="shared" si="48"/>
        <v>#NUM!</v>
      </c>
      <c r="P60" s="1" t="e">
        <f t="shared" si="49"/>
        <v>#NUM!</v>
      </c>
      <c r="Q60" s="1" t="e">
        <f t="shared" si="50"/>
        <v>#NUM!</v>
      </c>
      <c r="R60" s="1" t="e">
        <f t="shared" si="51"/>
        <v>#NUM!</v>
      </c>
      <c r="S60" s="1" t="e">
        <f t="shared" si="52"/>
        <v>#NUM!</v>
      </c>
      <c r="T60" s="1" t="e">
        <f t="shared" si="53"/>
        <v>#NUM!</v>
      </c>
      <c r="U60" s="1" t="e">
        <f t="shared" si="54"/>
        <v>#NUM!</v>
      </c>
      <c r="V60" s="1" t="e">
        <f t="shared" si="55"/>
        <v>#NUM!</v>
      </c>
      <c r="W60" s="1" t="e">
        <f t="shared" si="56"/>
        <v>#NUM!</v>
      </c>
      <c r="X60" t="e" cm="1">
        <f t="array" ref="X60">MAX(ABS(T60:W60/B60:E60))</f>
        <v>#NUM!</v>
      </c>
      <c r="Y60" s="1">
        <f t="shared" si="57"/>
        <v>1.0037094578983654E+70</v>
      </c>
      <c r="Z60" s="1" t="e">
        <f t="shared" si="58"/>
        <v>#NUM!</v>
      </c>
      <c r="AA60" s="1" t="e">
        <f t="shared" si="59"/>
        <v>#NUM!</v>
      </c>
      <c r="AB60">
        <f t="shared" si="60"/>
        <v>8.2010975373508396E+69</v>
      </c>
      <c r="AC60" t="e">
        <f t="shared" si="61"/>
        <v>#NUM!</v>
      </c>
      <c r="AD60">
        <v>0</v>
      </c>
      <c r="AE60" s="9">
        <f t="shared" si="62"/>
        <v>1.8359970416328145E+69</v>
      </c>
      <c r="AF60">
        <f>0</f>
        <v>0</v>
      </c>
      <c r="AG60" s="1" t="e">
        <f t="shared" si="63"/>
        <v>#NUM!</v>
      </c>
      <c r="AH60" s="16" t="e">
        <f t="shared" si="64"/>
        <v>#NUM!</v>
      </c>
      <c r="AI60" s="16" t="e">
        <f t="shared" si="65"/>
        <v>#NUM!</v>
      </c>
      <c r="AJ60" s="13">
        <f t="shared" si="66"/>
        <v>1.8359970416328103E+67</v>
      </c>
      <c r="AK60" s="16">
        <f t="shared" si="67"/>
        <v>8.2010975373508396E+69</v>
      </c>
      <c r="AL60" s="16" t="e">
        <f t="shared" si="68"/>
        <v>#NUM!</v>
      </c>
      <c r="AM60" s="13">
        <f t="shared" si="69"/>
        <v>6.7608297539198143E-4</v>
      </c>
      <c r="AN60" s="13" t="e">
        <f t="shared" si="70"/>
        <v>#NUM!</v>
      </c>
      <c r="AO60" t="e" cm="1">
        <f t="array" ref="AO60">TRANSPOSE(MMULT(MINVERSE(_xlfn.WRAPCOLS(Y60:AG60,3)),TRANSPOSE(T60:V60)))</f>
        <v>#NUM!</v>
      </c>
      <c r="AP60" s="1"/>
      <c r="AQ60" s="1"/>
      <c r="AR60">
        <v>0</v>
      </c>
    </row>
    <row r="61" spans="1:44" x14ac:dyDescent="0.25">
      <c r="A61">
        <f t="shared" si="38"/>
        <v>50</v>
      </c>
      <c r="B61" s="1">
        <f t="shared" si="39"/>
        <v>4.7209899999999998E-8</v>
      </c>
      <c r="C61" s="1">
        <f t="shared" si="40"/>
        <v>1.09987E-3</v>
      </c>
      <c r="D61" s="1">
        <f t="shared" si="41"/>
        <v>1.7799999999999999E-6</v>
      </c>
      <c r="E61" s="1" t="e">
        <f t="shared" si="42"/>
        <v>#NUM!</v>
      </c>
      <c r="F61" s="1" t="e">
        <f t="shared" si="33"/>
        <v>#NUM!</v>
      </c>
      <c r="G61" s="1">
        <f t="shared" si="34"/>
        <v>7.3092358738902837E+62</v>
      </c>
      <c r="H61" s="1">
        <f t="shared" si="35"/>
        <v>7.3092358738902837E+62</v>
      </c>
      <c r="I61" s="1">
        <f t="shared" si="36"/>
        <v>2.6915348039269097E-8</v>
      </c>
      <c r="J61" s="1" t="e">
        <f t="shared" si="43"/>
        <v>#NUM!</v>
      </c>
      <c r="K61" s="1">
        <f t="shared" si="44"/>
        <v>4.9416499374615526E+60</v>
      </c>
      <c r="L61" s="1">
        <f t="shared" si="45"/>
        <v>3.7411058827205313E-7</v>
      </c>
      <c r="M61" s="1">
        <f t="shared" si="46"/>
        <v>4.1963526413567801E+65</v>
      </c>
      <c r="N61" s="1">
        <f t="shared" si="47"/>
        <v>2.5402237786948151E+64</v>
      </c>
      <c r="O61" s="1" t="e">
        <f t="shared" si="48"/>
        <v>#NUM!</v>
      </c>
      <c r="P61" s="1" t="e">
        <f t="shared" si="49"/>
        <v>#NUM!</v>
      </c>
      <c r="Q61" s="1" t="e">
        <f t="shared" si="50"/>
        <v>#NUM!</v>
      </c>
      <c r="R61" s="1" t="e">
        <f t="shared" si="51"/>
        <v>#NUM!</v>
      </c>
      <c r="S61" s="1" t="e">
        <f t="shared" si="52"/>
        <v>#NUM!</v>
      </c>
      <c r="T61" s="1" t="e">
        <f t="shared" si="53"/>
        <v>#NUM!</v>
      </c>
      <c r="U61" s="1" t="e">
        <f t="shared" si="54"/>
        <v>#NUM!</v>
      </c>
      <c r="V61" s="1" t="e">
        <f t="shared" si="55"/>
        <v>#NUM!</v>
      </c>
      <c r="W61" s="1" t="e">
        <f t="shared" si="56"/>
        <v>#NUM!</v>
      </c>
      <c r="X61" t="e" cm="1">
        <f t="array" ref="X61">MAX(ABS(T61:W61/B61:E61))</f>
        <v>#NUM!</v>
      </c>
      <c r="Y61" s="1">
        <f t="shared" si="57"/>
        <v>1.0037094578983654E+70</v>
      </c>
      <c r="Z61" s="1" t="e">
        <f t="shared" si="58"/>
        <v>#NUM!</v>
      </c>
      <c r="AA61" s="1" t="e">
        <f t="shared" si="59"/>
        <v>#NUM!</v>
      </c>
      <c r="AB61">
        <f t="shared" si="60"/>
        <v>8.2010975373508396E+69</v>
      </c>
      <c r="AC61" t="e">
        <f t="shared" si="61"/>
        <v>#NUM!</v>
      </c>
      <c r="AD61">
        <v>0</v>
      </c>
      <c r="AE61" s="9">
        <f t="shared" si="62"/>
        <v>1.8359970416328145E+69</v>
      </c>
      <c r="AF61">
        <f>0</f>
        <v>0</v>
      </c>
      <c r="AG61" s="1" t="e">
        <f t="shared" si="63"/>
        <v>#NUM!</v>
      </c>
      <c r="AH61" s="16" t="e">
        <f t="shared" si="64"/>
        <v>#NUM!</v>
      </c>
      <c r="AI61" s="16" t="e">
        <f t="shared" si="65"/>
        <v>#NUM!</v>
      </c>
      <c r="AJ61" s="13">
        <f t="shared" si="66"/>
        <v>1.8359970416328103E+67</v>
      </c>
      <c r="AK61" s="16">
        <f t="shared" si="67"/>
        <v>8.2010975373508396E+69</v>
      </c>
      <c r="AL61" s="16" t="e">
        <f t="shared" si="68"/>
        <v>#NUM!</v>
      </c>
      <c r="AM61" s="13">
        <f t="shared" si="69"/>
        <v>6.7608297539198143E-4</v>
      </c>
      <c r="AN61" s="13" t="e">
        <f t="shared" si="70"/>
        <v>#NUM!</v>
      </c>
      <c r="AO61" t="e" cm="1">
        <f t="array" ref="AO61">TRANSPOSE(MMULT(MINVERSE(_xlfn.WRAPCOLS(Y61:AG61,3)),TRANSPOSE(T61:V61)))</f>
        <v>#NUM!</v>
      </c>
      <c r="AP61" s="1"/>
      <c r="AQ61" s="1"/>
      <c r="AR61">
        <v>0</v>
      </c>
    </row>
    <row r="62" spans="1:44" x14ac:dyDescent="0.25">
      <c r="A62">
        <f t="shared" si="38"/>
        <v>51</v>
      </c>
      <c r="B62" s="1">
        <f t="shared" si="39"/>
        <v>4.7209899999999998E-8</v>
      </c>
      <c r="C62" s="1">
        <f t="shared" si="40"/>
        <v>1.09987E-3</v>
      </c>
      <c r="D62" s="1">
        <f t="shared" si="41"/>
        <v>1.7799999999999999E-6</v>
      </c>
      <c r="E62" s="1" t="e">
        <f t="shared" si="42"/>
        <v>#NUM!</v>
      </c>
      <c r="F62" s="1" t="e">
        <f t="shared" si="33"/>
        <v>#NUM!</v>
      </c>
      <c r="G62" s="1">
        <f t="shared" si="34"/>
        <v>7.3092358738902837E+62</v>
      </c>
      <c r="H62" s="1">
        <f t="shared" si="35"/>
        <v>7.3092358738902837E+62</v>
      </c>
      <c r="I62" s="1">
        <f t="shared" si="36"/>
        <v>2.6915348039269097E-8</v>
      </c>
      <c r="J62" s="1" t="e">
        <f t="shared" si="43"/>
        <v>#NUM!</v>
      </c>
      <c r="K62" s="1">
        <f t="shared" si="44"/>
        <v>4.9416499374615526E+60</v>
      </c>
      <c r="L62" s="1">
        <f t="shared" si="45"/>
        <v>3.7411058827205313E-7</v>
      </c>
      <c r="M62" s="1">
        <f t="shared" si="46"/>
        <v>4.1963526413567801E+65</v>
      </c>
      <c r="N62" s="1">
        <f t="shared" si="47"/>
        <v>2.5402237786948151E+64</v>
      </c>
      <c r="O62" s="1" t="e">
        <f t="shared" si="48"/>
        <v>#NUM!</v>
      </c>
      <c r="P62" s="1" t="e">
        <f t="shared" si="49"/>
        <v>#NUM!</v>
      </c>
      <c r="Q62" s="1" t="e">
        <f t="shared" si="50"/>
        <v>#NUM!</v>
      </c>
      <c r="R62" s="1" t="e">
        <f t="shared" si="51"/>
        <v>#NUM!</v>
      </c>
      <c r="S62" s="1" t="e">
        <f t="shared" si="52"/>
        <v>#NUM!</v>
      </c>
      <c r="T62" s="1" t="e">
        <f t="shared" si="53"/>
        <v>#NUM!</v>
      </c>
      <c r="U62" s="1" t="e">
        <f t="shared" si="54"/>
        <v>#NUM!</v>
      </c>
      <c r="V62" s="1" t="e">
        <f t="shared" si="55"/>
        <v>#NUM!</v>
      </c>
      <c r="W62" s="1" t="e">
        <f t="shared" si="56"/>
        <v>#NUM!</v>
      </c>
      <c r="X62" t="e" cm="1">
        <f t="array" ref="X62">MAX(ABS(T62:W62/B62:E62))</f>
        <v>#NUM!</v>
      </c>
      <c r="Y62" s="1">
        <f t="shared" si="57"/>
        <v>1.0037094578983654E+70</v>
      </c>
      <c r="Z62" s="1" t="e">
        <f t="shared" si="58"/>
        <v>#NUM!</v>
      </c>
      <c r="AA62" s="1" t="e">
        <f t="shared" si="59"/>
        <v>#NUM!</v>
      </c>
      <c r="AB62">
        <f t="shared" si="60"/>
        <v>8.2010975373508396E+69</v>
      </c>
      <c r="AC62" t="e">
        <f t="shared" si="61"/>
        <v>#NUM!</v>
      </c>
      <c r="AD62">
        <v>0</v>
      </c>
      <c r="AE62" s="9">
        <f t="shared" si="62"/>
        <v>1.8359970416328145E+69</v>
      </c>
      <c r="AF62">
        <f>0</f>
        <v>0</v>
      </c>
      <c r="AG62" s="1" t="e">
        <f t="shared" si="63"/>
        <v>#NUM!</v>
      </c>
      <c r="AH62" s="16" t="e">
        <f t="shared" si="64"/>
        <v>#NUM!</v>
      </c>
      <c r="AI62" s="16" t="e">
        <f t="shared" si="65"/>
        <v>#NUM!</v>
      </c>
      <c r="AJ62" s="13">
        <f t="shared" si="66"/>
        <v>1.8359970416328103E+67</v>
      </c>
      <c r="AK62" s="16">
        <f t="shared" si="67"/>
        <v>8.2010975373508396E+69</v>
      </c>
      <c r="AL62" s="16" t="e">
        <f t="shared" si="68"/>
        <v>#NUM!</v>
      </c>
      <c r="AM62" s="13">
        <f t="shared" si="69"/>
        <v>6.7608297539198143E-4</v>
      </c>
      <c r="AN62" s="13" t="e">
        <f t="shared" si="70"/>
        <v>#NUM!</v>
      </c>
      <c r="AO62" t="e" cm="1">
        <f t="array" ref="AO62">TRANSPOSE(MMULT(MINVERSE(_xlfn.WRAPCOLS(Y62:AG62,3)),TRANSPOSE(T62:V62)))</f>
        <v>#NUM!</v>
      </c>
      <c r="AP62" s="1"/>
      <c r="AQ62" s="1"/>
      <c r="AR62">
        <v>0</v>
      </c>
    </row>
    <row r="63" spans="1:44" x14ac:dyDescent="0.25">
      <c r="A63">
        <f t="shared" si="38"/>
        <v>52</v>
      </c>
      <c r="B63" s="1">
        <f t="shared" si="39"/>
        <v>4.7209899999999998E-8</v>
      </c>
      <c r="C63" s="1">
        <f t="shared" si="40"/>
        <v>1.09987E-3</v>
      </c>
      <c r="D63" s="1">
        <f t="shared" si="41"/>
        <v>1.7799999999999999E-6</v>
      </c>
      <c r="E63" s="1" t="e">
        <f t="shared" si="42"/>
        <v>#NUM!</v>
      </c>
      <c r="F63" s="1" t="e">
        <f t="shared" si="33"/>
        <v>#NUM!</v>
      </c>
      <c r="G63" s="1">
        <f t="shared" si="34"/>
        <v>7.3092358738902837E+62</v>
      </c>
      <c r="H63" s="1">
        <f t="shared" si="35"/>
        <v>7.3092358738902837E+62</v>
      </c>
      <c r="I63" s="1">
        <f t="shared" si="36"/>
        <v>2.6915348039269097E-8</v>
      </c>
      <c r="J63" s="1" t="e">
        <f t="shared" si="43"/>
        <v>#NUM!</v>
      </c>
      <c r="K63" s="1">
        <f t="shared" si="44"/>
        <v>4.9416499374615526E+60</v>
      </c>
      <c r="L63" s="1">
        <f t="shared" si="45"/>
        <v>3.7411058827205313E-7</v>
      </c>
      <c r="M63" s="1">
        <f t="shared" si="46"/>
        <v>4.1963526413567801E+65</v>
      </c>
      <c r="N63" s="1">
        <f t="shared" si="47"/>
        <v>2.5402237786948151E+64</v>
      </c>
      <c r="O63" s="1" t="e">
        <f t="shared" si="48"/>
        <v>#NUM!</v>
      </c>
      <c r="P63" s="1" t="e">
        <f t="shared" si="49"/>
        <v>#NUM!</v>
      </c>
      <c r="Q63" s="1" t="e">
        <f t="shared" si="50"/>
        <v>#NUM!</v>
      </c>
      <c r="R63" s="1" t="e">
        <f t="shared" si="51"/>
        <v>#NUM!</v>
      </c>
      <c r="S63" s="1" t="e">
        <f t="shared" si="52"/>
        <v>#NUM!</v>
      </c>
      <c r="T63" s="1" t="e">
        <f t="shared" si="53"/>
        <v>#NUM!</v>
      </c>
      <c r="U63" s="1" t="e">
        <f t="shared" si="54"/>
        <v>#NUM!</v>
      </c>
      <c r="V63" s="1" t="e">
        <f t="shared" si="55"/>
        <v>#NUM!</v>
      </c>
      <c r="W63" s="1" t="e">
        <f t="shared" si="56"/>
        <v>#NUM!</v>
      </c>
      <c r="X63" t="e" cm="1">
        <f t="array" ref="X63">MAX(ABS(T63:W63/B63:E63))</f>
        <v>#NUM!</v>
      </c>
      <c r="Y63" s="1">
        <f t="shared" si="57"/>
        <v>1.0037094578983654E+70</v>
      </c>
      <c r="Z63" s="1" t="e">
        <f t="shared" si="58"/>
        <v>#NUM!</v>
      </c>
      <c r="AA63" s="1" t="e">
        <f t="shared" si="59"/>
        <v>#NUM!</v>
      </c>
      <c r="AB63">
        <f t="shared" si="60"/>
        <v>8.2010975373508396E+69</v>
      </c>
      <c r="AC63" t="e">
        <f t="shared" si="61"/>
        <v>#NUM!</v>
      </c>
      <c r="AD63">
        <v>0</v>
      </c>
      <c r="AE63" s="9">
        <f t="shared" si="62"/>
        <v>1.8359970416328145E+69</v>
      </c>
      <c r="AF63">
        <f>0</f>
        <v>0</v>
      </c>
      <c r="AG63" s="1" t="e">
        <f t="shared" si="63"/>
        <v>#NUM!</v>
      </c>
      <c r="AH63" s="16" t="e">
        <f t="shared" si="64"/>
        <v>#NUM!</v>
      </c>
      <c r="AI63" s="16" t="e">
        <f t="shared" si="65"/>
        <v>#NUM!</v>
      </c>
      <c r="AJ63" s="13">
        <f t="shared" si="66"/>
        <v>1.8359970416328103E+67</v>
      </c>
      <c r="AK63" s="16">
        <f t="shared" si="67"/>
        <v>8.2010975373508396E+69</v>
      </c>
      <c r="AL63" s="16" t="e">
        <f t="shared" si="68"/>
        <v>#NUM!</v>
      </c>
      <c r="AM63" s="13">
        <f t="shared" si="69"/>
        <v>6.7608297539198143E-4</v>
      </c>
      <c r="AN63" s="13" t="e">
        <f t="shared" si="70"/>
        <v>#NUM!</v>
      </c>
      <c r="AO63" t="e" cm="1">
        <f t="array" ref="AO63">TRANSPOSE(MMULT(MINVERSE(_xlfn.WRAPCOLS(Y63:AG63,3)),TRANSPOSE(T63:V63)))</f>
        <v>#NUM!</v>
      </c>
      <c r="AP63" s="1"/>
      <c r="AQ63" s="1"/>
      <c r="AR63">
        <v>0</v>
      </c>
    </row>
    <row r="64" spans="1:44" x14ac:dyDescent="0.25">
      <c r="A64">
        <f t="shared" si="38"/>
        <v>53</v>
      </c>
      <c r="B64" s="1">
        <f t="shared" si="39"/>
        <v>4.7209899999999998E-8</v>
      </c>
      <c r="C64" s="1">
        <f t="shared" si="40"/>
        <v>1.09987E-3</v>
      </c>
      <c r="D64" s="1">
        <f t="shared" si="41"/>
        <v>1.7799999999999999E-6</v>
      </c>
      <c r="E64" s="1" t="e">
        <f t="shared" si="42"/>
        <v>#NUM!</v>
      </c>
      <c r="F64" s="1" t="e">
        <f t="shared" si="33"/>
        <v>#NUM!</v>
      </c>
      <c r="G64" s="1">
        <f t="shared" si="34"/>
        <v>7.3092358738902837E+62</v>
      </c>
      <c r="H64" s="1">
        <f t="shared" si="35"/>
        <v>7.3092358738902837E+62</v>
      </c>
      <c r="I64" s="1">
        <f t="shared" si="36"/>
        <v>2.6915348039269097E-8</v>
      </c>
      <c r="J64" s="1" t="e">
        <f t="shared" si="43"/>
        <v>#NUM!</v>
      </c>
      <c r="K64" s="1">
        <f t="shared" si="44"/>
        <v>4.9416499374615526E+60</v>
      </c>
      <c r="L64" s="1">
        <f t="shared" si="45"/>
        <v>3.7411058827205313E-7</v>
      </c>
      <c r="M64" s="1">
        <f t="shared" si="46"/>
        <v>4.1963526413567801E+65</v>
      </c>
      <c r="N64" s="1">
        <f t="shared" si="47"/>
        <v>2.5402237786948151E+64</v>
      </c>
      <c r="O64" s="1" t="e">
        <f t="shared" si="48"/>
        <v>#NUM!</v>
      </c>
      <c r="P64" s="1" t="e">
        <f t="shared" si="49"/>
        <v>#NUM!</v>
      </c>
      <c r="Q64" s="1" t="e">
        <f t="shared" si="50"/>
        <v>#NUM!</v>
      </c>
      <c r="R64" s="1" t="e">
        <f t="shared" si="51"/>
        <v>#NUM!</v>
      </c>
      <c r="S64" s="1" t="e">
        <f t="shared" si="52"/>
        <v>#NUM!</v>
      </c>
      <c r="T64" s="1" t="e">
        <f t="shared" si="53"/>
        <v>#NUM!</v>
      </c>
      <c r="U64" s="1" t="e">
        <f t="shared" si="54"/>
        <v>#NUM!</v>
      </c>
      <c r="V64" s="1" t="e">
        <f t="shared" si="55"/>
        <v>#NUM!</v>
      </c>
      <c r="W64" s="1" t="e">
        <f t="shared" si="56"/>
        <v>#NUM!</v>
      </c>
      <c r="X64" t="e" cm="1">
        <f t="array" ref="X64">MAX(ABS(T64:W64/B64:E64))</f>
        <v>#NUM!</v>
      </c>
      <c r="Y64" s="1">
        <f t="shared" si="57"/>
        <v>1.0037094578983654E+70</v>
      </c>
      <c r="Z64" s="1" t="e">
        <f t="shared" si="58"/>
        <v>#NUM!</v>
      </c>
      <c r="AA64" s="1" t="e">
        <f t="shared" si="59"/>
        <v>#NUM!</v>
      </c>
      <c r="AB64">
        <f t="shared" si="60"/>
        <v>8.2010975373508396E+69</v>
      </c>
      <c r="AC64" t="e">
        <f t="shared" si="61"/>
        <v>#NUM!</v>
      </c>
      <c r="AD64">
        <v>0</v>
      </c>
      <c r="AE64" s="9">
        <f t="shared" si="62"/>
        <v>1.8359970416328145E+69</v>
      </c>
      <c r="AF64">
        <f>0</f>
        <v>0</v>
      </c>
      <c r="AG64" s="1" t="e">
        <f t="shared" si="63"/>
        <v>#NUM!</v>
      </c>
      <c r="AH64" s="16" t="e">
        <f t="shared" si="64"/>
        <v>#NUM!</v>
      </c>
      <c r="AI64" s="16" t="e">
        <f t="shared" si="65"/>
        <v>#NUM!</v>
      </c>
      <c r="AJ64" s="13">
        <f t="shared" si="66"/>
        <v>1.8359970416328103E+67</v>
      </c>
      <c r="AK64" s="16">
        <f t="shared" si="67"/>
        <v>8.2010975373508396E+69</v>
      </c>
      <c r="AL64" s="16" t="e">
        <f t="shared" si="68"/>
        <v>#NUM!</v>
      </c>
      <c r="AM64" s="13">
        <f t="shared" si="69"/>
        <v>6.7608297539198143E-4</v>
      </c>
      <c r="AN64" s="13" t="e">
        <f t="shared" si="70"/>
        <v>#NUM!</v>
      </c>
      <c r="AO64" t="e" cm="1">
        <f t="array" ref="AO64">TRANSPOSE(MMULT(MINVERSE(_xlfn.WRAPCOLS(Y64:AG64,3)),TRANSPOSE(T64:V64)))</f>
        <v>#NUM!</v>
      </c>
      <c r="AP64" s="1"/>
      <c r="AQ64" s="1"/>
      <c r="AR64">
        <v>0</v>
      </c>
    </row>
    <row r="65" spans="1:44" x14ac:dyDescent="0.25">
      <c r="A65">
        <f t="shared" si="38"/>
        <v>54</v>
      </c>
      <c r="B65" s="1">
        <f t="shared" si="39"/>
        <v>4.7209899999999998E-8</v>
      </c>
      <c r="C65" s="1">
        <f t="shared" si="40"/>
        <v>1.09987E-3</v>
      </c>
      <c r="D65" s="1">
        <f t="shared" si="41"/>
        <v>1.7799999999999999E-6</v>
      </c>
      <c r="E65" s="1" t="e">
        <f t="shared" si="42"/>
        <v>#NUM!</v>
      </c>
      <c r="F65" s="1" t="e">
        <f t="shared" si="33"/>
        <v>#NUM!</v>
      </c>
      <c r="G65" s="1">
        <f t="shared" si="34"/>
        <v>7.3092358738902837E+62</v>
      </c>
      <c r="H65" s="1">
        <f t="shared" si="35"/>
        <v>7.3092358738902837E+62</v>
      </c>
      <c r="I65" s="1">
        <f t="shared" si="36"/>
        <v>2.6915348039269097E-8</v>
      </c>
      <c r="J65" s="1" t="e">
        <f t="shared" si="43"/>
        <v>#NUM!</v>
      </c>
      <c r="K65" s="1">
        <f t="shared" si="44"/>
        <v>4.9416499374615526E+60</v>
      </c>
      <c r="L65" s="1">
        <f t="shared" si="45"/>
        <v>3.7411058827205313E-7</v>
      </c>
      <c r="M65" s="1">
        <f t="shared" si="46"/>
        <v>4.1963526413567801E+65</v>
      </c>
      <c r="N65" s="1">
        <f t="shared" si="47"/>
        <v>2.5402237786948151E+64</v>
      </c>
      <c r="O65" s="1" t="e">
        <f t="shared" si="48"/>
        <v>#NUM!</v>
      </c>
      <c r="P65" s="1" t="e">
        <f t="shared" si="49"/>
        <v>#NUM!</v>
      </c>
      <c r="Q65" s="1" t="e">
        <f t="shared" si="50"/>
        <v>#NUM!</v>
      </c>
      <c r="R65" s="1" t="e">
        <f t="shared" si="51"/>
        <v>#NUM!</v>
      </c>
      <c r="S65" s="1" t="e">
        <f t="shared" si="52"/>
        <v>#NUM!</v>
      </c>
      <c r="T65" s="1" t="e">
        <f t="shared" si="53"/>
        <v>#NUM!</v>
      </c>
      <c r="U65" s="1" t="e">
        <f t="shared" si="54"/>
        <v>#NUM!</v>
      </c>
      <c r="V65" s="1" t="e">
        <f t="shared" si="55"/>
        <v>#NUM!</v>
      </c>
      <c r="W65" s="1" t="e">
        <f t="shared" si="56"/>
        <v>#NUM!</v>
      </c>
      <c r="X65" t="e" cm="1">
        <f t="array" ref="X65">MAX(ABS(T65:W65/B65:E65))</f>
        <v>#NUM!</v>
      </c>
      <c r="Y65" s="1">
        <f t="shared" si="57"/>
        <v>1.0037094578983654E+70</v>
      </c>
      <c r="Z65" s="1" t="e">
        <f t="shared" si="58"/>
        <v>#NUM!</v>
      </c>
      <c r="AA65" s="1" t="e">
        <f t="shared" si="59"/>
        <v>#NUM!</v>
      </c>
      <c r="AB65">
        <f t="shared" si="60"/>
        <v>8.2010975373508396E+69</v>
      </c>
      <c r="AC65" t="e">
        <f t="shared" si="61"/>
        <v>#NUM!</v>
      </c>
      <c r="AD65">
        <v>0</v>
      </c>
      <c r="AE65" s="9">
        <f t="shared" si="62"/>
        <v>1.8359970416328145E+69</v>
      </c>
      <c r="AF65">
        <f>0</f>
        <v>0</v>
      </c>
      <c r="AG65" s="1" t="e">
        <f t="shared" si="63"/>
        <v>#NUM!</v>
      </c>
      <c r="AH65" s="16" t="e">
        <f t="shared" si="64"/>
        <v>#NUM!</v>
      </c>
      <c r="AI65" s="16" t="e">
        <f t="shared" si="65"/>
        <v>#NUM!</v>
      </c>
      <c r="AJ65" s="13">
        <f t="shared" si="66"/>
        <v>1.8359970416328103E+67</v>
      </c>
      <c r="AK65" s="16">
        <f t="shared" si="67"/>
        <v>8.2010975373508396E+69</v>
      </c>
      <c r="AL65" s="16" t="e">
        <f t="shared" si="68"/>
        <v>#NUM!</v>
      </c>
      <c r="AM65" s="13">
        <f t="shared" si="69"/>
        <v>6.7608297539198143E-4</v>
      </c>
      <c r="AN65" s="13" t="e">
        <f t="shared" si="70"/>
        <v>#NUM!</v>
      </c>
      <c r="AO65" t="e" cm="1">
        <f t="array" ref="AO65">TRANSPOSE(MMULT(MINVERSE(_xlfn.WRAPCOLS(Y65:AG65,3)),TRANSPOSE(T65:V65)))</f>
        <v>#NUM!</v>
      </c>
      <c r="AP65" s="1"/>
      <c r="AQ65" s="1"/>
      <c r="AR65">
        <v>0</v>
      </c>
    </row>
    <row r="66" spans="1:44" x14ac:dyDescent="0.25">
      <c r="A66">
        <f t="shared" si="38"/>
        <v>55</v>
      </c>
      <c r="B66" s="1">
        <f t="shared" si="39"/>
        <v>4.7209899999999998E-8</v>
      </c>
      <c r="C66" s="1">
        <f t="shared" si="40"/>
        <v>1.09987E-3</v>
      </c>
      <c r="D66" s="1">
        <f t="shared" si="41"/>
        <v>1.7799999999999999E-6</v>
      </c>
      <c r="E66" s="1" t="e">
        <f t="shared" si="42"/>
        <v>#NUM!</v>
      </c>
      <c r="F66" s="1" t="e">
        <f t="shared" si="33"/>
        <v>#NUM!</v>
      </c>
      <c r="G66" s="1">
        <f t="shared" si="34"/>
        <v>7.3092358738902837E+62</v>
      </c>
      <c r="H66" s="1">
        <f t="shared" si="35"/>
        <v>7.3092358738902837E+62</v>
      </c>
      <c r="I66" s="1">
        <f t="shared" si="36"/>
        <v>2.6915348039269097E-8</v>
      </c>
      <c r="J66" s="1" t="e">
        <f t="shared" si="43"/>
        <v>#NUM!</v>
      </c>
      <c r="K66" s="1">
        <f t="shared" si="44"/>
        <v>4.9416499374615526E+60</v>
      </c>
      <c r="L66" s="1">
        <f t="shared" si="45"/>
        <v>3.7411058827205313E-7</v>
      </c>
      <c r="M66" s="1">
        <f t="shared" si="46"/>
        <v>4.1963526413567801E+65</v>
      </c>
      <c r="N66" s="1">
        <f t="shared" si="47"/>
        <v>2.5402237786948151E+64</v>
      </c>
      <c r="O66" s="1" t="e">
        <f t="shared" si="48"/>
        <v>#NUM!</v>
      </c>
      <c r="P66" s="1" t="e">
        <f t="shared" si="49"/>
        <v>#NUM!</v>
      </c>
      <c r="Q66" s="1" t="e">
        <f t="shared" si="50"/>
        <v>#NUM!</v>
      </c>
      <c r="R66" s="1" t="e">
        <f t="shared" si="51"/>
        <v>#NUM!</v>
      </c>
      <c r="S66" s="1" t="e">
        <f t="shared" si="52"/>
        <v>#NUM!</v>
      </c>
      <c r="T66" s="1" t="e">
        <f t="shared" si="53"/>
        <v>#NUM!</v>
      </c>
      <c r="U66" s="1" t="e">
        <f t="shared" si="54"/>
        <v>#NUM!</v>
      </c>
      <c r="V66" s="1" t="e">
        <f t="shared" si="55"/>
        <v>#NUM!</v>
      </c>
      <c r="W66" s="1" t="e">
        <f t="shared" si="56"/>
        <v>#NUM!</v>
      </c>
      <c r="X66" t="e" cm="1">
        <f t="array" ref="X66">MAX(ABS(T66:W66/B66:E66))</f>
        <v>#NUM!</v>
      </c>
      <c r="Y66" s="1">
        <f t="shared" si="57"/>
        <v>1.0037094578983654E+70</v>
      </c>
      <c r="Z66" s="1" t="e">
        <f t="shared" si="58"/>
        <v>#NUM!</v>
      </c>
      <c r="AA66" s="1" t="e">
        <f t="shared" si="59"/>
        <v>#NUM!</v>
      </c>
      <c r="AB66">
        <f t="shared" si="60"/>
        <v>8.2010975373508396E+69</v>
      </c>
      <c r="AC66" t="e">
        <f t="shared" si="61"/>
        <v>#NUM!</v>
      </c>
      <c r="AD66">
        <v>0</v>
      </c>
      <c r="AE66" s="9">
        <f t="shared" si="62"/>
        <v>1.8359970416328145E+69</v>
      </c>
      <c r="AF66">
        <f>0</f>
        <v>0</v>
      </c>
      <c r="AG66" s="1" t="e">
        <f t="shared" si="63"/>
        <v>#NUM!</v>
      </c>
      <c r="AH66" s="16" t="e">
        <f t="shared" si="64"/>
        <v>#NUM!</v>
      </c>
      <c r="AI66" s="16" t="e">
        <f t="shared" si="65"/>
        <v>#NUM!</v>
      </c>
      <c r="AJ66" s="13">
        <f t="shared" si="66"/>
        <v>1.8359970416328103E+67</v>
      </c>
      <c r="AK66" s="16">
        <f t="shared" si="67"/>
        <v>8.2010975373508396E+69</v>
      </c>
      <c r="AL66" s="16" t="e">
        <f t="shared" si="68"/>
        <v>#NUM!</v>
      </c>
      <c r="AM66" s="13">
        <f t="shared" si="69"/>
        <v>6.7608297539198143E-4</v>
      </c>
      <c r="AN66" s="13" t="e">
        <f t="shared" si="70"/>
        <v>#NUM!</v>
      </c>
      <c r="AO66" t="e" cm="1">
        <f t="array" ref="AO66">TRANSPOSE(MMULT(MINVERSE(_xlfn.WRAPCOLS(Y66:AG66,3)),TRANSPOSE(T66:V66)))</f>
        <v>#NUM!</v>
      </c>
      <c r="AP66" s="1"/>
      <c r="AQ66" s="1"/>
      <c r="AR66">
        <v>0</v>
      </c>
    </row>
    <row r="67" spans="1:44" x14ac:dyDescent="0.25">
      <c r="A67">
        <f t="shared" si="38"/>
        <v>56</v>
      </c>
      <c r="B67" s="1">
        <f t="shared" si="39"/>
        <v>4.7209899999999998E-8</v>
      </c>
      <c r="C67" s="1">
        <f t="shared" si="40"/>
        <v>1.09987E-3</v>
      </c>
      <c r="D67" s="1">
        <f t="shared" si="41"/>
        <v>1.7799999999999999E-6</v>
      </c>
      <c r="E67" s="1" t="e">
        <f t="shared" si="42"/>
        <v>#NUM!</v>
      </c>
      <c r="F67" s="1" t="e">
        <f t="shared" si="33"/>
        <v>#NUM!</v>
      </c>
      <c r="G67" s="1">
        <f t="shared" si="34"/>
        <v>7.3092358738902837E+62</v>
      </c>
      <c r="H67" s="1">
        <f t="shared" si="35"/>
        <v>7.3092358738902837E+62</v>
      </c>
      <c r="I67" s="1">
        <f t="shared" si="36"/>
        <v>2.6915348039269097E-8</v>
      </c>
      <c r="J67" s="1" t="e">
        <f t="shared" si="43"/>
        <v>#NUM!</v>
      </c>
      <c r="K67" s="1">
        <f t="shared" si="44"/>
        <v>4.9416499374615526E+60</v>
      </c>
      <c r="L67" s="1">
        <f t="shared" si="45"/>
        <v>3.7411058827205313E-7</v>
      </c>
      <c r="M67" s="1">
        <f t="shared" si="46"/>
        <v>4.1963526413567801E+65</v>
      </c>
      <c r="N67" s="1">
        <f t="shared" si="47"/>
        <v>2.5402237786948151E+64</v>
      </c>
      <c r="O67" s="1" t="e">
        <f t="shared" si="48"/>
        <v>#NUM!</v>
      </c>
      <c r="P67" s="1" t="e">
        <f t="shared" si="49"/>
        <v>#NUM!</v>
      </c>
      <c r="Q67" s="1" t="e">
        <f t="shared" si="50"/>
        <v>#NUM!</v>
      </c>
      <c r="R67" s="1" t="e">
        <f t="shared" si="51"/>
        <v>#NUM!</v>
      </c>
      <c r="S67" s="1" t="e">
        <f t="shared" si="52"/>
        <v>#NUM!</v>
      </c>
      <c r="T67" s="1" t="e">
        <f t="shared" si="53"/>
        <v>#NUM!</v>
      </c>
      <c r="U67" s="1" t="e">
        <f t="shared" si="54"/>
        <v>#NUM!</v>
      </c>
      <c r="V67" s="1" t="e">
        <f t="shared" si="55"/>
        <v>#NUM!</v>
      </c>
      <c r="W67" s="1" t="e">
        <f t="shared" si="56"/>
        <v>#NUM!</v>
      </c>
      <c r="X67" t="e" cm="1">
        <f t="array" ref="X67">MAX(ABS(T67:W67/B67:E67))</f>
        <v>#NUM!</v>
      </c>
      <c r="Y67" s="1">
        <f t="shared" si="57"/>
        <v>1.0037094578983654E+70</v>
      </c>
      <c r="Z67" s="1" t="e">
        <f t="shared" si="58"/>
        <v>#NUM!</v>
      </c>
      <c r="AA67" s="1" t="e">
        <f t="shared" si="59"/>
        <v>#NUM!</v>
      </c>
      <c r="AB67">
        <f t="shared" si="60"/>
        <v>8.2010975373508396E+69</v>
      </c>
      <c r="AC67" t="e">
        <f t="shared" si="61"/>
        <v>#NUM!</v>
      </c>
      <c r="AD67">
        <v>0</v>
      </c>
      <c r="AE67" s="9">
        <f t="shared" si="62"/>
        <v>1.8359970416328145E+69</v>
      </c>
      <c r="AF67">
        <f>0</f>
        <v>0</v>
      </c>
      <c r="AG67" s="1" t="e">
        <f t="shared" si="63"/>
        <v>#NUM!</v>
      </c>
      <c r="AH67" s="16" t="e">
        <f t="shared" si="64"/>
        <v>#NUM!</v>
      </c>
      <c r="AI67" s="16" t="e">
        <f t="shared" si="65"/>
        <v>#NUM!</v>
      </c>
      <c r="AJ67" s="13">
        <f t="shared" si="66"/>
        <v>1.8359970416328103E+67</v>
      </c>
      <c r="AK67" s="16">
        <f t="shared" si="67"/>
        <v>8.2010975373508396E+69</v>
      </c>
      <c r="AL67" s="16" t="e">
        <f t="shared" si="68"/>
        <v>#NUM!</v>
      </c>
      <c r="AM67" s="13">
        <f t="shared" si="69"/>
        <v>6.7608297539198143E-4</v>
      </c>
      <c r="AN67" s="13" t="e">
        <f t="shared" si="70"/>
        <v>#NUM!</v>
      </c>
      <c r="AO67" t="e" cm="1">
        <f t="array" ref="AO67">TRANSPOSE(MMULT(MINVERSE(_xlfn.WRAPCOLS(Y67:AG67,3)),TRANSPOSE(T67:V67)))</f>
        <v>#NUM!</v>
      </c>
      <c r="AP67" s="1"/>
      <c r="AQ67" s="1"/>
      <c r="AR67">
        <v>0</v>
      </c>
    </row>
    <row r="68" spans="1:44" x14ac:dyDescent="0.25">
      <c r="A68">
        <f t="shared" si="38"/>
        <v>57</v>
      </c>
      <c r="B68" s="1">
        <f t="shared" si="39"/>
        <v>4.7209899999999998E-8</v>
      </c>
      <c r="C68" s="1">
        <f t="shared" si="40"/>
        <v>1.09987E-3</v>
      </c>
      <c r="D68" s="1">
        <f t="shared" si="41"/>
        <v>1.7799999999999999E-6</v>
      </c>
      <c r="E68" s="1" t="e">
        <f t="shared" si="42"/>
        <v>#NUM!</v>
      </c>
      <c r="F68" s="1" t="e">
        <f t="shared" si="33"/>
        <v>#NUM!</v>
      </c>
      <c r="G68" s="1">
        <f t="shared" si="34"/>
        <v>7.3092358738902837E+62</v>
      </c>
      <c r="H68" s="1">
        <f t="shared" si="35"/>
        <v>7.3092358738902837E+62</v>
      </c>
      <c r="I68" s="1">
        <f t="shared" si="36"/>
        <v>2.6915348039269097E-8</v>
      </c>
      <c r="J68" s="1" t="e">
        <f t="shared" si="43"/>
        <v>#NUM!</v>
      </c>
      <c r="K68" s="1">
        <f t="shared" si="44"/>
        <v>4.9416499374615526E+60</v>
      </c>
      <c r="L68" s="1">
        <f t="shared" si="45"/>
        <v>3.7411058827205313E-7</v>
      </c>
      <c r="M68" s="1">
        <f t="shared" si="46"/>
        <v>4.1963526413567801E+65</v>
      </c>
      <c r="N68" s="1">
        <f t="shared" si="47"/>
        <v>2.5402237786948151E+64</v>
      </c>
      <c r="O68" s="1" t="e">
        <f t="shared" si="48"/>
        <v>#NUM!</v>
      </c>
      <c r="P68" s="1" t="e">
        <f t="shared" si="49"/>
        <v>#NUM!</v>
      </c>
      <c r="Q68" s="1" t="e">
        <f t="shared" si="50"/>
        <v>#NUM!</v>
      </c>
      <c r="R68" s="1" t="e">
        <f t="shared" si="51"/>
        <v>#NUM!</v>
      </c>
      <c r="S68" s="1" t="e">
        <f t="shared" si="52"/>
        <v>#NUM!</v>
      </c>
      <c r="T68" s="1" t="e">
        <f t="shared" si="53"/>
        <v>#NUM!</v>
      </c>
      <c r="U68" s="1" t="e">
        <f t="shared" si="54"/>
        <v>#NUM!</v>
      </c>
      <c r="V68" s="1" t="e">
        <f t="shared" si="55"/>
        <v>#NUM!</v>
      </c>
      <c r="W68" s="1" t="e">
        <f t="shared" si="56"/>
        <v>#NUM!</v>
      </c>
      <c r="X68" t="e" cm="1">
        <f t="array" ref="X68">MAX(ABS(T68:W68/B68:E68))</f>
        <v>#NUM!</v>
      </c>
      <c r="Y68" s="1">
        <f t="shared" si="57"/>
        <v>1.0037094578983654E+70</v>
      </c>
      <c r="Z68" s="1" t="e">
        <f t="shared" si="58"/>
        <v>#NUM!</v>
      </c>
      <c r="AA68" s="1" t="e">
        <f t="shared" si="59"/>
        <v>#NUM!</v>
      </c>
      <c r="AB68">
        <f t="shared" si="60"/>
        <v>8.2010975373508396E+69</v>
      </c>
      <c r="AC68" t="e">
        <f t="shared" si="61"/>
        <v>#NUM!</v>
      </c>
      <c r="AD68">
        <v>0</v>
      </c>
      <c r="AE68" s="9">
        <f t="shared" si="62"/>
        <v>1.8359970416328145E+69</v>
      </c>
      <c r="AF68">
        <f>0</f>
        <v>0</v>
      </c>
      <c r="AG68" s="1" t="e">
        <f t="shared" si="63"/>
        <v>#NUM!</v>
      </c>
      <c r="AH68" s="16" t="e">
        <f t="shared" si="64"/>
        <v>#NUM!</v>
      </c>
      <c r="AI68" s="16" t="e">
        <f t="shared" si="65"/>
        <v>#NUM!</v>
      </c>
      <c r="AJ68" s="13">
        <f t="shared" si="66"/>
        <v>1.8359970416328103E+67</v>
      </c>
      <c r="AK68" s="16">
        <f t="shared" si="67"/>
        <v>8.2010975373508396E+69</v>
      </c>
      <c r="AL68" s="16" t="e">
        <f t="shared" si="68"/>
        <v>#NUM!</v>
      </c>
      <c r="AM68" s="13">
        <f t="shared" si="69"/>
        <v>6.7608297539198143E-4</v>
      </c>
      <c r="AN68" s="13" t="e">
        <f t="shared" si="70"/>
        <v>#NUM!</v>
      </c>
      <c r="AO68" t="e" cm="1">
        <f t="array" ref="AO68">TRANSPOSE(MMULT(MINVERSE(_xlfn.WRAPCOLS(Y68:AG68,3)),TRANSPOSE(T68:V68)))</f>
        <v>#NUM!</v>
      </c>
      <c r="AP68" s="1"/>
      <c r="AQ68" s="1"/>
      <c r="AR68">
        <v>0</v>
      </c>
    </row>
    <row r="69" spans="1:44" x14ac:dyDescent="0.25">
      <c r="A69">
        <f t="shared" si="38"/>
        <v>58</v>
      </c>
      <c r="B69" s="1">
        <f t="shared" si="39"/>
        <v>4.7209899999999998E-8</v>
      </c>
      <c r="C69" s="1">
        <f t="shared" si="40"/>
        <v>1.09987E-3</v>
      </c>
      <c r="D69" s="1">
        <f t="shared" si="41"/>
        <v>1.7799999999999999E-6</v>
      </c>
      <c r="E69" s="1" t="e">
        <f t="shared" si="42"/>
        <v>#NUM!</v>
      </c>
      <c r="F69" s="1" t="e">
        <f t="shared" si="33"/>
        <v>#NUM!</v>
      </c>
      <c r="G69" s="1">
        <f t="shared" si="34"/>
        <v>7.3092358738902837E+62</v>
      </c>
      <c r="H69" s="1">
        <f t="shared" si="35"/>
        <v>7.3092358738902837E+62</v>
      </c>
      <c r="I69" s="1">
        <f t="shared" si="36"/>
        <v>2.6915348039269097E-8</v>
      </c>
      <c r="J69" s="1" t="e">
        <f t="shared" si="43"/>
        <v>#NUM!</v>
      </c>
      <c r="K69" s="1">
        <f t="shared" si="44"/>
        <v>4.9416499374615526E+60</v>
      </c>
      <c r="L69" s="1">
        <f t="shared" si="45"/>
        <v>3.7411058827205313E-7</v>
      </c>
      <c r="M69" s="1">
        <f t="shared" si="46"/>
        <v>4.1963526413567801E+65</v>
      </c>
      <c r="N69" s="1">
        <f t="shared" si="47"/>
        <v>2.5402237786948151E+64</v>
      </c>
      <c r="O69" s="1" t="e">
        <f t="shared" si="48"/>
        <v>#NUM!</v>
      </c>
      <c r="P69" s="1" t="e">
        <f t="shared" si="49"/>
        <v>#NUM!</v>
      </c>
      <c r="Q69" s="1" t="e">
        <f t="shared" si="50"/>
        <v>#NUM!</v>
      </c>
      <c r="R69" s="1" t="e">
        <f t="shared" si="51"/>
        <v>#NUM!</v>
      </c>
      <c r="S69" s="1" t="e">
        <f t="shared" si="52"/>
        <v>#NUM!</v>
      </c>
      <c r="T69" s="1" t="e">
        <f t="shared" si="53"/>
        <v>#NUM!</v>
      </c>
      <c r="U69" s="1" t="e">
        <f t="shared" si="54"/>
        <v>#NUM!</v>
      </c>
      <c r="V69" s="1" t="e">
        <f t="shared" si="55"/>
        <v>#NUM!</v>
      </c>
      <c r="W69" s="1" t="e">
        <f t="shared" si="56"/>
        <v>#NUM!</v>
      </c>
      <c r="X69" t="e" cm="1">
        <f t="array" ref="X69">MAX(ABS(T69:W69/B69:E69))</f>
        <v>#NUM!</v>
      </c>
      <c r="Y69" s="1">
        <f t="shared" si="57"/>
        <v>1.0037094578983654E+70</v>
      </c>
      <c r="Z69" s="1" t="e">
        <f t="shared" si="58"/>
        <v>#NUM!</v>
      </c>
      <c r="AA69" s="1" t="e">
        <f t="shared" si="59"/>
        <v>#NUM!</v>
      </c>
      <c r="AB69">
        <f t="shared" si="60"/>
        <v>8.2010975373508396E+69</v>
      </c>
      <c r="AC69" t="e">
        <f t="shared" si="61"/>
        <v>#NUM!</v>
      </c>
      <c r="AD69">
        <v>0</v>
      </c>
      <c r="AE69" s="9">
        <f t="shared" si="62"/>
        <v>1.8359970416328145E+69</v>
      </c>
      <c r="AF69">
        <f>0</f>
        <v>0</v>
      </c>
      <c r="AG69" s="1" t="e">
        <f t="shared" si="63"/>
        <v>#NUM!</v>
      </c>
      <c r="AH69" s="16" t="e">
        <f t="shared" si="64"/>
        <v>#NUM!</v>
      </c>
      <c r="AI69" s="16" t="e">
        <f t="shared" si="65"/>
        <v>#NUM!</v>
      </c>
      <c r="AJ69" s="13">
        <f t="shared" si="66"/>
        <v>1.8359970416328103E+67</v>
      </c>
      <c r="AK69" s="16">
        <f t="shared" si="67"/>
        <v>8.2010975373508396E+69</v>
      </c>
      <c r="AL69" s="16" t="e">
        <f t="shared" si="68"/>
        <v>#NUM!</v>
      </c>
      <c r="AM69" s="13">
        <f t="shared" si="69"/>
        <v>6.7608297539198143E-4</v>
      </c>
      <c r="AN69" s="13" t="e">
        <f t="shared" si="70"/>
        <v>#NUM!</v>
      </c>
      <c r="AO69" t="e" cm="1">
        <f t="array" ref="AO69">TRANSPOSE(MMULT(MINVERSE(_xlfn.WRAPCOLS(Y69:AG69,3)),TRANSPOSE(T69:V69)))</f>
        <v>#NUM!</v>
      </c>
      <c r="AP69" s="1"/>
      <c r="AQ69" s="1"/>
      <c r="AR69">
        <v>0</v>
      </c>
    </row>
    <row r="70" spans="1:44" x14ac:dyDescent="0.25">
      <c r="A70">
        <f t="shared" si="38"/>
        <v>59</v>
      </c>
      <c r="B70" s="1">
        <f t="shared" si="39"/>
        <v>4.7209899999999998E-8</v>
      </c>
      <c r="C70" s="1">
        <f t="shared" si="40"/>
        <v>1.09987E-3</v>
      </c>
      <c r="D70" s="1">
        <f t="shared" si="41"/>
        <v>1.7799999999999999E-6</v>
      </c>
      <c r="E70" s="1" t="e">
        <f t="shared" si="42"/>
        <v>#NUM!</v>
      </c>
      <c r="F70" s="1" t="e">
        <f t="shared" si="33"/>
        <v>#NUM!</v>
      </c>
      <c r="G70" s="1">
        <f t="shared" si="34"/>
        <v>7.3092358738902837E+62</v>
      </c>
      <c r="H70" s="1">
        <f t="shared" si="35"/>
        <v>7.3092358738902837E+62</v>
      </c>
      <c r="I70" s="1">
        <f t="shared" si="36"/>
        <v>2.6915348039269097E-8</v>
      </c>
      <c r="J70" s="1" t="e">
        <f t="shared" si="43"/>
        <v>#NUM!</v>
      </c>
      <c r="K70" s="1">
        <f t="shared" si="44"/>
        <v>4.9416499374615526E+60</v>
      </c>
      <c r="L70" s="1">
        <f t="shared" si="45"/>
        <v>3.7411058827205313E-7</v>
      </c>
      <c r="M70" s="1">
        <f t="shared" si="46"/>
        <v>4.1963526413567801E+65</v>
      </c>
      <c r="N70" s="1">
        <f t="shared" si="47"/>
        <v>2.5402237786948151E+64</v>
      </c>
      <c r="O70" s="1" t="e">
        <f t="shared" si="48"/>
        <v>#NUM!</v>
      </c>
      <c r="P70" s="1" t="e">
        <f t="shared" si="49"/>
        <v>#NUM!</v>
      </c>
      <c r="Q70" s="1" t="e">
        <f t="shared" si="50"/>
        <v>#NUM!</v>
      </c>
      <c r="R70" s="1" t="e">
        <f t="shared" si="51"/>
        <v>#NUM!</v>
      </c>
      <c r="S70" s="1" t="e">
        <f t="shared" si="52"/>
        <v>#NUM!</v>
      </c>
      <c r="T70" s="1" t="e">
        <f t="shared" si="53"/>
        <v>#NUM!</v>
      </c>
      <c r="U70" s="1" t="e">
        <f t="shared" si="54"/>
        <v>#NUM!</v>
      </c>
      <c r="V70" s="1" t="e">
        <f t="shared" si="55"/>
        <v>#NUM!</v>
      </c>
      <c r="W70" s="1" t="e">
        <f t="shared" si="56"/>
        <v>#NUM!</v>
      </c>
      <c r="X70" t="e" cm="1">
        <f t="array" ref="X70">MAX(ABS(T70:W70/B70:E70))</f>
        <v>#NUM!</v>
      </c>
      <c r="Y70" s="1">
        <f t="shared" si="57"/>
        <v>1.0037094578983654E+70</v>
      </c>
      <c r="Z70" s="1" t="e">
        <f t="shared" si="58"/>
        <v>#NUM!</v>
      </c>
      <c r="AA70" s="1" t="e">
        <f t="shared" si="59"/>
        <v>#NUM!</v>
      </c>
      <c r="AB70">
        <f t="shared" si="60"/>
        <v>8.2010975373508396E+69</v>
      </c>
      <c r="AC70" t="e">
        <f t="shared" si="61"/>
        <v>#NUM!</v>
      </c>
      <c r="AD70">
        <v>0</v>
      </c>
      <c r="AE70" s="9">
        <f t="shared" si="62"/>
        <v>1.8359970416328145E+69</v>
      </c>
      <c r="AF70">
        <f>0</f>
        <v>0</v>
      </c>
      <c r="AG70" s="1" t="e">
        <f t="shared" si="63"/>
        <v>#NUM!</v>
      </c>
      <c r="AH70" s="16" t="e">
        <f t="shared" si="64"/>
        <v>#NUM!</v>
      </c>
      <c r="AI70" s="16" t="e">
        <f t="shared" si="65"/>
        <v>#NUM!</v>
      </c>
      <c r="AJ70" s="13">
        <f t="shared" si="66"/>
        <v>1.8359970416328103E+67</v>
      </c>
      <c r="AK70" s="16">
        <f t="shared" si="67"/>
        <v>8.2010975373508396E+69</v>
      </c>
      <c r="AL70" s="16" t="e">
        <f t="shared" si="68"/>
        <v>#NUM!</v>
      </c>
      <c r="AM70" s="13">
        <f t="shared" si="69"/>
        <v>6.7608297539198143E-4</v>
      </c>
      <c r="AN70" s="13" t="e">
        <f t="shared" si="70"/>
        <v>#NUM!</v>
      </c>
      <c r="AO70" t="e" cm="1">
        <f t="array" ref="AO70">TRANSPOSE(MMULT(MINVERSE(_xlfn.WRAPCOLS(Y70:AG70,3)),TRANSPOSE(T70:V70)))</f>
        <v>#NUM!</v>
      </c>
      <c r="AP70" s="1"/>
      <c r="AQ70" s="1"/>
      <c r="AR70">
        <v>0</v>
      </c>
    </row>
    <row r="71" spans="1:44" x14ac:dyDescent="0.25">
      <c r="A71">
        <f t="shared" si="38"/>
        <v>60</v>
      </c>
      <c r="B71" s="1">
        <f t="shared" si="39"/>
        <v>4.7209899999999998E-8</v>
      </c>
      <c r="C71" s="1">
        <f t="shared" si="40"/>
        <v>1.09987E-3</v>
      </c>
      <c r="D71" s="1">
        <f t="shared" si="41"/>
        <v>1.7799999999999999E-6</v>
      </c>
      <c r="E71" s="1" t="e">
        <f t="shared" si="42"/>
        <v>#NUM!</v>
      </c>
      <c r="F71" s="1" t="e">
        <f t="shared" si="33"/>
        <v>#NUM!</v>
      </c>
      <c r="G71" s="1">
        <f t="shared" si="34"/>
        <v>7.3092358738902837E+62</v>
      </c>
      <c r="H71" s="1">
        <f t="shared" si="35"/>
        <v>7.3092358738902837E+62</v>
      </c>
      <c r="I71" s="1">
        <f t="shared" si="36"/>
        <v>2.6915348039269097E-8</v>
      </c>
      <c r="J71" s="1" t="e">
        <f t="shared" si="43"/>
        <v>#NUM!</v>
      </c>
      <c r="K71" s="1">
        <f t="shared" si="44"/>
        <v>4.9416499374615526E+60</v>
      </c>
      <c r="L71" s="1">
        <f t="shared" si="45"/>
        <v>3.7411058827205313E-7</v>
      </c>
      <c r="M71" s="1">
        <f t="shared" si="46"/>
        <v>4.1963526413567801E+65</v>
      </c>
      <c r="N71" s="1">
        <f t="shared" si="47"/>
        <v>2.5402237786948151E+64</v>
      </c>
      <c r="O71" s="1" t="e">
        <f t="shared" si="48"/>
        <v>#NUM!</v>
      </c>
      <c r="P71" s="1" t="e">
        <f t="shared" si="49"/>
        <v>#NUM!</v>
      </c>
      <c r="Q71" s="1" t="e">
        <f t="shared" si="50"/>
        <v>#NUM!</v>
      </c>
      <c r="R71" s="1" t="e">
        <f t="shared" si="51"/>
        <v>#NUM!</v>
      </c>
      <c r="S71" s="1" t="e">
        <f t="shared" si="52"/>
        <v>#NUM!</v>
      </c>
      <c r="T71" s="1" t="e">
        <f t="shared" si="53"/>
        <v>#NUM!</v>
      </c>
      <c r="U71" s="1" t="e">
        <f t="shared" si="54"/>
        <v>#NUM!</v>
      </c>
      <c r="V71" s="1" t="e">
        <f t="shared" si="55"/>
        <v>#NUM!</v>
      </c>
      <c r="W71" s="1" t="e">
        <f t="shared" si="56"/>
        <v>#NUM!</v>
      </c>
      <c r="X71" t="e" cm="1">
        <f t="array" ref="X71">MAX(ABS(T71:W71/B71:E71))</f>
        <v>#NUM!</v>
      </c>
      <c r="Y71" s="1">
        <f t="shared" si="57"/>
        <v>1.0037094578983654E+70</v>
      </c>
      <c r="Z71" s="1" t="e">
        <f t="shared" si="58"/>
        <v>#NUM!</v>
      </c>
      <c r="AA71" s="1" t="e">
        <f t="shared" si="59"/>
        <v>#NUM!</v>
      </c>
      <c r="AB71">
        <f t="shared" si="60"/>
        <v>8.2010975373508396E+69</v>
      </c>
      <c r="AC71" t="e">
        <f t="shared" si="61"/>
        <v>#NUM!</v>
      </c>
      <c r="AD71">
        <v>0</v>
      </c>
      <c r="AE71" s="9">
        <f t="shared" si="62"/>
        <v>1.8359970416328145E+69</v>
      </c>
      <c r="AF71">
        <f>0</f>
        <v>0</v>
      </c>
      <c r="AG71" s="1" t="e">
        <f t="shared" si="63"/>
        <v>#NUM!</v>
      </c>
      <c r="AH71" s="16" t="e">
        <f t="shared" si="64"/>
        <v>#NUM!</v>
      </c>
      <c r="AI71" s="16" t="e">
        <f t="shared" si="65"/>
        <v>#NUM!</v>
      </c>
      <c r="AJ71" s="13">
        <f t="shared" si="66"/>
        <v>1.8359970416328103E+67</v>
      </c>
      <c r="AK71" s="16">
        <f t="shared" si="67"/>
        <v>8.2010975373508396E+69</v>
      </c>
      <c r="AL71" s="16" t="e">
        <f t="shared" si="68"/>
        <v>#NUM!</v>
      </c>
      <c r="AM71" s="13">
        <f t="shared" si="69"/>
        <v>6.7608297539198143E-4</v>
      </c>
      <c r="AN71" s="13" t="e">
        <f t="shared" si="70"/>
        <v>#NUM!</v>
      </c>
      <c r="AO71" t="e" cm="1">
        <f t="array" ref="AO71">TRANSPOSE(MMULT(MINVERSE(_xlfn.WRAPCOLS(Y71:AG71,3)),TRANSPOSE(T71:V71)))</f>
        <v>#NUM!</v>
      </c>
      <c r="AP71" s="1"/>
      <c r="AQ71" s="1"/>
      <c r="AR71">
        <v>0</v>
      </c>
    </row>
    <row r="72" spans="1:44" x14ac:dyDescent="0.25">
      <c r="A72">
        <f t="shared" si="38"/>
        <v>61</v>
      </c>
      <c r="B72" s="1">
        <f t="shared" si="39"/>
        <v>4.7209899999999998E-8</v>
      </c>
      <c r="C72" s="1">
        <f t="shared" si="40"/>
        <v>1.09987E-3</v>
      </c>
      <c r="D72" s="1">
        <f t="shared" si="41"/>
        <v>1.7799999999999999E-6</v>
      </c>
      <c r="E72" s="1" t="e">
        <f t="shared" si="42"/>
        <v>#NUM!</v>
      </c>
      <c r="F72" s="1" t="e">
        <f t="shared" si="33"/>
        <v>#NUM!</v>
      </c>
      <c r="G72" s="1">
        <f t="shared" si="34"/>
        <v>7.3092358738902837E+62</v>
      </c>
      <c r="H72" s="1">
        <f t="shared" si="35"/>
        <v>7.3092358738902837E+62</v>
      </c>
      <c r="I72" s="1">
        <f t="shared" si="36"/>
        <v>2.6915348039269097E-8</v>
      </c>
      <c r="J72" s="1" t="e">
        <f t="shared" si="43"/>
        <v>#NUM!</v>
      </c>
      <c r="K72" s="1">
        <f t="shared" si="44"/>
        <v>4.9416499374615526E+60</v>
      </c>
      <c r="L72" s="1">
        <f t="shared" si="45"/>
        <v>3.7411058827205313E-7</v>
      </c>
      <c r="M72" s="1">
        <f t="shared" si="46"/>
        <v>4.1963526413567801E+65</v>
      </c>
      <c r="N72" s="1">
        <f t="shared" si="47"/>
        <v>2.5402237786948151E+64</v>
      </c>
      <c r="O72" s="1" t="e">
        <f t="shared" si="48"/>
        <v>#NUM!</v>
      </c>
      <c r="P72" s="1" t="e">
        <f t="shared" si="49"/>
        <v>#NUM!</v>
      </c>
      <c r="Q72" s="1" t="e">
        <f t="shared" si="50"/>
        <v>#NUM!</v>
      </c>
      <c r="R72" s="1" t="e">
        <f t="shared" si="51"/>
        <v>#NUM!</v>
      </c>
      <c r="S72" s="1" t="e">
        <f t="shared" si="52"/>
        <v>#NUM!</v>
      </c>
      <c r="T72" s="1" t="e">
        <f t="shared" si="53"/>
        <v>#NUM!</v>
      </c>
      <c r="U72" s="1" t="e">
        <f t="shared" si="54"/>
        <v>#NUM!</v>
      </c>
      <c r="V72" s="1" t="e">
        <f t="shared" si="55"/>
        <v>#NUM!</v>
      </c>
      <c r="W72" s="1" t="e">
        <f t="shared" si="56"/>
        <v>#NUM!</v>
      </c>
      <c r="X72" t="e" cm="1">
        <f t="array" ref="X72">MAX(ABS(T72:W72/B72:E72))</f>
        <v>#NUM!</v>
      </c>
      <c r="Y72" s="1">
        <f t="shared" si="57"/>
        <v>1.0037094578983654E+70</v>
      </c>
      <c r="Z72" s="1" t="e">
        <f t="shared" si="58"/>
        <v>#NUM!</v>
      </c>
      <c r="AA72" s="1" t="e">
        <f t="shared" si="59"/>
        <v>#NUM!</v>
      </c>
      <c r="AB72">
        <f t="shared" si="60"/>
        <v>8.2010975373508396E+69</v>
      </c>
      <c r="AC72" t="e">
        <f t="shared" si="61"/>
        <v>#NUM!</v>
      </c>
      <c r="AD72">
        <v>0</v>
      </c>
      <c r="AE72" s="9">
        <f t="shared" si="62"/>
        <v>1.8359970416328145E+69</v>
      </c>
      <c r="AF72">
        <f>0</f>
        <v>0</v>
      </c>
      <c r="AG72" s="1" t="e">
        <f t="shared" si="63"/>
        <v>#NUM!</v>
      </c>
      <c r="AH72" s="16" t="e">
        <f t="shared" si="64"/>
        <v>#NUM!</v>
      </c>
      <c r="AI72" s="16" t="e">
        <f t="shared" si="65"/>
        <v>#NUM!</v>
      </c>
      <c r="AJ72" s="13">
        <f t="shared" si="66"/>
        <v>1.8359970416328103E+67</v>
      </c>
      <c r="AK72" s="16">
        <f t="shared" si="67"/>
        <v>8.2010975373508396E+69</v>
      </c>
      <c r="AL72" s="16" t="e">
        <f t="shared" si="68"/>
        <v>#NUM!</v>
      </c>
      <c r="AM72" s="13">
        <f t="shared" si="69"/>
        <v>6.7608297539198143E-4</v>
      </c>
      <c r="AN72" s="13" t="e">
        <f t="shared" si="70"/>
        <v>#NUM!</v>
      </c>
      <c r="AO72" t="e" cm="1">
        <f t="array" ref="AO72">TRANSPOSE(MMULT(MINVERSE(_xlfn.WRAPCOLS(Y72:AG72,3)),TRANSPOSE(T72:V72)))</f>
        <v>#NUM!</v>
      </c>
      <c r="AP72" s="1"/>
      <c r="AQ72" s="1"/>
      <c r="AR72">
        <v>0</v>
      </c>
    </row>
    <row r="73" spans="1:44" x14ac:dyDescent="0.25">
      <c r="A73">
        <f t="shared" si="38"/>
        <v>62</v>
      </c>
      <c r="B73" s="1">
        <f t="shared" si="39"/>
        <v>4.7209899999999998E-8</v>
      </c>
      <c r="C73" s="1">
        <f t="shared" si="40"/>
        <v>1.09987E-3</v>
      </c>
      <c r="D73" s="1">
        <f t="shared" si="41"/>
        <v>1.7799999999999999E-6</v>
      </c>
      <c r="E73" s="1" t="e">
        <f t="shared" si="42"/>
        <v>#NUM!</v>
      </c>
      <c r="F73" s="1" t="e">
        <f t="shared" si="33"/>
        <v>#NUM!</v>
      </c>
      <c r="G73" s="1">
        <f t="shared" si="34"/>
        <v>7.3092358738902837E+62</v>
      </c>
      <c r="H73" s="1">
        <f t="shared" si="35"/>
        <v>7.3092358738902837E+62</v>
      </c>
      <c r="I73" s="1">
        <f t="shared" si="36"/>
        <v>2.6915348039269097E-8</v>
      </c>
      <c r="J73" s="1" t="e">
        <f t="shared" si="43"/>
        <v>#NUM!</v>
      </c>
      <c r="K73" s="1">
        <f t="shared" si="44"/>
        <v>4.9416499374615526E+60</v>
      </c>
      <c r="L73" s="1">
        <f t="shared" si="45"/>
        <v>3.7411058827205313E-7</v>
      </c>
      <c r="M73" s="1">
        <f t="shared" si="46"/>
        <v>4.1963526413567801E+65</v>
      </c>
      <c r="N73" s="1">
        <f t="shared" si="47"/>
        <v>2.5402237786948151E+64</v>
      </c>
      <c r="O73" s="1" t="e">
        <f t="shared" si="48"/>
        <v>#NUM!</v>
      </c>
      <c r="P73" s="1" t="e">
        <f t="shared" si="49"/>
        <v>#NUM!</v>
      </c>
      <c r="Q73" s="1" t="e">
        <f t="shared" si="50"/>
        <v>#NUM!</v>
      </c>
      <c r="R73" s="1" t="e">
        <f t="shared" si="51"/>
        <v>#NUM!</v>
      </c>
      <c r="S73" s="1" t="e">
        <f t="shared" si="52"/>
        <v>#NUM!</v>
      </c>
      <c r="T73" s="1" t="e">
        <f t="shared" si="53"/>
        <v>#NUM!</v>
      </c>
      <c r="U73" s="1" t="e">
        <f t="shared" si="54"/>
        <v>#NUM!</v>
      </c>
      <c r="V73" s="1" t="e">
        <f t="shared" si="55"/>
        <v>#NUM!</v>
      </c>
      <c r="W73" s="1" t="e">
        <f t="shared" si="56"/>
        <v>#NUM!</v>
      </c>
      <c r="X73" t="e" cm="1">
        <f t="array" ref="X73">MAX(ABS(T73:W73/B73:E73))</f>
        <v>#NUM!</v>
      </c>
      <c r="Y73" s="1">
        <f t="shared" si="57"/>
        <v>1.0037094578983654E+70</v>
      </c>
      <c r="Z73" s="1" t="e">
        <f t="shared" si="58"/>
        <v>#NUM!</v>
      </c>
      <c r="AA73" s="1" t="e">
        <f t="shared" si="59"/>
        <v>#NUM!</v>
      </c>
      <c r="AB73">
        <f t="shared" si="60"/>
        <v>8.2010975373508396E+69</v>
      </c>
      <c r="AC73" t="e">
        <f t="shared" si="61"/>
        <v>#NUM!</v>
      </c>
      <c r="AD73">
        <v>0</v>
      </c>
      <c r="AE73" s="9">
        <f t="shared" si="62"/>
        <v>1.8359970416328145E+69</v>
      </c>
      <c r="AF73">
        <f>0</f>
        <v>0</v>
      </c>
      <c r="AG73" s="1" t="e">
        <f t="shared" si="63"/>
        <v>#NUM!</v>
      </c>
      <c r="AH73" s="16" t="e">
        <f t="shared" si="64"/>
        <v>#NUM!</v>
      </c>
      <c r="AI73" s="16" t="e">
        <f t="shared" si="65"/>
        <v>#NUM!</v>
      </c>
      <c r="AJ73" s="13">
        <f t="shared" si="66"/>
        <v>1.8359970416328103E+67</v>
      </c>
      <c r="AK73" s="16">
        <f t="shared" si="67"/>
        <v>8.2010975373508396E+69</v>
      </c>
      <c r="AL73" s="16" t="e">
        <f t="shared" si="68"/>
        <v>#NUM!</v>
      </c>
      <c r="AM73" s="13">
        <f t="shared" si="69"/>
        <v>6.7608297539198143E-4</v>
      </c>
      <c r="AN73" s="13" t="e">
        <f t="shared" si="70"/>
        <v>#NUM!</v>
      </c>
      <c r="AO73" t="e" cm="1">
        <f t="array" ref="AO73">TRANSPOSE(MMULT(MINVERSE(_xlfn.WRAPCOLS(Y73:AG73,3)),TRANSPOSE(T73:V73)))</f>
        <v>#NUM!</v>
      </c>
      <c r="AP73" s="1"/>
      <c r="AQ73" s="1"/>
      <c r="AR73">
        <v>0</v>
      </c>
    </row>
    <row r="74" spans="1:44" x14ac:dyDescent="0.25">
      <c r="A74">
        <f t="shared" si="38"/>
        <v>63</v>
      </c>
      <c r="B74" s="1">
        <f t="shared" si="39"/>
        <v>4.7209899999999998E-8</v>
      </c>
      <c r="C74" s="1">
        <f t="shared" si="40"/>
        <v>1.09987E-3</v>
      </c>
      <c r="D74" s="1">
        <f t="shared" si="41"/>
        <v>1.7799999999999999E-6</v>
      </c>
      <c r="E74" s="1" t="e">
        <f t="shared" si="42"/>
        <v>#NUM!</v>
      </c>
      <c r="F74" s="1" t="e">
        <f t="shared" si="33"/>
        <v>#NUM!</v>
      </c>
      <c r="G74" s="1">
        <f t="shared" si="34"/>
        <v>7.3092358738902837E+62</v>
      </c>
      <c r="H74" s="1">
        <f t="shared" si="35"/>
        <v>7.3092358738902837E+62</v>
      </c>
      <c r="I74" s="1">
        <f t="shared" si="36"/>
        <v>2.6915348039269097E-8</v>
      </c>
      <c r="J74" s="1" t="e">
        <f t="shared" si="43"/>
        <v>#NUM!</v>
      </c>
      <c r="K74" s="1">
        <f t="shared" si="44"/>
        <v>4.9416499374615526E+60</v>
      </c>
      <c r="L74" s="1">
        <f t="shared" si="45"/>
        <v>3.7411058827205313E-7</v>
      </c>
      <c r="M74" s="1">
        <f t="shared" si="46"/>
        <v>4.1963526413567801E+65</v>
      </c>
      <c r="N74" s="1">
        <f t="shared" si="47"/>
        <v>2.5402237786948151E+64</v>
      </c>
      <c r="O74" s="1" t="e">
        <f t="shared" si="48"/>
        <v>#NUM!</v>
      </c>
      <c r="P74" s="1" t="e">
        <f t="shared" si="49"/>
        <v>#NUM!</v>
      </c>
      <c r="Q74" s="1" t="e">
        <f t="shared" si="50"/>
        <v>#NUM!</v>
      </c>
      <c r="R74" s="1" t="e">
        <f t="shared" si="51"/>
        <v>#NUM!</v>
      </c>
      <c r="S74" s="1" t="e">
        <f t="shared" si="52"/>
        <v>#NUM!</v>
      </c>
      <c r="T74" s="1" t="e">
        <f t="shared" si="53"/>
        <v>#NUM!</v>
      </c>
      <c r="U74" s="1" t="e">
        <f t="shared" si="54"/>
        <v>#NUM!</v>
      </c>
      <c r="V74" s="1" t="e">
        <f t="shared" si="55"/>
        <v>#NUM!</v>
      </c>
      <c r="W74" s="1" t="e">
        <f t="shared" si="56"/>
        <v>#NUM!</v>
      </c>
      <c r="X74" t="e" cm="1">
        <f t="array" ref="X74">MAX(ABS(T74:W74/B74:E74))</f>
        <v>#NUM!</v>
      </c>
      <c r="Y74" s="1">
        <f t="shared" si="57"/>
        <v>1.0037094578983654E+70</v>
      </c>
      <c r="Z74" s="1" t="e">
        <f t="shared" si="58"/>
        <v>#NUM!</v>
      </c>
      <c r="AA74" s="1" t="e">
        <f t="shared" si="59"/>
        <v>#NUM!</v>
      </c>
      <c r="AB74">
        <f t="shared" si="60"/>
        <v>8.2010975373508396E+69</v>
      </c>
      <c r="AC74" t="e">
        <f t="shared" si="61"/>
        <v>#NUM!</v>
      </c>
      <c r="AD74">
        <v>0</v>
      </c>
      <c r="AE74" s="9">
        <f t="shared" si="62"/>
        <v>1.8359970416328145E+69</v>
      </c>
      <c r="AF74">
        <f>0</f>
        <v>0</v>
      </c>
      <c r="AG74" s="1" t="e">
        <f t="shared" si="63"/>
        <v>#NUM!</v>
      </c>
      <c r="AH74" s="16" t="e">
        <f t="shared" si="64"/>
        <v>#NUM!</v>
      </c>
      <c r="AI74" s="16" t="e">
        <f t="shared" si="65"/>
        <v>#NUM!</v>
      </c>
      <c r="AJ74" s="13">
        <f t="shared" si="66"/>
        <v>1.8359970416328103E+67</v>
      </c>
      <c r="AK74" s="16">
        <f t="shared" si="67"/>
        <v>8.2010975373508396E+69</v>
      </c>
      <c r="AL74" s="16" t="e">
        <f t="shared" si="68"/>
        <v>#NUM!</v>
      </c>
      <c r="AM74" s="13">
        <f t="shared" si="69"/>
        <v>6.7608297539198143E-4</v>
      </c>
      <c r="AN74" s="13" t="e">
        <f t="shared" si="70"/>
        <v>#NUM!</v>
      </c>
      <c r="AO74" t="e" cm="1">
        <f t="array" ref="AO74">TRANSPOSE(MMULT(MINVERSE(_xlfn.WRAPCOLS(Y74:AG74,3)),TRANSPOSE(T74:V74)))</f>
        <v>#NUM!</v>
      </c>
      <c r="AP74" s="1"/>
      <c r="AQ74" s="1"/>
      <c r="AR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01B-DFEE-474F-8FB2-424BD00CA1F6}">
  <dimension ref="A1:BK7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0" sqref="A10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0.42578125" style="1" customWidth="1"/>
    <col min="5" max="5" width="10.28515625" style="1" hidden="1" customWidth="1"/>
    <col min="6" max="7" width="9" style="1" customWidth="1"/>
    <col min="8" max="8" width="11.85546875" style="1" customWidth="1"/>
    <col min="9" max="9" width="8.5703125" style="1" hidden="1" customWidth="1"/>
    <col min="10" max="10" width="9.28515625" style="1" hidden="1" customWidth="1"/>
    <col min="11" max="11" width="8.7109375" style="1" hidden="1" customWidth="1"/>
    <col min="12" max="12" width="8.28515625" style="1" hidden="1" customWidth="1"/>
    <col min="13" max="13" width="9.28515625" style="1" hidden="1" customWidth="1"/>
    <col min="14" max="14" width="9" style="1" hidden="1" customWidth="1"/>
    <col min="15" max="19" width="9.28515625" style="1" hidden="1" customWidth="1"/>
    <col min="20" max="20" width="10" style="1" hidden="1" customWidth="1"/>
    <col min="21" max="27" width="9" style="1" hidden="1" customWidth="1"/>
    <col min="28" max="29" width="8.5703125" style="1" hidden="1" customWidth="1"/>
    <col min="30" max="31" width="9.28515625" style="1" hidden="1" customWidth="1"/>
    <col min="32" max="34" width="8.5703125" style="1" hidden="1" customWidth="1"/>
    <col min="35" max="37" width="10.5703125" style="1" hidden="1" customWidth="1"/>
    <col min="38" max="38" width="9.85546875" style="13" hidden="1" customWidth="1"/>
    <col min="39" max="40" width="10.5703125" style="13" hidden="1" customWidth="1"/>
    <col min="41" max="43" width="8.5703125" style="13" hidden="1" customWidth="1"/>
    <col min="44" max="44" width="10.5703125" style="13" hidden="1" customWidth="1"/>
    <col min="45" max="45" width="8.42578125" customWidth="1"/>
    <col min="46" max="46" width="9.42578125" customWidth="1"/>
    <col min="48" max="48" width="9.140625" customWidth="1"/>
    <col min="59" max="61" width="9.7109375" customWidth="1"/>
    <col min="63" max="63" width="12" bestFit="1" customWidth="1"/>
  </cols>
  <sheetData>
    <row r="1" spans="1:63" x14ac:dyDescent="0.25">
      <c r="F1" s="3" t="s">
        <v>34</v>
      </c>
    </row>
    <row r="2" spans="1:63" x14ac:dyDescent="0.25">
      <c r="F2">
        <v>0</v>
      </c>
      <c r="G2">
        <v>0</v>
      </c>
      <c r="H2">
        <v>0</v>
      </c>
      <c r="I2">
        <v>0</v>
      </c>
      <c r="J2">
        <v>7.4</v>
      </c>
      <c r="K2">
        <v>5.4</v>
      </c>
      <c r="L2">
        <v>-13.997</v>
      </c>
      <c r="M2">
        <v>10.329000000000001</v>
      </c>
      <c r="N2">
        <v>16.681000000000001</v>
      </c>
      <c r="O2">
        <v>14.62</v>
      </c>
      <c r="P2"/>
    </row>
    <row r="3" spans="1:63" x14ac:dyDescent="0.25">
      <c r="F3" s="1" t="s">
        <v>35</v>
      </c>
    </row>
    <row r="4" spans="1:63" x14ac:dyDescent="0.25">
      <c r="F4" s="1">
        <f>10^F2</f>
        <v>1</v>
      </c>
      <c r="G4" s="1">
        <f t="shared" ref="G4:O4" si="0">10^G2</f>
        <v>1</v>
      </c>
      <c r="H4" s="1">
        <f>10^H2</f>
        <v>1</v>
      </c>
      <c r="I4" s="1">
        <f t="shared" si="0"/>
        <v>1</v>
      </c>
      <c r="J4" s="1">
        <f t="shared" si="0"/>
        <v>25118864.315095898</v>
      </c>
      <c r="K4" s="1">
        <f t="shared" si="0"/>
        <v>251188.64315095844</v>
      </c>
      <c r="L4" s="1">
        <f t="shared" si="0"/>
        <v>1.0069316688518014E-14</v>
      </c>
      <c r="M4" s="1">
        <f t="shared" si="0"/>
        <v>21330449131.465843</v>
      </c>
      <c r="N4" s="1">
        <f t="shared" si="0"/>
        <v>4.7973344863669312E+16</v>
      </c>
      <c r="O4" s="1">
        <f t="shared" si="0"/>
        <v>416869383470336.44</v>
      </c>
    </row>
    <row r="6" spans="1:63" x14ac:dyDescent="0.25">
      <c r="F6" s="1" t="s">
        <v>71</v>
      </c>
      <c r="AI6" s="10"/>
      <c r="AJ6" s="10"/>
      <c r="AK6" s="10"/>
      <c r="AL6" s="14"/>
      <c r="AM6" s="14"/>
      <c r="AN6" s="14"/>
      <c r="AO6" s="14"/>
      <c r="AP6" s="14"/>
      <c r="AQ6" s="14"/>
      <c r="AR6" s="14"/>
    </row>
    <row r="7" spans="1:63" x14ac:dyDescent="0.25">
      <c r="B7">
        <v>1</v>
      </c>
      <c r="C7">
        <v>1</v>
      </c>
      <c r="D7">
        <v>0.1</v>
      </c>
      <c r="E7">
        <v>1</v>
      </c>
      <c r="F7">
        <v>1</v>
      </c>
      <c r="G7">
        <v>1</v>
      </c>
      <c r="H7">
        <v>0.1</v>
      </c>
      <c r="I7">
        <v>1</v>
      </c>
      <c r="J7">
        <v>0.1</v>
      </c>
      <c r="K7">
        <v>0.1</v>
      </c>
      <c r="L7">
        <v>1</v>
      </c>
      <c r="M7">
        <v>1</v>
      </c>
      <c r="N7">
        <v>1</v>
      </c>
      <c r="O7">
        <v>1</v>
      </c>
      <c r="AI7" s="10"/>
      <c r="AJ7" s="10"/>
      <c r="AK7" s="10"/>
      <c r="AL7" s="14"/>
      <c r="AM7" s="14"/>
      <c r="AN7" s="14"/>
      <c r="AO7" s="14"/>
      <c r="AP7" s="14"/>
      <c r="AQ7" s="14"/>
      <c r="AR7" s="14"/>
    </row>
    <row r="8" spans="1:63" x14ac:dyDescent="0.25">
      <c r="AL8" s="13" t="s">
        <v>57</v>
      </c>
      <c r="AM8" s="13" t="s">
        <v>57</v>
      </c>
      <c r="AN8" s="13" t="s">
        <v>57</v>
      </c>
      <c r="AO8" s="13" t="s">
        <v>57</v>
      </c>
      <c r="AP8" s="13" t="s">
        <v>57</v>
      </c>
      <c r="AQ8" s="13" t="s">
        <v>57</v>
      </c>
      <c r="AR8" s="13" t="s">
        <v>57</v>
      </c>
    </row>
    <row r="9" spans="1:63" x14ac:dyDescent="0.25">
      <c r="B9" s="1" t="s">
        <v>24</v>
      </c>
      <c r="C9" s="1" t="s">
        <v>25</v>
      </c>
      <c r="D9" s="1" t="s">
        <v>59</v>
      </c>
      <c r="E9" s="1" t="s">
        <v>36</v>
      </c>
      <c r="F9" s="1" t="s">
        <v>26</v>
      </c>
      <c r="G9" s="1" t="s">
        <v>27</v>
      </c>
      <c r="H9" s="1" t="s">
        <v>29</v>
      </c>
      <c r="I9" s="1" t="s">
        <v>28</v>
      </c>
      <c r="J9" s="1" t="s">
        <v>30</v>
      </c>
      <c r="K9" s="1" t="s">
        <v>38</v>
      </c>
      <c r="L9" s="1" t="s">
        <v>40</v>
      </c>
      <c r="M9" s="1" t="s">
        <v>64</v>
      </c>
      <c r="N9" s="1" t="s">
        <v>65</v>
      </c>
      <c r="O9" s="1" t="s">
        <v>66</v>
      </c>
      <c r="P9" s="1" t="s">
        <v>23</v>
      </c>
      <c r="Q9" s="1" t="s">
        <v>22</v>
      </c>
      <c r="R9" s="1" t="s">
        <v>68</v>
      </c>
      <c r="S9" s="1" t="s">
        <v>42</v>
      </c>
      <c r="T9" s="1" t="s">
        <v>20</v>
      </c>
      <c r="U9" s="1" t="s">
        <v>21</v>
      </c>
      <c r="V9" s="1" t="s">
        <v>70</v>
      </c>
      <c r="W9" s="1" t="s">
        <v>45</v>
      </c>
      <c r="AC9" s="1" t="s">
        <v>16</v>
      </c>
      <c r="AD9" s="1" t="s">
        <v>17</v>
      </c>
      <c r="AE9" s="1" t="s">
        <v>46</v>
      </c>
      <c r="AF9" s="1" t="s">
        <v>18</v>
      </c>
      <c r="AG9" s="1" t="s">
        <v>19</v>
      </c>
      <c r="AH9" s="1" t="s">
        <v>47</v>
      </c>
      <c r="AI9" s="1" t="s">
        <v>48</v>
      </c>
      <c r="AJ9" s="1" t="s">
        <v>49</v>
      </c>
      <c r="AK9" s="1" t="s">
        <v>50</v>
      </c>
      <c r="AL9" s="13" t="s">
        <v>80</v>
      </c>
      <c r="AM9" s="13" t="s">
        <v>81</v>
      </c>
      <c r="AN9" s="13" t="s">
        <v>82</v>
      </c>
      <c r="AO9" s="13" t="s">
        <v>83</v>
      </c>
      <c r="AP9" s="13" t="s">
        <v>84</v>
      </c>
      <c r="AQ9" s="13" t="s">
        <v>85</v>
      </c>
      <c r="AR9" s="13" t="s">
        <v>86</v>
      </c>
      <c r="AS9" t="s">
        <v>102</v>
      </c>
      <c r="BG9" t="s">
        <v>87</v>
      </c>
    </row>
    <row r="10" spans="1:63" s="4" customFormat="1" ht="30" x14ac:dyDescent="0.25">
      <c r="A10" s="4" t="s">
        <v>12</v>
      </c>
      <c r="B10" s="5" t="s">
        <v>37</v>
      </c>
      <c r="C10" s="4" t="s">
        <v>1</v>
      </c>
      <c r="D10" s="5" t="s">
        <v>60</v>
      </c>
      <c r="E10" s="5" t="s">
        <v>0</v>
      </c>
      <c r="F10" s="5" t="s">
        <v>41</v>
      </c>
      <c r="G10" s="5" t="s">
        <v>3</v>
      </c>
      <c r="H10" s="5" t="s">
        <v>61</v>
      </c>
      <c r="I10" s="5" t="s">
        <v>2</v>
      </c>
      <c r="J10" s="5" t="s">
        <v>62</v>
      </c>
      <c r="K10" s="5" t="s">
        <v>63</v>
      </c>
      <c r="L10" s="5" t="s">
        <v>13</v>
      </c>
      <c r="M10" s="5" t="s">
        <v>14</v>
      </c>
      <c r="N10" s="5" t="s">
        <v>15</v>
      </c>
      <c r="O10" s="5" t="s">
        <v>39</v>
      </c>
      <c r="P10" s="5" t="s">
        <v>43</v>
      </c>
      <c r="Q10" s="5" t="s">
        <v>5</v>
      </c>
      <c r="R10" s="5" t="s">
        <v>67</v>
      </c>
      <c r="S10" s="5" t="s">
        <v>4</v>
      </c>
      <c r="T10" s="5" t="s">
        <v>44</v>
      </c>
      <c r="U10" s="5" t="s">
        <v>7</v>
      </c>
      <c r="V10" s="5" t="s">
        <v>69</v>
      </c>
      <c r="W10" s="5" t="s">
        <v>6</v>
      </c>
      <c r="X10" s="5" t="s">
        <v>88</v>
      </c>
      <c r="Y10" s="5" t="s">
        <v>89</v>
      </c>
      <c r="Z10" s="5" t="s">
        <v>90</v>
      </c>
      <c r="AA10" s="5" t="s">
        <v>91</v>
      </c>
      <c r="AB10" s="5" t="s">
        <v>58</v>
      </c>
      <c r="AC10" s="7" t="s">
        <v>52</v>
      </c>
      <c r="AD10" s="7" t="s">
        <v>53</v>
      </c>
      <c r="AE10" s="7" t="s">
        <v>73</v>
      </c>
      <c r="AF10" s="7" t="s">
        <v>55</v>
      </c>
      <c r="AG10" s="7" t="s">
        <v>9</v>
      </c>
      <c r="AH10" s="7" t="s">
        <v>74</v>
      </c>
      <c r="AI10" s="7" t="s">
        <v>76</v>
      </c>
      <c r="AJ10" s="7" t="s">
        <v>77</v>
      </c>
      <c r="AK10" s="7" t="s">
        <v>78</v>
      </c>
      <c r="AL10" s="15" t="s">
        <v>54</v>
      </c>
      <c r="AM10" s="15" t="s">
        <v>10</v>
      </c>
      <c r="AN10" s="15" t="s">
        <v>79</v>
      </c>
      <c r="AO10" s="15" t="s">
        <v>56</v>
      </c>
      <c r="AP10" s="15" t="s">
        <v>11</v>
      </c>
      <c r="AQ10" s="15" t="s">
        <v>75</v>
      </c>
      <c r="AR10" s="15" t="s">
        <v>8</v>
      </c>
      <c r="AS10" s="4" t="s">
        <v>51</v>
      </c>
      <c r="AT10" s="4" t="s">
        <v>32</v>
      </c>
      <c r="AU10" s="4" t="s">
        <v>72</v>
      </c>
      <c r="AV10" s="4" t="s">
        <v>33</v>
      </c>
      <c r="AW10" s="4" t="s">
        <v>97</v>
      </c>
      <c r="AX10" s="4" t="s">
        <v>98</v>
      </c>
      <c r="AY10" s="4" t="s">
        <v>100</v>
      </c>
      <c r="AZ10" s="4" t="s">
        <v>92</v>
      </c>
      <c r="BA10" s="4" t="s">
        <v>93</v>
      </c>
      <c r="BB10" s="4" t="s">
        <v>94</v>
      </c>
      <c r="BC10" s="4" t="s">
        <v>99</v>
      </c>
      <c r="BD10" s="4" t="s">
        <v>95</v>
      </c>
      <c r="BE10" s="4" t="s">
        <v>101</v>
      </c>
      <c r="BF10" s="4" t="s">
        <v>96</v>
      </c>
      <c r="BG10" s="4" t="s">
        <v>51</v>
      </c>
      <c r="BH10" s="4" t="s">
        <v>32</v>
      </c>
      <c r="BI10" s="4" t="s">
        <v>72</v>
      </c>
      <c r="BJ10" s="4" t="s">
        <v>33</v>
      </c>
    </row>
    <row r="11" spans="1:63" x14ac:dyDescent="0.25">
      <c r="A11">
        <v>0</v>
      </c>
      <c r="B11" s="6">
        <v>4.7209899999999998E-8</v>
      </c>
      <c r="C11" s="6">
        <v>1.09987E-3</v>
      </c>
      <c r="D11" s="6">
        <f>0.0000178*$D$7</f>
        <v>1.7799999999999999E-6</v>
      </c>
      <c r="E11" s="1">
        <f>I11+K11*$K$7-L11+M11+2*N11+O11</f>
        <v>7.0787350059776473E-3</v>
      </c>
      <c r="F11" s="1">
        <f>B11/100</f>
        <v>4.7209899999999994E-10</v>
      </c>
      <c r="G11" s="1">
        <f>C11/100</f>
        <v>1.09987E-5</v>
      </c>
      <c r="H11" s="1">
        <f>D11/100</f>
        <v>1.7800000000000001E-8</v>
      </c>
      <c r="I11" s="6">
        <f>10^-7.57</f>
        <v>2.6915348039269097E-8</v>
      </c>
      <c r="J11" s="1">
        <f>H11*F11*$J$4</f>
        <v>2.1108291489240574E-10</v>
      </c>
      <c r="K11" s="1">
        <f>H11*I11*$K$4</f>
        <v>1.2034276961977271E-10</v>
      </c>
      <c r="L11" s="1">
        <f>I11^(-1)*$L$4</f>
        <v>3.7411058827205313E-7</v>
      </c>
      <c r="M11" s="1">
        <f>I11*G11*$M$4</f>
        <v>6.3145347328797431E-3</v>
      </c>
      <c r="N11" s="1">
        <f>I11^2*G11*$N$4</f>
        <v>3.8224459788654031E-4</v>
      </c>
      <c r="O11" s="1">
        <f>F11*I11*G11*$O$4</f>
        <v>5.8260530779051953E-8</v>
      </c>
      <c r="P11" s="1">
        <f>F11+J11*$J$7+O11</f>
        <v>5.8753738070541195E-8</v>
      </c>
      <c r="Q11" s="1">
        <f>G11+M11+N11+O11</f>
        <v>6.707836291297062E-3</v>
      </c>
      <c r="R11" s="1">
        <f>H11*$H$7+J11*$J$7+K11*$K$7</f>
        <v>1.8131425684512179E-9</v>
      </c>
      <c r="S11" s="1">
        <f>I11+K11*$K$7-L11+M11+2*N11+O11</f>
        <v>7.0787350059776473E-3</v>
      </c>
      <c r="T11" s="1">
        <f>P11-B11</f>
        <v>1.1543838070541197E-8</v>
      </c>
      <c r="U11" s="1">
        <f>Q11-C11</f>
        <v>5.6079662912970618E-3</v>
      </c>
      <c r="V11" s="1">
        <f>R11-D11</f>
        <v>-1.7781868574315487E-6</v>
      </c>
      <c r="W11" s="1">
        <f>S11-E11</f>
        <v>0</v>
      </c>
      <c r="X11" s="1" cm="1">
        <f t="array" ref="X11:AA11">ABS(T11:W11/B11:E11)</f>
        <v>0.24452155311790955</v>
      </c>
      <c r="Y11" s="1">
        <v>5.098753753895517</v>
      </c>
      <c r="Z11" s="1">
        <v>0.99898138057952179</v>
      </c>
      <c r="AA11" s="1">
        <v>0</v>
      </c>
      <c r="AB11" s="1">
        <f>MAX(X11:AA11)</f>
        <v>5.098753753895517</v>
      </c>
      <c r="AC11" s="1">
        <f>1+I11*G11*$O$4+H11*$J$4*$J$7</f>
        <v>124.45215531179096</v>
      </c>
      <c r="AD11" s="1">
        <f>F11*I11*$O$4</f>
        <v>5.297037902575027E-3</v>
      </c>
      <c r="AE11" s="1">
        <f>F11*$J$4*$J$7</f>
        <v>1.1858590724292458E-3</v>
      </c>
      <c r="AF11">
        <f>I11*G11*$O$4</f>
        <v>123.40744373331009</v>
      </c>
      <c r="AG11">
        <f>1+I11*$M$4+I11^2*$N$4+F11*I11*$O$4</f>
        <v>609.87537538955166</v>
      </c>
      <c r="AH11">
        <v>0</v>
      </c>
      <c r="AI11" s="1">
        <f>H11*$J$4*$J$7</f>
        <v>4.4711578480870706E-2</v>
      </c>
      <c r="AJ11">
        <f>0</f>
        <v>0</v>
      </c>
      <c r="AK11" s="1">
        <f>$H$7+F11*$J$4*$J$7+I11*$K$4*$K$7</f>
        <v>0.10186194204782123</v>
      </c>
      <c r="AL11" s="16">
        <f>F11*G11*$O$4</f>
        <v>2.1645839650317988</v>
      </c>
      <c r="AM11" s="16">
        <f>G11*$M$4+2*I11*G11*$N$4+F11*G11*$O$4</f>
        <v>263012.84229560493</v>
      </c>
      <c r="AN11" s="13">
        <f>H11*$K$4*$K$7</f>
        <v>4.4711578480870608E-4</v>
      </c>
      <c r="AO11" s="16">
        <f>I11*G11*$O$4</f>
        <v>123.40744373331009</v>
      </c>
      <c r="AP11" s="16">
        <f>I11*$M$4+2*I11^2*$N$4+F11*I11*$O$4</f>
        <v>643.62899153387241</v>
      </c>
      <c r="AQ11" s="13">
        <f>I11*$K$4*$K$7</f>
        <v>6.7608297539198143E-4</v>
      </c>
      <c r="AR11" s="13">
        <f>1+G11*$M$4+4*I11*G11*$N$4+F11*G11*$O$4+I11^-2*$L$4+H11*$K$4*$K$7</f>
        <v>291431.20911841939</v>
      </c>
      <c r="AS11" s="1" cm="1">
        <f t="array" ref="AS11:AU11">TRANSPOSE(MMULT(MINVERSE(_xlfn.WRAPCOLS(AC11:AK11,3)),TRANSPOSE(T11:V11)))/$F$7:$H$7</f>
        <v>-9.111828631982476E-6</v>
      </c>
      <c r="AT11" s="1">
        <v>9.1953451201675813E-6</v>
      </c>
      <c r="AU11" s="1">
        <v>-1.7350754140856229E-4</v>
      </c>
      <c r="AV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b">
        <v>0</v>
      </c>
      <c r="BF11">
        <v>1</v>
      </c>
      <c r="BG11" s="1">
        <f>AS11*$BF11</f>
        <v>-9.111828631982476E-6</v>
      </c>
      <c r="BH11">
        <f>AT11*$BF11</f>
        <v>9.1953451201675813E-6</v>
      </c>
      <c r="BI11">
        <f>AU11*$BF11</f>
        <v>-1.7350754140856229E-4</v>
      </c>
      <c r="BJ11">
        <f t="shared" ref="BJ11:BJ42" si="1">AV11</f>
        <v>0</v>
      </c>
    </row>
    <row r="12" spans="1:63" x14ac:dyDescent="0.25">
      <c r="A12">
        <f>A11+1</f>
        <v>1</v>
      </c>
      <c r="B12" s="1">
        <f>B11</f>
        <v>4.7209899999999998E-8</v>
      </c>
      <c r="C12" s="1">
        <f>C11</f>
        <v>1.09987E-3</v>
      </c>
      <c r="D12" s="1">
        <f>D11</f>
        <v>1.7799999999999999E-6</v>
      </c>
      <c r="E12" s="1">
        <f t="shared" ref="E12:E73" ca="1" si="2">I12+K12*$K$7-L12+M12+2*N12+O12</f>
        <v>1.3448301136008945E-3</v>
      </c>
      <c r="F12" s="1">
        <f ca="1">IF(NOT($BE11),F11-BG11,OFFSET(F11,-AZ11,0)-BG11)</f>
        <v>9.1123007309824768E-6</v>
      </c>
      <c r="G12" s="1">
        <f ca="1">IF(NOT($BE11),G11-BH11,OFFSET(G11,-BA11,0)-BH11)</f>
        <v>1.803354879832419E-6</v>
      </c>
      <c r="H12" s="1">
        <f t="shared" ref="H12:H73" ca="1" si="3">IF(NOT($BE11),H11-BI11,OFFSET(H11,-BB11,0)-BI11)</f>
        <v>1.7352534140856229E-4</v>
      </c>
      <c r="I12" s="1">
        <f t="shared" ref="I12:I43" si="4">I11-BJ11/$H$7</f>
        <v>2.6915348039269097E-8</v>
      </c>
      <c r="J12" s="1">
        <f t="shared" ref="J12:J73" ca="1" si="5">H12*F12*$J$4</f>
        <v>3.9718327433360061E-2</v>
      </c>
      <c r="K12" s="1">
        <f t="shared" ref="K12:K73" ca="1" si="6">H12*I12*$K$4</f>
        <v>1.1731752912541019E-6</v>
      </c>
      <c r="L12" s="1">
        <f t="shared" ref="L12:L73" si="7">I12^(-1)*$L$4</f>
        <v>3.7411058827205313E-7</v>
      </c>
      <c r="M12" s="1">
        <f t="shared" ref="M12:M73" ca="1" si="8">I12*G12*$M$4</f>
        <v>1.0353357237137101E-3</v>
      </c>
      <c r="N12" s="1">
        <f t="shared" ref="N12:N73" ca="1" si="9">I12^2*G12*$N$4</f>
        <v>6.2673103265683508E-5</v>
      </c>
      <c r="O12" s="1">
        <f t="shared" ref="O12:O73" ca="1" si="10">F12*I12*G12*$O$4</f>
        <v>1.8437806106692481E-4</v>
      </c>
      <c r="P12" s="1">
        <f t="shared" ref="P12:P73" ca="1" si="11">F12+J12*$J$7+O12</f>
        <v>4.1653231051339131E-3</v>
      </c>
      <c r="Q12" s="1">
        <f t="shared" ref="Q12:Q73" ca="1" si="12">G12+M12+N12+O12</f>
        <v>1.2841902429261507E-3</v>
      </c>
      <c r="R12" s="1">
        <f t="shared" ref="R12:R73" ca="1" si="13">H12*$H$7+J12*$J$7+K12*$K$7</f>
        <v>3.9893025950059882E-3</v>
      </c>
      <c r="S12" s="1">
        <f t="shared" ref="S12:S73" ca="1" si="14">I12+K12*$K$7-L12+M12+2*N12+O12</f>
        <v>1.3448301136008945E-3</v>
      </c>
      <c r="T12" s="1">
        <f t="shared" ref="T12:W38" ca="1" si="15">P12-B12</f>
        <v>4.1652758952339134E-3</v>
      </c>
      <c r="U12" s="1">
        <f t="shared" ca="1" si="15"/>
        <v>1.8432024292615074E-4</v>
      </c>
      <c r="V12" s="1">
        <f t="shared" ca="1" si="15"/>
        <v>3.9875225950059883E-3</v>
      </c>
      <c r="W12" s="1">
        <f t="shared" ca="1" si="15"/>
        <v>0</v>
      </c>
      <c r="X12" s="1" cm="1">
        <f t="array" aca="1" ref="X12:AA12" ca="1">ABS(T12:W12/B12:E12)</f>
        <v>88228.865031146299</v>
      </c>
      <c r="Y12" s="1">
        <f ca="1"/>
        <v>0.16758366254752902</v>
      </c>
      <c r="Z12" s="1">
        <f ca="1"/>
        <v>2240.1812331494316</v>
      </c>
      <c r="AA12" s="1">
        <f ca="1"/>
        <v>0</v>
      </c>
      <c r="AB12" s="1" cm="1">
        <f t="array" aca="1" ref="AB12" ca="1">MAX(ABS(T12:W12/B12:E12))</f>
        <v>88228.865031146299</v>
      </c>
      <c r="AC12" s="1">
        <f t="shared" ref="AC12:AC73" ca="1" si="16">1+I12*G12*$O$4+H12*$J$4*$J$7</f>
        <v>457.10992515551152</v>
      </c>
      <c r="AD12" s="1">
        <f t="shared" ref="AD12:AD73" ca="1" si="17">F12*I12*$O$4</f>
        <v>102.24169581311614</v>
      </c>
      <c r="AE12" s="1">
        <f t="shared" ref="AE12:AE73" ca="1" si="18">F12*$J$4*$J$7</f>
        <v>22.889064565989802</v>
      </c>
      <c r="AF12">
        <f t="shared" ref="AF12:AF73" ca="1" si="19">I12*G12*$O$4</f>
        <v>20.233974548274741</v>
      </c>
      <c r="AG12">
        <f t="shared" ref="AG12:AG73" ca="1" si="20">1+I12*$M$4+I12^2*$N$4+F12*I12*$O$4</f>
        <v>712.11177416476528</v>
      </c>
      <c r="AH12">
        <v>0</v>
      </c>
      <c r="AI12" s="1">
        <f t="shared" ref="AI12:AI73" ca="1" si="21">H12*$J$4*$J$7</f>
        <v>435.8759506072368</v>
      </c>
      <c r="AJ12">
        <f>0</f>
        <v>0</v>
      </c>
      <c r="AK12" s="1">
        <f t="shared" ref="AK12:AK73" ca="1" si="22">$H$7+F12*$J$4*$J$7+I12*$K$4*$K$7</f>
        <v>22.989740648965196</v>
      </c>
      <c r="AL12" s="16">
        <f t="shared" ref="AL12:AL73" ca="1" si="23">F12*G12*$O$4</f>
        <v>6850.2945158992507</v>
      </c>
      <c r="AM12" s="16">
        <f t="shared" ref="AM12:AM73" ca="1" si="24">G12*$M$4+2*I12*G12*$N$4+F12*G12*$O$4</f>
        <v>49973.717202154672</v>
      </c>
      <c r="AN12" s="13">
        <f t="shared" ref="AN12:AN73" ca="1" si="25">H12*$K$4*$K$7</f>
        <v>4.3587595060723592</v>
      </c>
      <c r="AO12" s="16">
        <f t="shared" ref="AO12:AO73" ca="1" si="26">I12*G12*$O$4</f>
        <v>20.233974548274741</v>
      </c>
      <c r="AP12" s="16">
        <f t="shared" ref="AP12:AP73" ca="1" si="27">I12*$M$4+2*I12^2*$N$4+F12*I12*$O$4</f>
        <v>745.86539030908602</v>
      </c>
      <c r="AQ12" s="13">
        <f t="shared" ref="AQ12:AQ73" si="28">I12*$K$4*$K$7</f>
        <v>6.7608297539198143E-4</v>
      </c>
      <c r="AR12" s="13">
        <f t="shared" ref="AR12:AR73" ca="1" si="29">1+G12*$M$4+4*I12*G12*$N$4+F12*G12*$O$4+I12^-2*$L$4+H12*$K$4*$K$7</f>
        <v>54650.028643982179</v>
      </c>
      <c r="AS12" s="1" cm="1">
        <f t="array" aca="1" ref="AS12:AU12" ca="1">TRANSPOSE(MMULT(MINVERSE(_xlfn.WRAPCOLS(AC12:AK12,3)),TRANSPOSE(T12:V12)))/$F$7:$H$7</f>
        <v>-3.5301396911935285E-3</v>
      </c>
      <c r="AT12" s="1">
        <f ca="1"/>
        <v>5.0709987087531306E-4</v>
      </c>
      <c r="AU12" s="1">
        <f ca="1"/>
        <v>3.6881285095103689E-2</v>
      </c>
      <c r="AV12">
        <v>0</v>
      </c>
      <c r="AW12" t="b">
        <f t="shared" ref="AW12:AW43" ca="1" si="30">OR($AB12&gt;(1.3*$AB11),$BB11&gt;10)</f>
        <v>1</v>
      </c>
      <c r="AX12" t="b">
        <f ca="1">AB12&lt;AB11</f>
        <v>0</v>
      </c>
      <c r="AY12" t="b">
        <f t="shared" ref="AY12:AY43" si="31">AND(($AZ11 &gt; (3 + $A12 / 3)), ($AZ11 &gt; $BD11), ($BF11 &lt; 1))</f>
        <v>0</v>
      </c>
      <c r="AZ12">
        <f ca="1">IF($BE11,AZ11,IF($AW12,0,IF($AX12,AZ11+1,AZ11)))</f>
        <v>0</v>
      </c>
      <c r="BA12">
        <f ca="1">IF($BE11,BA11,IF($AW12,IF($BA11&gt;=5,1,BA11+1),IF($AX12,0,BA11)))</f>
        <v>1</v>
      </c>
      <c r="BB12">
        <f ca="1">IF($BE11,BB11,IF($AW12,0,IF($AX12,IF($AY12,0,BB11),BB11+1)))</f>
        <v>0</v>
      </c>
      <c r="BC12">
        <f ca="1">IF($BE11,BC11,IF($AW12,IF($BA11&gt;=5,BC11+1,BC11),BC11))</f>
        <v>0</v>
      </c>
      <c r="BD12">
        <f ca="1">IF($BE11,BD11,IF($AX12,IF($AY12,AZ12/5,BD11),BD11))</f>
        <v>0</v>
      </c>
      <c r="BE12" t="b">
        <f ca="1">IF(BE11,FALSE(),IF($AW12,IF(BA11&gt;=5,BE11,TRUE()),BE11))</f>
        <v>1</v>
      </c>
      <c r="BF12">
        <f ca="1">IF($BE11,BF11,IF($AW12,IF(BA11&gt;=5,BF11,IF(BF11/1.5=0,0.05,BF11/1.5)),IF($AX12,IF($AY12,MIN(1,BF11*1.5),BF11),BF11)))</f>
        <v>0.66666666666666663</v>
      </c>
      <c r="BG12">
        <f t="shared" ref="BG12" ca="1" si="32">IF($BE12,0,AS12*$BF12)</f>
        <v>0</v>
      </c>
      <c r="BH12">
        <f t="shared" ref="BH12:BH73" ca="1" si="33">IF($BE12,0,AT12*$BF12)</f>
        <v>0</v>
      </c>
      <c r="BI12">
        <f t="shared" ref="BI12:BI73" ca="1" si="34">IF($BE12,0,AU12*$BF12)</f>
        <v>0</v>
      </c>
      <c r="BJ12">
        <f t="shared" si="1"/>
        <v>0</v>
      </c>
      <c r="BK12" s="1">
        <f ca="1">IF(NOT($BE11),G11,OFFSET(G11,-BA11,0))</f>
        <v>1.09987E-5</v>
      </c>
    </row>
    <row r="13" spans="1:63" x14ac:dyDescent="0.25">
      <c r="A13">
        <f>A12+1</f>
        <v>2</v>
      </c>
      <c r="B13" s="1">
        <f t="shared" ref="B13:D38" si="35">B12</f>
        <v>4.7209899999999998E-8</v>
      </c>
      <c r="C13" s="1">
        <f t="shared" si="35"/>
        <v>1.09987E-3</v>
      </c>
      <c r="D13" s="1">
        <f t="shared" si="35"/>
        <v>1.7799999999999999E-6</v>
      </c>
      <c r="E13" s="1">
        <f t="shared" ca="1" si="2"/>
        <v>8.2033197906814376E-3</v>
      </c>
      <c r="F13" s="1">
        <f t="shared" ref="F13:F73" ca="1" si="36">IF(NOT($BE12),F12-BG12,OFFSET(F12,-AZ12,0)-BG12)</f>
        <v>9.1123007309824768E-6</v>
      </c>
      <c r="G13" s="1">
        <f ca="1">IF(NOT($BE12),G12-BH12,OFFSET(G12,-BA12,0)-BH12)</f>
        <v>1.09987E-5</v>
      </c>
      <c r="H13" s="1">
        <f t="shared" ca="1" si="3"/>
        <v>1.7352534140856229E-4</v>
      </c>
      <c r="I13" s="1">
        <f t="shared" si="4"/>
        <v>2.6915348039269097E-8</v>
      </c>
      <c r="J13" s="1">
        <f t="shared" ca="1" si="5"/>
        <v>3.9718327433360061E-2</v>
      </c>
      <c r="K13" s="1">
        <f t="shared" ca="1" si="6"/>
        <v>1.1731752912541019E-6</v>
      </c>
      <c r="L13" s="1">
        <f t="shared" si="7"/>
        <v>3.7411058827205313E-7</v>
      </c>
      <c r="M13" s="1">
        <f t="shared" ca="1" si="8"/>
        <v>6.3145347328797431E-3</v>
      </c>
      <c r="N13" s="1">
        <f t="shared" ca="1" si="9"/>
        <v>3.8224459788654031E-4</v>
      </c>
      <c r="O13" s="1">
        <f t="shared" ca="1" si="10"/>
        <v>1.1245257397397204E-3</v>
      </c>
      <c r="P13" s="1">
        <f t="shared" ca="1" si="11"/>
        <v>5.1054707838067087E-3</v>
      </c>
      <c r="Q13" s="1">
        <f t="shared" ca="1" si="12"/>
        <v>7.8323037705060033E-3</v>
      </c>
      <c r="R13" s="1">
        <f t="shared" ca="1" si="13"/>
        <v>3.9893025950059882E-3</v>
      </c>
      <c r="S13" s="1">
        <f t="shared" ca="1" si="14"/>
        <v>8.2033197906814376E-3</v>
      </c>
      <c r="T13" s="1">
        <f t="shared" ca="1" si="15"/>
        <v>5.105423573906709E-3</v>
      </c>
      <c r="U13" s="1">
        <f t="shared" ca="1" si="15"/>
        <v>6.7324337705060031E-3</v>
      </c>
      <c r="V13" s="1">
        <f t="shared" ca="1" si="15"/>
        <v>3.9875225950059883E-3</v>
      </c>
      <c r="W13" s="1">
        <f t="shared" ca="1" si="15"/>
        <v>0</v>
      </c>
      <c r="X13" s="1" cm="1">
        <f t="array" aca="1" ref="X13:AA13" ca="1">ABS(T13:W13/B13:E13)</f>
        <v>108143.07113352728</v>
      </c>
      <c r="Y13" s="1">
        <f ca="1"/>
        <v>6.1211177416476525</v>
      </c>
      <c r="Z13" s="1">
        <f ca="1"/>
        <v>2240.1812331494316</v>
      </c>
      <c r="AA13" s="1">
        <f ca="1"/>
        <v>0</v>
      </c>
      <c r="AB13" s="1" cm="1">
        <f t="array" aca="1" ref="AB13" ca="1">MAX(ABS(T13:W13/B13:E13))</f>
        <v>108143.07113352728</v>
      </c>
      <c r="AC13" s="1">
        <f t="shared" ca="1" si="16"/>
        <v>560.28339434054692</v>
      </c>
      <c r="AD13" s="1">
        <f t="shared" ca="1" si="17"/>
        <v>102.24169581311614</v>
      </c>
      <c r="AE13" s="1">
        <f t="shared" ca="1" si="18"/>
        <v>22.889064565989802</v>
      </c>
      <c r="AF13">
        <f t="shared" ca="1" si="19"/>
        <v>123.40744373331009</v>
      </c>
      <c r="AG13">
        <f t="shared" ca="1" si="20"/>
        <v>712.11177416476528</v>
      </c>
      <c r="AH13">
        <v>0</v>
      </c>
      <c r="AI13" s="1">
        <f t="shared" ca="1" si="21"/>
        <v>435.8759506072368</v>
      </c>
      <c r="AJ13">
        <f>0</f>
        <v>0</v>
      </c>
      <c r="AK13" s="1">
        <f t="shared" ca="1" si="22"/>
        <v>22.989740648965196</v>
      </c>
      <c r="AL13" s="16">
        <f t="shared" ca="1" si="23"/>
        <v>41780.092833986535</v>
      </c>
      <c r="AM13" s="16">
        <f t="shared" ca="1" si="24"/>
        <v>304790.77054562641</v>
      </c>
      <c r="AN13" s="13">
        <f t="shared" ca="1" si="25"/>
        <v>4.3587595060723592</v>
      </c>
      <c r="AO13" s="16">
        <f t="shared" ca="1" si="26"/>
        <v>123.40744373331009</v>
      </c>
      <c r="AP13" s="16">
        <f t="shared" ca="1" si="27"/>
        <v>745.86539030908602</v>
      </c>
      <c r="AQ13" s="13">
        <f t="shared" si="28"/>
        <v>6.7608297539198143E-4</v>
      </c>
      <c r="AR13" s="13">
        <f t="shared" ca="1" si="29"/>
        <v>333213.4956808312</v>
      </c>
      <c r="AS13" s="1" cm="1">
        <f t="array" aca="1" ref="AS13:AU13" ca="1">TRANSPOSE(MMULT(MINVERSE(_xlfn.WRAPCOLS(AC13:AK13,3)),TRANSPOSE(T13:V13)))/$F$7:$H$7</f>
        <v>-6.5989335258554653E-4</v>
      </c>
      <c r="AT13" s="1">
        <f ca="1"/>
        <v>1.0419859899337451E-4</v>
      </c>
      <c r="AU13" s="1">
        <f ca="1"/>
        <v>8.3045148009807529E-3</v>
      </c>
      <c r="AV13">
        <v>0</v>
      </c>
      <c r="AW13" t="b">
        <f t="shared" ca="1" si="30"/>
        <v>0</v>
      </c>
      <c r="AX13" t="b">
        <f t="shared" ref="AX13:AX73" ca="1" si="37">AB13&lt;AB12</f>
        <v>0</v>
      </c>
      <c r="AY13" t="b">
        <f t="shared" ca="1" si="31"/>
        <v>0</v>
      </c>
      <c r="AZ13">
        <f t="shared" ref="AZ13:AZ73" ca="1" si="38">IF($BE12,AZ12,IF($AW13,0,IF($AX13,AZ12+1,AZ12)))</f>
        <v>0</v>
      </c>
      <c r="BA13">
        <f t="shared" ref="BA13:BA73" ca="1" si="39">IF($BE12,BA12,IF($AW13,IF($BA12&gt;=5,1,BA12+1),IF($AX13,0,BA12)))</f>
        <v>1</v>
      </c>
      <c r="BB13">
        <f t="shared" ref="BB13:BB73" ca="1" si="40">IF($BE12,BB12,IF($AW13,0,IF($AX13,IF($AY13,0,BB12),BB12+1)))</f>
        <v>0</v>
      </c>
      <c r="BC13">
        <f t="shared" ref="BC13:BC73" ca="1" si="41">IF($BE12,BC12,IF($AW13,IF($BA12&gt;=5,BC12+1,BC12),BC12))</f>
        <v>0</v>
      </c>
      <c r="BD13">
        <f t="shared" ref="BD13:BD73" ca="1" si="42">IF($BE12,BD12,IF($AX13,IF($AY13,AZ13/5,BD12),BD12))</f>
        <v>0</v>
      </c>
      <c r="BE13" t="b">
        <f t="shared" ref="BE13:BE73" ca="1" si="43">IF(BE12,FALSE(),IF($AW13,IF(BA12&gt;=5,BE12,TRUE()),BE12))</f>
        <v>0</v>
      </c>
      <c r="BF13">
        <f t="shared" ref="BF13:BF73" ca="1" si="44">IF($BE12,BF12,IF($AW13,IF(BA12&gt;=5,BF12,IF(BF12/1.5=0,0.05,BF12/1.5)),IF($AX13,IF($AY13,MIN(1,BF12*1.5),BF12),BF12)))</f>
        <v>0.66666666666666663</v>
      </c>
      <c r="BG13">
        <f ca="1">IF($BE13,0,AS13*$BF13)</f>
        <v>-4.3992890172369768E-4</v>
      </c>
      <c r="BH13">
        <f t="shared" ca="1" si="33"/>
        <v>6.9465732662249663E-5</v>
      </c>
      <c r="BI13">
        <f t="shared" ca="1" si="34"/>
        <v>5.5363432006538347E-3</v>
      </c>
      <c r="BJ13">
        <f t="shared" si="1"/>
        <v>0</v>
      </c>
      <c r="BK13" s="1">
        <f t="shared" ref="BK13:BK25" ca="1" si="45">IF(NOT($BE12),G12,OFFSET(G12,-BA12,0))</f>
        <v>1.09987E-5</v>
      </c>
    </row>
    <row r="14" spans="1:63" x14ac:dyDescent="0.25">
      <c r="A14">
        <f t="shared" ref="A14:A73" si="46">A13+1</f>
        <v>3</v>
      </c>
      <c r="B14" s="1">
        <f t="shared" si="35"/>
        <v>4.7209899999999998E-8</v>
      </c>
      <c r="C14" s="1">
        <f t="shared" si="35"/>
        <v>1.09987E-3</v>
      </c>
      <c r="D14" s="1">
        <f t="shared" si="35"/>
        <v>1.7799999999999999E-6</v>
      </c>
      <c r="E14" s="1">
        <f t="shared" ca="1" si="2"/>
        <v>-0.33221066210539302</v>
      </c>
      <c r="F14" s="1">
        <f t="shared" ca="1" si="36"/>
        <v>4.4904120245468015E-4</v>
      </c>
      <c r="G14" s="1">
        <f t="shared" ref="G14:G73" ca="1" si="47">IF(NOT($BE13),G13-BH13,OFFSET(G13,-BA13,0)-BH13)</f>
        <v>-5.8467032662249662E-5</v>
      </c>
      <c r="H14" s="1">
        <f t="shared" ca="1" si="3"/>
        <v>-5.3628178592452728E-3</v>
      </c>
      <c r="I14" s="1">
        <f t="shared" si="4"/>
        <v>2.6915348039269097E-8</v>
      </c>
      <c r="J14" s="1">
        <f t="shared" ca="1" si="5"/>
        <v>-60.489394770580716</v>
      </c>
      <c r="K14" s="1">
        <f t="shared" ca="1" si="6"/>
        <v>-3.6257098547638002E-5</v>
      </c>
      <c r="L14" s="1">
        <f t="shared" si="7"/>
        <v>3.7411058827205313E-7</v>
      </c>
      <c r="M14" s="1">
        <f t="shared" ca="1" si="8"/>
        <v>-3.3566885947811091E-2</v>
      </c>
      <c r="N14" s="1">
        <f t="shared" ca="1" si="9"/>
        <v>-2.0319408102412867E-3</v>
      </c>
      <c r="O14" s="1">
        <f t="shared" ca="1" si="10"/>
        <v>-0.29457592163200436</v>
      </c>
      <c r="P14" s="1">
        <f t="shared" ca="1" si="11"/>
        <v>-6.343066357487622</v>
      </c>
      <c r="Q14" s="1">
        <f t="shared" ca="1" si="12"/>
        <v>-0.330233215422719</v>
      </c>
      <c r="R14" s="1">
        <f t="shared" ca="1" si="13"/>
        <v>-6.0494793845538517</v>
      </c>
      <c r="S14" s="1">
        <f t="shared" ca="1" si="14"/>
        <v>-0.33221066210539302</v>
      </c>
      <c r="T14" s="1">
        <f t="shared" ca="1" si="15"/>
        <v>-6.343066404697522</v>
      </c>
      <c r="U14" s="1">
        <f t="shared" ca="1" si="15"/>
        <v>-0.331333085422719</v>
      </c>
      <c r="V14" s="1">
        <f t="shared" ca="1" si="15"/>
        <v>-6.0494811645538515</v>
      </c>
      <c r="W14" s="1">
        <f t="shared" ca="1" si="15"/>
        <v>0</v>
      </c>
      <c r="X14" s="1" cm="1">
        <f t="array" aca="1" ref="X14:AA14" ca="1">ABS(T14:W14/B14:E14)</f>
        <v>134358818.90657514</v>
      </c>
      <c r="Y14" s="1">
        <f ca="1"/>
        <v>301.24749781585007</v>
      </c>
      <c r="Z14" s="1">
        <f ca="1"/>
        <v>3398584.9239066583</v>
      </c>
      <c r="AA14" s="1">
        <f ca="1"/>
        <v>0</v>
      </c>
      <c r="AB14" s="1" cm="1">
        <f t="array" aca="1" ref="AB14" ca="1">MAX(ABS(T14:W14/B14:E14))</f>
        <v>134358818.90657514</v>
      </c>
      <c r="AC14" s="1">
        <f t="shared" ca="1" si="16"/>
        <v>-14125.800311448706</v>
      </c>
      <c r="AD14" s="1">
        <f t="shared" ca="1" si="17"/>
        <v>5038.3251589609545</v>
      </c>
      <c r="AE14" s="1">
        <f t="shared" ca="1" si="18"/>
        <v>1127.9405036346618</v>
      </c>
      <c r="AF14">
        <f t="shared" ca="1" si="19"/>
        <v>-656.0108961531979</v>
      </c>
      <c r="AG14">
        <f t="shared" ca="1" si="20"/>
        <v>5648.1952373126032</v>
      </c>
      <c r="AH14">
        <v>0</v>
      </c>
      <c r="AI14" s="1">
        <f t="shared" ca="1" si="21"/>
        <v>-13470.789415295507</v>
      </c>
      <c r="AJ14">
        <f>0</f>
        <v>0</v>
      </c>
      <c r="AK14" s="1">
        <f t="shared" ca="1" si="22"/>
        <v>1128.0411797176371</v>
      </c>
      <c r="AL14" s="16">
        <f t="shared" ca="1" si="23"/>
        <v>-10944533.253005771</v>
      </c>
      <c r="AM14" s="16">
        <f t="shared" ca="1" si="24"/>
        <v>-12342648.837964619</v>
      </c>
      <c r="AN14" s="13">
        <f t="shared" ca="1" si="25"/>
        <v>-134.70789415295476</v>
      </c>
      <c r="AO14" s="16">
        <f t="shared" ca="1" si="26"/>
        <v>-656.0108961531979</v>
      </c>
      <c r="AP14" s="16">
        <f t="shared" ca="1" si="27"/>
        <v>5681.9488534569246</v>
      </c>
      <c r="AQ14" s="13">
        <f t="shared" si="28"/>
        <v>6.7608297539198143E-4</v>
      </c>
      <c r="AR14" s="13">
        <f t="shared" ca="1" si="29"/>
        <v>-12493756.165221436</v>
      </c>
      <c r="AS14" s="1" cm="1">
        <f t="array" aca="1" ref="AS14:AU14" ca="1">TRANSPOSE(MMULT(MINVERSE(_xlfn.WRAPCOLS(AC14:AK14,3)),TRANSPOSE(T14:V14)))/$F$7:$H$7</f>
        <v>1.1068084126792093</v>
      </c>
      <c r="AT14" s="1">
        <f ca="1"/>
        <v>-0.98735822161312958</v>
      </c>
      <c r="AU14" s="1">
        <f ca="1"/>
        <v>-11.120724510279222</v>
      </c>
      <c r="AV14">
        <v>0</v>
      </c>
      <c r="AW14" t="b">
        <f t="shared" ca="1" si="30"/>
        <v>1</v>
      </c>
      <c r="AX14" t="b">
        <f t="shared" ca="1" si="37"/>
        <v>0</v>
      </c>
      <c r="AY14" t="b">
        <f t="shared" ca="1" si="31"/>
        <v>0</v>
      </c>
      <c r="AZ14">
        <f t="shared" ca="1" si="38"/>
        <v>0</v>
      </c>
      <c r="BA14">
        <f t="shared" ca="1" si="39"/>
        <v>2</v>
      </c>
      <c r="BB14">
        <f t="shared" ca="1" si="40"/>
        <v>0</v>
      </c>
      <c r="BC14">
        <f t="shared" ca="1" si="41"/>
        <v>0</v>
      </c>
      <c r="BD14">
        <f t="shared" ca="1" si="42"/>
        <v>0</v>
      </c>
      <c r="BE14" t="b">
        <f t="shared" ca="1" si="43"/>
        <v>1</v>
      </c>
      <c r="BF14">
        <f t="shared" ca="1" si="44"/>
        <v>0.44444444444444442</v>
      </c>
      <c r="BG14">
        <f t="shared" ref="BG14:BG73" ca="1" si="48">IF($BE14,0,AS14*$BF14)</f>
        <v>0</v>
      </c>
      <c r="BH14">
        <f t="shared" ca="1" si="33"/>
        <v>0</v>
      </c>
      <c r="BI14">
        <f t="shared" ca="1" si="34"/>
        <v>0</v>
      </c>
      <c r="BJ14">
        <f t="shared" si="1"/>
        <v>0</v>
      </c>
      <c r="BK14" s="1">
        <f t="shared" ca="1" si="45"/>
        <v>1.09987E-5</v>
      </c>
    </row>
    <row r="15" spans="1:63" x14ac:dyDescent="0.25">
      <c r="A15">
        <f t="shared" si="46"/>
        <v>4</v>
      </c>
      <c r="B15" s="1">
        <f t="shared" si="35"/>
        <v>4.7209899999999998E-8</v>
      </c>
      <c r="C15" s="1">
        <f t="shared" si="35"/>
        <v>1.09987E-3</v>
      </c>
      <c r="D15" s="1">
        <f t="shared" si="35"/>
        <v>1.7799999999999999E-6</v>
      </c>
      <c r="E15" s="1">
        <f t="shared" ca="1" si="2"/>
        <v>1.0242597286744764E-2</v>
      </c>
      <c r="F15" s="1">
        <f t="shared" ca="1" si="36"/>
        <v>4.4904120245468015E-4</v>
      </c>
      <c r="G15" s="1">
        <f t="shared" ca="1" si="47"/>
        <v>1.803354879832419E-6</v>
      </c>
      <c r="H15" s="1">
        <f t="shared" ca="1" si="3"/>
        <v>-5.3628178592452728E-3</v>
      </c>
      <c r="I15" s="1">
        <f t="shared" si="4"/>
        <v>2.6915348039269097E-8</v>
      </c>
      <c r="J15" s="1">
        <f t="shared" ca="1" si="5"/>
        <v>-60.489394770580716</v>
      </c>
      <c r="K15" s="1">
        <f t="shared" ca="1" si="6"/>
        <v>-3.6257098547638002E-5</v>
      </c>
      <c r="L15" s="1">
        <f t="shared" si="7"/>
        <v>3.7411058827205313E-7</v>
      </c>
      <c r="M15" s="1">
        <f t="shared" ca="1" si="8"/>
        <v>1.0353357237137101E-3</v>
      </c>
      <c r="N15" s="1">
        <f t="shared" ca="1" si="9"/>
        <v>6.2673103265683508E-5</v>
      </c>
      <c r="O15" s="1">
        <f t="shared" ca="1" si="10"/>
        <v>9.0858882615946837E-3</v>
      </c>
      <c r="P15" s="1">
        <f t="shared" ca="1" si="11"/>
        <v>-6.0394045475940228</v>
      </c>
      <c r="Q15" s="1">
        <f t="shared" ca="1" si="12"/>
        <v>1.018570044345391E-2</v>
      </c>
      <c r="R15" s="1">
        <f t="shared" ca="1" si="13"/>
        <v>-6.0494793845538517</v>
      </c>
      <c r="S15" s="1">
        <f t="shared" ca="1" si="14"/>
        <v>1.0242597286744764E-2</v>
      </c>
      <c r="T15" s="1">
        <f t="shared" ca="1" si="15"/>
        <v>-6.0394045948039228</v>
      </c>
      <c r="U15" s="1">
        <f t="shared" ca="1" si="15"/>
        <v>9.0858304434539103E-3</v>
      </c>
      <c r="V15" s="1">
        <f t="shared" ca="1" si="15"/>
        <v>-6.0494811645538515</v>
      </c>
      <c r="W15" s="1">
        <f t="shared" ca="1" si="15"/>
        <v>0</v>
      </c>
      <c r="X15" s="1" cm="1">
        <f t="array" aca="1" ref="X15:AA15" ca="1">ABS(T15:W15/B15:E15)</f>
        <v>127926655.10420321</v>
      </c>
      <c r="Y15" s="1">
        <f ca="1"/>
        <v>8.2608221366651602</v>
      </c>
      <c r="Z15" s="1">
        <f ca="1"/>
        <v>3398584.9239066583</v>
      </c>
      <c r="AA15" s="1">
        <f ca="1"/>
        <v>0</v>
      </c>
      <c r="AB15" s="1" cm="1">
        <f t="array" aca="1" ref="AB15" ca="1">MAX(ABS(T15:W15/B15:E15))</f>
        <v>127926655.10420321</v>
      </c>
      <c r="AC15" s="1">
        <f t="shared" ca="1" si="16"/>
        <v>-13449.555440747232</v>
      </c>
      <c r="AD15" s="1">
        <f t="shared" ca="1" si="17"/>
        <v>5038.3251589609545</v>
      </c>
      <c r="AE15" s="1">
        <f t="shared" ca="1" si="18"/>
        <v>1127.9405036346618</v>
      </c>
      <c r="AF15">
        <f t="shared" ca="1" si="19"/>
        <v>20.233974548274741</v>
      </c>
      <c r="AG15">
        <f t="shared" ca="1" si="20"/>
        <v>5648.1952373126032</v>
      </c>
      <c r="AH15">
        <v>0</v>
      </c>
      <c r="AI15" s="1">
        <f t="shared" ca="1" si="21"/>
        <v>-13470.789415295507</v>
      </c>
      <c r="AJ15">
        <f>0</f>
        <v>0</v>
      </c>
      <c r="AK15" s="1">
        <f t="shared" ca="1" si="22"/>
        <v>1128.0411797176371</v>
      </c>
      <c r="AL15" s="16">
        <f t="shared" ca="1" si="23"/>
        <v>337572.75768228993</v>
      </c>
      <c r="AM15" s="16">
        <f t="shared" ca="1" si="24"/>
        <v>380696.18036854535</v>
      </c>
      <c r="AN15" s="13">
        <f t="shared" ca="1" si="25"/>
        <v>-134.70789415295476</v>
      </c>
      <c r="AO15" s="16">
        <f t="shared" ca="1" si="26"/>
        <v>20.233974548274741</v>
      </c>
      <c r="AP15" s="16">
        <f t="shared" ca="1" si="27"/>
        <v>5681.9488534569246</v>
      </c>
      <c r="AQ15" s="13">
        <f t="shared" si="28"/>
        <v>6.7608297539198143E-4</v>
      </c>
      <c r="AR15" s="13">
        <f t="shared" ca="1" si="29"/>
        <v>385233.42515671381</v>
      </c>
      <c r="AS15" s="1" cm="1">
        <f t="array" aca="1" ref="AS15:AU15" ca="1">TRANSPOSE(MMULT(MINVERSE(_xlfn.WRAPCOLS(AC15:AK15,3)),TRANSPOSE(T15:V15)))/$F$7:$H$7</f>
        <v>-39.485195853831499</v>
      </c>
      <c r="AT15" s="1">
        <f ca="1"/>
        <v>35.221740114165257</v>
      </c>
      <c r="AU15" s="1">
        <f ca="1"/>
        <v>394.76309036400647</v>
      </c>
      <c r="AV15">
        <v>0</v>
      </c>
      <c r="AW15" t="b">
        <f t="shared" ca="1" si="30"/>
        <v>0</v>
      </c>
      <c r="AX15" t="b">
        <f t="shared" ca="1" si="37"/>
        <v>1</v>
      </c>
      <c r="AY15" t="b">
        <f t="shared" ca="1" si="31"/>
        <v>0</v>
      </c>
      <c r="AZ15">
        <f t="shared" ca="1" si="38"/>
        <v>0</v>
      </c>
      <c r="BA15">
        <f t="shared" ca="1" si="39"/>
        <v>2</v>
      </c>
      <c r="BB15">
        <f t="shared" ca="1" si="40"/>
        <v>0</v>
      </c>
      <c r="BC15">
        <f t="shared" ca="1" si="41"/>
        <v>0</v>
      </c>
      <c r="BD15">
        <f t="shared" ca="1" si="42"/>
        <v>0</v>
      </c>
      <c r="BE15" t="b">
        <f t="shared" ca="1" si="43"/>
        <v>0</v>
      </c>
      <c r="BF15">
        <f t="shared" ca="1" si="44"/>
        <v>0.44444444444444442</v>
      </c>
      <c r="BG15">
        <f t="shared" ca="1" si="48"/>
        <v>-17.548975935036221</v>
      </c>
      <c r="BH15">
        <f t="shared" ca="1" si="33"/>
        <v>15.65410671740678</v>
      </c>
      <c r="BI15">
        <f t="shared" ca="1" si="34"/>
        <v>175.45026238400285</v>
      </c>
      <c r="BJ15">
        <f t="shared" si="1"/>
        <v>0</v>
      </c>
      <c r="BK15" s="1">
        <f t="shared" ca="1" si="45"/>
        <v>1.803354879832419E-6</v>
      </c>
    </row>
    <row r="16" spans="1:63" x14ac:dyDescent="0.25">
      <c r="A16">
        <f t="shared" si="46"/>
        <v>5</v>
      </c>
      <c r="B16" s="1">
        <f t="shared" si="35"/>
        <v>4.7209899999999998E-8</v>
      </c>
      <c r="C16" s="1">
        <f t="shared" si="35"/>
        <v>1.09987E-3</v>
      </c>
      <c r="D16" s="1">
        <f t="shared" si="35"/>
        <v>1.7799999999999999E-6</v>
      </c>
      <c r="E16" s="1">
        <f t="shared" ca="1" si="2"/>
        <v>-3082425229.3290296</v>
      </c>
      <c r="F16" s="1">
        <f t="shared" ca="1" si="36"/>
        <v>17.549424976238676</v>
      </c>
      <c r="G16" s="1">
        <f t="shared" ca="1" si="47"/>
        <v>-15.654104914051899</v>
      </c>
      <c r="H16" s="1">
        <f t="shared" ca="1" si="3"/>
        <v>-175.45562520186209</v>
      </c>
      <c r="I16" s="1">
        <f t="shared" si="4"/>
        <v>2.6915348039269097E-8</v>
      </c>
      <c r="J16" s="1">
        <f t="shared" ca="1" si="5"/>
        <v>-77344633779.344849</v>
      </c>
      <c r="K16" s="1">
        <f t="shared" ca="1" si="6"/>
        <v>-1.1862256113573526</v>
      </c>
      <c r="L16" s="1">
        <f t="shared" si="7"/>
        <v>3.7411058827205313E-7</v>
      </c>
      <c r="M16" s="1">
        <f t="shared" ca="1" si="8"/>
        <v>-8987.2793322778307</v>
      </c>
      <c r="N16" s="1">
        <f t="shared" ca="1" si="9"/>
        <v>-544.03675326588439</v>
      </c>
      <c r="O16" s="1">
        <f t="shared" ca="1" si="10"/>
        <v>-3082415153.8575678</v>
      </c>
      <c r="P16" s="1">
        <f t="shared" ca="1" si="11"/>
        <v>-10816878514.242628</v>
      </c>
      <c r="Q16" s="1">
        <f t="shared" ca="1" si="12"/>
        <v>-3082424700.8277583</v>
      </c>
      <c r="R16" s="1">
        <f t="shared" ca="1" si="13"/>
        <v>-7734463395.598671</v>
      </c>
      <c r="S16" s="1">
        <f t="shared" ca="1" si="14"/>
        <v>-3082425229.3290296</v>
      </c>
      <c r="T16" s="1">
        <f t="shared" ca="1" si="15"/>
        <v>-10816878514.242628</v>
      </c>
      <c r="U16" s="1">
        <f t="shared" ca="1" si="15"/>
        <v>-3082424700.8288584</v>
      </c>
      <c r="V16" s="1">
        <f t="shared" ca="1" si="15"/>
        <v>-7734463395.5986729</v>
      </c>
      <c r="W16" s="1">
        <f t="shared" ca="1" si="15"/>
        <v>0</v>
      </c>
      <c r="X16" s="1" cm="1">
        <f t="array" aca="1" ref="X16:AA16" ca="1">ABS(T16:W16/B16:E16)</f>
        <v>2.2912309736395603E+17</v>
      </c>
      <c r="Y16" s="1">
        <f ca="1"/>
        <v>2802535482219.5884</v>
      </c>
      <c r="Z16" s="1">
        <f ca="1"/>
        <v>4345204154830715.5</v>
      </c>
      <c r="AA16" s="1">
        <f ca="1"/>
        <v>0</v>
      </c>
      <c r="AB16" s="1" cm="1">
        <f t="array" aca="1" ref="AB16" ca="1">MAX(ABS(T16:W16/B16:E16))</f>
        <v>2.2912309736395603E+17</v>
      </c>
      <c r="AC16" s="1">
        <f t="shared" ca="1" si="16"/>
        <v>-616366549.26804233</v>
      </c>
      <c r="AD16" s="1">
        <f t="shared" ca="1" si="17"/>
        <v>196907786.85727596</v>
      </c>
      <c r="AE16" s="1">
        <f t="shared" ca="1" si="18"/>
        <v>44082162.478609443</v>
      </c>
      <c r="AF16">
        <f t="shared" ca="1" si="19"/>
        <v>-175641945.99145287</v>
      </c>
      <c r="AG16">
        <f t="shared" ca="1" si="20"/>
        <v>196908396.72735432</v>
      </c>
      <c r="AH16">
        <v>0</v>
      </c>
      <c r="AI16" s="1">
        <f t="shared" ca="1" si="21"/>
        <v>-440724604.27658939</v>
      </c>
      <c r="AJ16">
        <f>0</f>
        <v>0</v>
      </c>
      <c r="AK16" s="1">
        <f t="shared" ca="1" si="22"/>
        <v>44082162.579285525</v>
      </c>
      <c r="AL16" s="16">
        <f t="shared" ca="1" si="23"/>
        <v>-1.1452258203610702E+17</v>
      </c>
      <c r="AM16" s="16">
        <f t="shared" ca="1" si="24"/>
        <v>-1.1452295637095955E+17</v>
      </c>
      <c r="AN16" s="13">
        <f t="shared" ca="1" si="25"/>
        <v>-4407246.0427658847</v>
      </c>
      <c r="AO16" s="16">
        <f t="shared" ca="1" si="26"/>
        <v>-175641945.99145287</v>
      </c>
      <c r="AP16" s="16">
        <f t="shared" ca="1" si="27"/>
        <v>196908430.48097047</v>
      </c>
      <c r="AQ16" s="13">
        <f t="shared" si="28"/>
        <v>6.7608297539198143E-4</v>
      </c>
      <c r="AR16" s="13">
        <f t="shared" ca="1" si="29"/>
        <v>-1.1452299680113072E+17</v>
      </c>
      <c r="AS16" s="1" cm="1">
        <f t="array" aca="1" ref="AS16:AU16" ca="1">TRANSPOSE(MMULT(MINVERSE(_xlfn.WRAPCOLS(AC16:AK16,3)),TRANSPOSE(T16:V16)))/$F$7:$H$7</f>
        <v>167081627.99353367</v>
      </c>
      <c r="AT16" s="1">
        <f ca="1"/>
        <v>-167081126.15784514</v>
      </c>
      <c r="AU16" s="1">
        <f ca="1"/>
        <v>-1670818030.6757319</v>
      </c>
      <c r="AV16">
        <v>0</v>
      </c>
      <c r="AW16" t="b">
        <f t="shared" ca="1" si="30"/>
        <v>1</v>
      </c>
      <c r="AX16" t="b">
        <f t="shared" ca="1" si="37"/>
        <v>0</v>
      </c>
      <c r="AY16" t="b">
        <f t="shared" ca="1" si="31"/>
        <v>0</v>
      </c>
      <c r="AZ16">
        <f t="shared" ca="1" si="38"/>
        <v>0</v>
      </c>
      <c r="BA16">
        <f t="shared" ca="1" si="39"/>
        <v>3</v>
      </c>
      <c r="BB16">
        <f t="shared" ca="1" si="40"/>
        <v>0</v>
      </c>
      <c r="BC16">
        <f t="shared" ca="1" si="41"/>
        <v>0</v>
      </c>
      <c r="BD16">
        <f t="shared" ca="1" si="42"/>
        <v>0</v>
      </c>
      <c r="BE16" t="b">
        <f t="shared" ca="1" si="43"/>
        <v>1</v>
      </c>
      <c r="BF16">
        <f t="shared" ca="1" si="44"/>
        <v>0.29629629629629628</v>
      </c>
      <c r="BG16">
        <f t="shared" ca="1" si="48"/>
        <v>0</v>
      </c>
      <c r="BH16">
        <f t="shared" ca="1" si="33"/>
        <v>0</v>
      </c>
      <c r="BI16">
        <f t="shared" ca="1" si="34"/>
        <v>0</v>
      </c>
      <c r="BJ16">
        <f t="shared" si="1"/>
        <v>0</v>
      </c>
      <c r="BK16" s="1">
        <f t="shared" ca="1" si="45"/>
        <v>1.803354879832419E-6</v>
      </c>
    </row>
    <row r="17" spans="1:63" x14ac:dyDescent="0.25">
      <c r="A17">
        <f t="shared" si="46"/>
        <v>6</v>
      </c>
      <c r="B17" s="1">
        <f t="shared" si="35"/>
        <v>4.7209899999999998E-8</v>
      </c>
      <c r="C17" s="1">
        <f t="shared" si="35"/>
        <v>1.09987E-3</v>
      </c>
      <c r="D17" s="1">
        <f t="shared" si="35"/>
        <v>1.7799999999999999E-6</v>
      </c>
      <c r="E17" s="1">
        <f t="shared" ca="1" si="2"/>
        <v>2165.6181314227192</v>
      </c>
      <c r="F17" s="1">
        <f t="shared" ca="1" si="36"/>
        <v>17.549424976238676</v>
      </c>
      <c r="G17" s="1">
        <f t="shared" ca="1" si="47"/>
        <v>1.09987E-5</v>
      </c>
      <c r="H17" s="1">
        <f t="shared" ca="1" si="3"/>
        <v>-175.45562520186209</v>
      </c>
      <c r="I17" s="1">
        <f t="shared" si="4"/>
        <v>2.6915348039269097E-8</v>
      </c>
      <c r="J17" s="1">
        <f t="shared" ca="1" si="5"/>
        <v>-77344633779.344849</v>
      </c>
      <c r="K17" s="1">
        <f t="shared" ca="1" si="6"/>
        <v>-1.1862256113573526</v>
      </c>
      <c r="L17" s="1">
        <f t="shared" si="7"/>
        <v>3.7411058827205313E-7</v>
      </c>
      <c r="M17" s="1">
        <f t="shared" ca="1" si="8"/>
        <v>6.3145347328797431E-3</v>
      </c>
      <c r="N17" s="1">
        <f t="shared" ca="1" si="9"/>
        <v>3.8224459788654031E-4</v>
      </c>
      <c r="O17" s="1">
        <f t="shared" ca="1" si="10"/>
        <v>2165.7296753071214</v>
      </c>
      <c r="P17" s="1">
        <f t="shared" ca="1" si="11"/>
        <v>-7734461194.655385</v>
      </c>
      <c r="Q17" s="1">
        <f t="shared" ca="1" si="12"/>
        <v>2165.7363830851523</v>
      </c>
      <c r="R17" s="1">
        <f t="shared" ca="1" si="13"/>
        <v>-7734463395.598671</v>
      </c>
      <c r="S17" s="1">
        <f t="shared" ca="1" si="14"/>
        <v>2165.6181314227192</v>
      </c>
      <c r="T17" s="1">
        <f t="shared" ca="1" si="15"/>
        <v>-7734461194.655385</v>
      </c>
      <c r="U17" s="1">
        <f t="shared" ca="1" si="15"/>
        <v>2165.7352832151523</v>
      </c>
      <c r="V17" s="1">
        <f t="shared" ca="1" si="15"/>
        <v>-7734463395.5986729</v>
      </c>
      <c r="W17" s="1">
        <f t="shared" ca="1" si="15"/>
        <v>0</v>
      </c>
      <c r="X17" s="1" cm="1">
        <f t="array" aca="1" ref="X17:AA17" ca="1">ABS(T17:W17/B17:E17)</f>
        <v>1.6383134034715994E+17</v>
      </c>
      <c r="Y17" s="1">
        <f ca="1"/>
        <v>1969082.9672735436</v>
      </c>
      <c r="Z17" s="1">
        <f ca="1"/>
        <v>4345204154830715.5</v>
      </c>
      <c r="AA17" s="1">
        <f ca="1"/>
        <v>0</v>
      </c>
      <c r="AB17" s="1" cm="1">
        <f t="array" aca="1" ref="AB17" ca="1">MAX(ABS(T17:W17/B17:E17))</f>
        <v>1.6383134034715994E+17</v>
      </c>
      <c r="AC17" s="1">
        <f t="shared" ca="1" si="16"/>
        <v>-440724479.86914563</v>
      </c>
      <c r="AD17" s="1">
        <f t="shared" ca="1" si="17"/>
        <v>196907786.85727596</v>
      </c>
      <c r="AE17" s="1">
        <f t="shared" ca="1" si="18"/>
        <v>44082162.478609443</v>
      </c>
      <c r="AF17">
        <f t="shared" ca="1" si="19"/>
        <v>123.40744373331009</v>
      </c>
      <c r="AG17">
        <f t="shared" ca="1" si="20"/>
        <v>196908396.72735432</v>
      </c>
      <c r="AH17">
        <v>0</v>
      </c>
      <c r="AI17" s="1">
        <f t="shared" ca="1" si="21"/>
        <v>-440724604.27658939</v>
      </c>
      <c r="AJ17">
        <f>0</f>
        <v>0</v>
      </c>
      <c r="AK17" s="1">
        <f t="shared" ca="1" si="22"/>
        <v>44082162.579285525</v>
      </c>
      <c r="AL17" s="16">
        <f t="shared" ca="1" si="23"/>
        <v>80464487107.777817</v>
      </c>
      <c r="AM17" s="16">
        <f t="shared" ca="1" si="24"/>
        <v>80464750118.455536</v>
      </c>
      <c r="AN17" s="13">
        <f t="shared" ca="1" si="25"/>
        <v>-4407246.0427658847</v>
      </c>
      <c r="AO17" s="16">
        <f t="shared" ca="1" si="26"/>
        <v>123.40744373331009</v>
      </c>
      <c r="AP17" s="16">
        <f t="shared" ca="1" si="27"/>
        <v>196908430.48097047</v>
      </c>
      <c r="AQ17" s="13">
        <f t="shared" si="28"/>
        <v>6.7608297539198143E-4</v>
      </c>
      <c r="AR17" s="13">
        <f t="shared" ca="1" si="29"/>
        <v>80460371290.779129</v>
      </c>
      <c r="AS17" s="1" cm="1">
        <f t="array" aca="1" ref="AS17:AU17" ca="1">TRANSPOSE(MMULT(MINVERSE(_xlfn.WRAPCOLS(AC17:AK17,3)),TRANSPOSE(T17:V17)))/$F$7:$H$7</f>
        <v>13815563795120.441</v>
      </c>
      <c r="AT17" s="1">
        <f ca="1"/>
        <v>-13815521005177.941</v>
      </c>
      <c r="AU17" s="1">
        <f ca="1"/>
        <v>-138155637637435.25</v>
      </c>
      <c r="AV17">
        <v>0</v>
      </c>
      <c r="AW17" t="b">
        <f t="shared" ca="1" si="30"/>
        <v>0</v>
      </c>
      <c r="AX17" t="b">
        <f t="shared" ca="1" si="37"/>
        <v>1</v>
      </c>
      <c r="AY17" t="b">
        <f t="shared" ca="1" si="31"/>
        <v>0</v>
      </c>
      <c r="AZ17">
        <f t="shared" ca="1" si="38"/>
        <v>0</v>
      </c>
      <c r="BA17">
        <f t="shared" ca="1" si="39"/>
        <v>3</v>
      </c>
      <c r="BB17">
        <f t="shared" ca="1" si="40"/>
        <v>0</v>
      </c>
      <c r="BC17">
        <f t="shared" ca="1" si="41"/>
        <v>0</v>
      </c>
      <c r="BD17">
        <f t="shared" ca="1" si="42"/>
        <v>0</v>
      </c>
      <c r="BE17" t="b">
        <f t="shared" ca="1" si="43"/>
        <v>0</v>
      </c>
      <c r="BF17">
        <f t="shared" ca="1" si="44"/>
        <v>0.29629629629629628</v>
      </c>
      <c r="BG17">
        <f t="shared" ca="1" si="48"/>
        <v>4093500383739.3896</v>
      </c>
      <c r="BH17">
        <f t="shared" ca="1" si="33"/>
        <v>-4093487705237.9082</v>
      </c>
      <c r="BI17">
        <f t="shared" ca="1" si="34"/>
        <v>-40935003744425.258</v>
      </c>
      <c r="BJ17">
        <f t="shared" si="1"/>
        <v>0</v>
      </c>
      <c r="BK17" s="1">
        <f t="shared" ca="1" si="45"/>
        <v>1.09987E-5</v>
      </c>
    </row>
    <row r="18" spans="1:63" x14ac:dyDescent="0.25">
      <c r="A18">
        <f t="shared" si="46"/>
        <v>7</v>
      </c>
      <c r="B18" s="1">
        <f t="shared" si="35"/>
        <v>4.7209899999999998E-8</v>
      </c>
      <c r="C18" s="1">
        <f t="shared" si="35"/>
        <v>1.09987E-3</v>
      </c>
      <c r="D18" s="1">
        <f t="shared" si="35"/>
        <v>1.7799999999999999E-6</v>
      </c>
      <c r="E18" s="1">
        <f t="shared" ca="1" si="2"/>
        <v>-1.8801319331276178E+32</v>
      </c>
      <c r="F18" s="1">
        <f t="shared" ca="1" si="36"/>
        <v>-4093500383721.8403</v>
      </c>
      <c r="G18" s="1">
        <f t="shared" ca="1" si="47"/>
        <v>4093487705237.9082</v>
      </c>
      <c r="H18" s="1">
        <f t="shared" ca="1" si="3"/>
        <v>40935003744249.805</v>
      </c>
      <c r="I18" s="1">
        <f t="shared" si="4"/>
        <v>2.6915348039269097E-8</v>
      </c>
      <c r="J18" s="1">
        <f t="shared" ca="1" si="5"/>
        <v>-4.2091041289653097E+33</v>
      </c>
      <c r="K18" s="1">
        <f t="shared" ca="1" si="6"/>
        <v>276754591290.94305</v>
      </c>
      <c r="L18" s="1">
        <f t="shared" si="7"/>
        <v>3.7411058827205313E-7</v>
      </c>
      <c r="M18" s="1">
        <f t="shared" ca="1" si="8"/>
        <v>2350138679420383</v>
      </c>
      <c r="N18" s="1">
        <f t="shared" ca="1" si="9"/>
        <v>142263500399334.53</v>
      </c>
      <c r="O18" s="1">
        <f t="shared" ca="1" si="10"/>
        <v>-1.8801319331276178E+32</v>
      </c>
      <c r="P18" s="1">
        <f t="shared" ca="1" si="11"/>
        <v>-6.089236062092928E+32</v>
      </c>
      <c r="Q18" s="1">
        <f t="shared" ca="1" si="12"/>
        <v>-1.8801319331276178E+32</v>
      </c>
      <c r="R18" s="1">
        <f t="shared" ca="1" si="13"/>
        <v>-4.2091041289653101E+32</v>
      </c>
      <c r="S18" s="1">
        <f t="shared" ca="1" si="14"/>
        <v>-1.8801319331276178E+32</v>
      </c>
      <c r="T18" s="1">
        <f t="shared" ca="1" si="15"/>
        <v>-6.089236062092928E+32</v>
      </c>
      <c r="U18" s="1">
        <f t="shared" ca="1" si="15"/>
        <v>-1.8801319331276178E+32</v>
      </c>
      <c r="V18" s="1">
        <f t="shared" ca="1" si="15"/>
        <v>-4.2091041289653101E+32</v>
      </c>
      <c r="W18" s="1">
        <f t="shared" ca="1" si="15"/>
        <v>0</v>
      </c>
      <c r="X18" s="1" cm="1">
        <f t="array" aca="1" ref="X18:AA18" ca="1">ABS(T18:W18/B18:E18)</f>
        <v>1.2898218513686595E+40</v>
      </c>
      <c r="Y18" s="1">
        <f ca="1"/>
        <v>1.7094128698188132E+35</v>
      </c>
      <c r="Z18" s="1">
        <f ca="1"/>
        <v>2.3646652409917476E+38</v>
      </c>
      <c r="AA18" s="1">
        <f ca="1"/>
        <v>0</v>
      </c>
      <c r="AB18" s="1" cm="1">
        <f t="array" aca="1" ref="AB18" ca="1">MAX(ABS(T18:W18/B18:E18))</f>
        <v>1.2898218513686595E+40</v>
      </c>
      <c r="AC18" s="1">
        <f t="shared" ca="1" si="16"/>
        <v>1.4875376795632665E+20</v>
      </c>
      <c r="AD18" s="1">
        <f t="shared" ca="1" si="17"/>
        <v>-4.5929829732280746E+19</v>
      </c>
      <c r="AE18" s="1">
        <f t="shared" ca="1" si="18"/>
        <v>-1.028240807125019E+19</v>
      </c>
      <c r="AF18">
        <f t="shared" ca="1" si="19"/>
        <v>4.5929687477351301E+19</v>
      </c>
      <c r="AG18">
        <f t="shared" ca="1" si="20"/>
        <v>-4.5929829732280746E+19</v>
      </c>
      <c r="AH18">
        <v>0</v>
      </c>
      <c r="AI18" s="1">
        <f t="shared" ca="1" si="21"/>
        <v>1.0282408047897534E+20</v>
      </c>
      <c r="AJ18">
        <f>0</f>
        <v>0</v>
      </c>
      <c r="AK18" s="1">
        <f t="shared" ca="1" si="22"/>
        <v>-1.028240807125019E+19</v>
      </c>
      <c r="AL18" s="16">
        <f t="shared" ca="1" si="23"/>
        <v>-6.9853524850748083E+39</v>
      </c>
      <c r="AM18" s="16">
        <f t="shared" ca="1" si="24"/>
        <v>-6.9853524850748083E+39</v>
      </c>
      <c r="AN18" s="13">
        <f t="shared" ca="1" si="25"/>
        <v>1.0282408047897513E+18</v>
      </c>
      <c r="AO18" s="16">
        <f t="shared" ca="1" si="26"/>
        <v>4.5929687477351301E+19</v>
      </c>
      <c r="AP18" s="16">
        <f t="shared" ca="1" si="27"/>
        <v>-4.5929829732280746E+19</v>
      </c>
      <c r="AQ18" s="13">
        <f t="shared" si="28"/>
        <v>6.7608297539198143E-4</v>
      </c>
      <c r="AR18" s="13">
        <f t="shared" ca="1" si="29"/>
        <v>-6.9853524850748083E+39</v>
      </c>
      <c r="AS18" s="1" t="e" cm="1">
        <f t="array" aca="1" ref="AS18:AU18" ca="1">TRANSPOSE(MMULT(MINVERSE(_xlfn.WRAPCOLS(AC18:AK18,3)),TRANSPOSE(T18:V18)))/$F$7:$H$7</f>
        <v>#NUM!</v>
      </c>
      <c r="AT18" s="1" t="e">
        <f ca="1"/>
        <v>#NUM!</v>
      </c>
      <c r="AU18" s="1" t="e">
        <f ca="1"/>
        <v>#NUM!</v>
      </c>
      <c r="AV18">
        <v>0</v>
      </c>
      <c r="AW18" t="b">
        <f t="shared" ca="1" si="30"/>
        <v>1</v>
      </c>
      <c r="AX18" t="b">
        <f t="shared" ca="1" si="37"/>
        <v>0</v>
      </c>
      <c r="AY18" t="b">
        <f t="shared" ca="1" si="31"/>
        <v>0</v>
      </c>
      <c r="AZ18">
        <f t="shared" ca="1" si="38"/>
        <v>0</v>
      </c>
      <c r="BA18">
        <f t="shared" ca="1" si="39"/>
        <v>4</v>
      </c>
      <c r="BB18">
        <f t="shared" ca="1" si="40"/>
        <v>0</v>
      </c>
      <c r="BC18">
        <f t="shared" ca="1" si="41"/>
        <v>0</v>
      </c>
      <c r="BD18">
        <f t="shared" ca="1" si="42"/>
        <v>0</v>
      </c>
      <c r="BE18" t="b">
        <f t="shared" ca="1" si="43"/>
        <v>1</v>
      </c>
      <c r="BF18">
        <f t="shared" ca="1" si="44"/>
        <v>0.19753086419753085</v>
      </c>
      <c r="BG18">
        <f t="shared" ca="1" si="48"/>
        <v>0</v>
      </c>
      <c r="BH18">
        <f t="shared" ca="1" si="33"/>
        <v>0</v>
      </c>
      <c r="BI18">
        <f t="shared" ca="1" si="34"/>
        <v>0</v>
      </c>
      <c r="BJ18">
        <f t="shared" si="1"/>
        <v>0</v>
      </c>
      <c r="BK18" s="1">
        <f t="shared" ca="1" si="45"/>
        <v>1.09987E-5</v>
      </c>
    </row>
    <row r="19" spans="1:63" x14ac:dyDescent="0.25">
      <c r="A19">
        <f t="shared" si="46"/>
        <v>8</v>
      </c>
      <c r="B19" s="1">
        <f t="shared" si="35"/>
        <v>4.7209899999999998E-8</v>
      </c>
      <c r="C19" s="1">
        <f t="shared" si="35"/>
        <v>1.09987E-3</v>
      </c>
      <c r="D19" s="1">
        <f t="shared" si="35"/>
        <v>1.7799999999999999E-6</v>
      </c>
      <c r="E19" s="1">
        <f t="shared" ca="1" si="2"/>
        <v>2685408530587953</v>
      </c>
      <c r="F19" s="1">
        <f t="shared" ca="1" si="36"/>
        <v>-4093500383721.8403</v>
      </c>
      <c r="G19" s="1">
        <f t="shared" ca="1" si="47"/>
        <v>-5.8467032662249662E-5</v>
      </c>
      <c r="H19" s="1">
        <f t="shared" ca="1" si="3"/>
        <v>40935003744249.805</v>
      </c>
      <c r="I19" s="1">
        <f t="shared" si="4"/>
        <v>2.6915348039269097E-8</v>
      </c>
      <c r="J19" s="1">
        <f t="shared" ca="1" si="5"/>
        <v>-4.2091041289653097E+33</v>
      </c>
      <c r="K19" s="1">
        <f t="shared" ca="1" si="6"/>
        <v>276754591290.94305</v>
      </c>
      <c r="L19" s="1">
        <f t="shared" si="7"/>
        <v>3.7411058827205313E-7</v>
      </c>
      <c r="M19" s="1">
        <f t="shared" ca="1" si="8"/>
        <v>-3.3566885947811091E-2</v>
      </c>
      <c r="N19" s="1">
        <f t="shared" ca="1" si="9"/>
        <v>-2.0319408102412867E-3</v>
      </c>
      <c r="O19" s="1">
        <f t="shared" ca="1" si="10"/>
        <v>2685380855128824</v>
      </c>
      <c r="P19" s="1">
        <f t="shared" ca="1" si="11"/>
        <v>-4.2091041289653101E+32</v>
      </c>
      <c r="Q19" s="1">
        <f t="shared" ca="1" si="12"/>
        <v>2685380855128824</v>
      </c>
      <c r="R19" s="1">
        <f t="shared" ca="1" si="13"/>
        <v>-4.2091041289653101E+32</v>
      </c>
      <c r="S19" s="1">
        <f t="shared" ca="1" si="14"/>
        <v>2685408530587953</v>
      </c>
      <c r="T19" s="1">
        <f t="shared" ca="1" si="15"/>
        <v>-4.2091041289653101E+32</v>
      </c>
      <c r="U19" s="1">
        <f t="shared" ca="1" si="15"/>
        <v>2685380855128824</v>
      </c>
      <c r="V19" s="1">
        <f t="shared" ca="1" si="15"/>
        <v>-4.2091041289653101E+32</v>
      </c>
      <c r="W19" s="1">
        <f t="shared" ca="1" si="15"/>
        <v>0</v>
      </c>
      <c r="X19" s="1" cm="1">
        <f t="array" aca="1" ref="X19:AA19" ca="1">ABS(T19:W19/B19:E19)</f>
        <v>8.9157234583536723E+39</v>
      </c>
      <c r="Y19" s="1">
        <f ca="1"/>
        <v>2.4415438689379871E+18</v>
      </c>
      <c r="Z19" s="1">
        <f ca="1"/>
        <v>2.3646652409917476E+38</v>
      </c>
      <c r="AA19" s="1">
        <f ca="1"/>
        <v>0</v>
      </c>
      <c r="AB19" s="1" cm="1">
        <f t="array" aca="1" ref="AB19" ca="1">MAX(ABS(T19:W19/B19:E19))</f>
        <v>8.9157234583536723E+39</v>
      </c>
      <c r="AC19" s="1">
        <f t="shared" ca="1" si="16"/>
        <v>1.0282408047897534E+20</v>
      </c>
      <c r="AD19" s="1">
        <f t="shared" ca="1" si="17"/>
        <v>-4.5929829732280746E+19</v>
      </c>
      <c r="AE19" s="1">
        <f t="shared" ca="1" si="18"/>
        <v>-1.028240807125019E+19</v>
      </c>
      <c r="AF19">
        <f t="shared" ca="1" si="19"/>
        <v>-656.0108961531979</v>
      </c>
      <c r="AG19">
        <f t="shared" ca="1" si="20"/>
        <v>-4.5929829732280746E+19</v>
      </c>
      <c r="AH19">
        <v>0</v>
      </c>
      <c r="AI19" s="1">
        <f t="shared" ca="1" si="21"/>
        <v>1.0282408047897534E+20</v>
      </c>
      <c r="AJ19">
        <f>0</f>
        <v>0</v>
      </c>
      <c r="AK19" s="1">
        <f t="shared" ca="1" si="22"/>
        <v>-1.028240807125019E+19</v>
      </c>
      <c r="AL19" s="16">
        <f t="shared" ca="1" si="23"/>
        <v>9.9771359122345106E+22</v>
      </c>
      <c r="AM19" s="16">
        <f t="shared" ca="1" si="24"/>
        <v>9.9771359122345106E+22</v>
      </c>
      <c r="AN19" s="13">
        <f t="shared" ca="1" si="25"/>
        <v>1.0282408047897513E+18</v>
      </c>
      <c r="AO19" s="16">
        <f t="shared" ca="1" si="26"/>
        <v>-656.0108961531979</v>
      </c>
      <c r="AP19" s="16">
        <f t="shared" ca="1" si="27"/>
        <v>-4.5929829732280746E+19</v>
      </c>
      <c r="AQ19" s="13">
        <f t="shared" si="28"/>
        <v>6.7608297539198143E-4</v>
      </c>
      <c r="AR19" s="13">
        <f t="shared" ca="1" si="29"/>
        <v>9.9772387363149895E+22</v>
      </c>
      <c r="AS19" s="1" cm="1">
        <f t="array" aca="1" ref="AS19:AU19" ca="1">TRANSPOSE(MMULT(MINVERSE(_xlfn.WRAPCOLS(AC19:AK19,3)),TRANSPOSE(T19:V19)))/$F$7:$H$7</f>
        <v>-7.0578317516561297E+30</v>
      </c>
      <c r="AT19" s="1">
        <f ca="1"/>
        <v>7.0578317516561286E+30</v>
      </c>
      <c r="AU19" s="1">
        <f ca="1"/>
        <v>7.0578317516561279E+31</v>
      </c>
      <c r="AV19">
        <v>0</v>
      </c>
      <c r="AW19" t="b">
        <f t="shared" ca="1" si="30"/>
        <v>0</v>
      </c>
      <c r="AX19" t="b">
        <f t="shared" ca="1" si="37"/>
        <v>1</v>
      </c>
      <c r="AY19" t="b">
        <f t="shared" ca="1" si="31"/>
        <v>0</v>
      </c>
      <c r="AZ19">
        <f t="shared" ca="1" si="38"/>
        <v>0</v>
      </c>
      <c r="BA19">
        <f t="shared" ca="1" si="39"/>
        <v>4</v>
      </c>
      <c r="BB19">
        <f t="shared" ca="1" si="40"/>
        <v>0</v>
      </c>
      <c r="BC19">
        <f t="shared" ca="1" si="41"/>
        <v>0</v>
      </c>
      <c r="BD19">
        <f t="shared" ca="1" si="42"/>
        <v>0</v>
      </c>
      <c r="BE19" t="b">
        <f t="shared" ca="1" si="43"/>
        <v>0</v>
      </c>
      <c r="BF19">
        <f t="shared" ca="1" si="44"/>
        <v>0.19753086419753085</v>
      </c>
      <c r="BG19">
        <f t="shared" ca="1" si="48"/>
        <v>-1.3941396052654083E+30</v>
      </c>
      <c r="BH19">
        <f t="shared" ca="1" si="33"/>
        <v>1.394139605265408E+30</v>
      </c>
      <c r="BI19">
        <f t="shared" ca="1" si="34"/>
        <v>1.3941396052654079E+31</v>
      </c>
      <c r="BJ19">
        <f t="shared" si="1"/>
        <v>0</v>
      </c>
      <c r="BK19" s="1">
        <f t="shared" ca="1" si="45"/>
        <v>-5.8467032662249662E-5</v>
      </c>
    </row>
    <row r="20" spans="1:63" x14ac:dyDescent="0.25">
      <c r="A20">
        <f t="shared" si="46"/>
        <v>9</v>
      </c>
      <c r="B20" s="1">
        <f t="shared" si="35"/>
        <v>4.7209899999999998E-8</v>
      </c>
      <c r="C20" s="1">
        <f t="shared" si="35"/>
        <v>1.09987E-3</v>
      </c>
      <c r="D20" s="1">
        <f t="shared" si="35"/>
        <v>1.7799999999999999E-6</v>
      </c>
      <c r="E20" s="1">
        <f t="shared" ca="1" si="2"/>
        <v>-2.1807833863709422E+67</v>
      </c>
      <c r="F20" s="1">
        <f t="shared" ca="1" si="36"/>
        <v>1.3941396052654083E+30</v>
      </c>
      <c r="G20" s="1">
        <f t="shared" ca="1" si="47"/>
        <v>-1.394139605265408E+30</v>
      </c>
      <c r="H20" s="1">
        <f t="shared" ca="1" si="3"/>
        <v>-1.3941396052654079E+31</v>
      </c>
      <c r="I20" s="1">
        <f t="shared" si="4"/>
        <v>2.6915348039269097E-8</v>
      </c>
      <c r="J20" s="1">
        <f t="shared" ca="1" si="5"/>
        <v>-4.8821658657072917E+68</v>
      </c>
      <c r="K20" s="1">
        <f t="shared" ca="1" si="6"/>
        <v>-9.4255405243963949E+28</v>
      </c>
      <c r="L20" s="1">
        <f t="shared" si="7"/>
        <v>3.7411058827205313E-7</v>
      </c>
      <c r="M20" s="1">
        <f t="shared" ca="1" si="8"/>
        <v>-8.003984979980974E+32</v>
      </c>
      <c r="N20" s="1">
        <f t="shared" ca="1" si="9"/>
        <v>-4.8451392692988796E+31</v>
      </c>
      <c r="O20" s="1">
        <f t="shared" ca="1" si="10"/>
        <v>-2.1807833863709422E+67</v>
      </c>
      <c r="P20" s="1">
        <f t="shared" ca="1" si="11"/>
        <v>-7.062949252078234E+67</v>
      </c>
      <c r="Q20" s="1">
        <f t="shared" ca="1" si="12"/>
        <v>-2.1807833863709422E+67</v>
      </c>
      <c r="R20" s="1">
        <f t="shared" ca="1" si="13"/>
        <v>-4.8821658657072918E+67</v>
      </c>
      <c r="S20" s="1">
        <f t="shared" ca="1" si="14"/>
        <v>-2.1807833863709422E+67</v>
      </c>
      <c r="T20" s="1">
        <f t="shared" ca="1" si="15"/>
        <v>-7.062949252078234E+67</v>
      </c>
      <c r="U20" s="1">
        <f t="shared" ca="1" si="15"/>
        <v>-2.1807833863709422E+67</v>
      </c>
      <c r="V20" s="1">
        <f t="shared" ca="1" si="15"/>
        <v>-4.8821658657072918E+67</v>
      </c>
      <c r="W20" s="1">
        <f t="shared" ca="1" si="15"/>
        <v>0</v>
      </c>
      <c r="X20" s="1" cm="1">
        <f t="array" aca="1" ref="X20:AA20" ca="1">ABS(T20:W20/B20:E20)</f>
        <v>1.4960737582749029E+75</v>
      </c>
      <c r="Y20" s="1">
        <f ca="1"/>
        <v>1.9827646779809818E+70</v>
      </c>
      <c r="Z20" s="1">
        <f ca="1"/>
        <v>2.742789812195108E+73</v>
      </c>
      <c r="AA20" s="1">
        <f ca="1"/>
        <v>0</v>
      </c>
      <c r="AB20" s="1" cm="1">
        <f t="array" aca="1" ref="AB20" ca="1">MAX(ABS(T20:W20/B20:E20))</f>
        <v>1.4960737582749029E+75</v>
      </c>
      <c r="AC20" s="1">
        <f t="shared" ca="1" si="16"/>
        <v>-5.0661707230773566E+37</v>
      </c>
      <c r="AD20" s="1">
        <f t="shared" ca="1" si="17"/>
        <v>1.5642503649810432E+37</v>
      </c>
      <c r="AE20" s="1">
        <f t="shared" ca="1" si="18"/>
        <v>3.5019203580963144E+36</v>
      </c>
      <c r="AF20">
        <f t="shared" ca="1" si="19"/>
        <v>-1.5642503649810429E+37</v>
      </c>
      <c r="AG20">
        <f t="shared" ca="1" si="20"/>
        <v>1.5642503649810432E+37</v>
      </c>
      <c r="AH20">
        <v>0</v>
      </c>
      <c r="AI20" s="1">
        <f t="shared" ca="1" si="21"/>
        <v>-3.5019203580963139E+37</v>
      </c>
      <c r="AJ20">
        <f>0</f>
        <v>0</v>
      </c>
      <c r="AK20" s="1">
        <f t="shared" ca="1" si="22"/>
        <v>3.5019203580963144E+36</v>
      </c>
      <c r="AL20" s="16">
        <f t="shared" ca="1" si="23"/>
        <v>-8.1023785506663754E+74</v>
      </c>
      <c r="AM20" s="16">
        <f t="shared" ca="1" si="24"/>
        <v>-8.1023785506663754E+74</v>
      </c>
      <c r="AN20" s="13">
        <f t="shared" ca="1" si="25"/>
        <v>-3.5019203580963065E+35</v>
      </c>
      <c r="AO20" s="16">
        <f t="shared" ca="1" si="26"/>
        <v>-1.5642503649810429E+37</v>
      </c>
      <c r="AP20" s="16">
        <f t="shared" ca="1" si="27"/>
        <v>1.5642503649810432E+37</v>
      </c>
      <c r="AQ20" s="13">
        <f t="shared" si="28"/>
        <v>6.7608297539198143E-4</v>
      </c>
      <c r="AR20" s="13">
        <f t="shared" ca="1" si="29"/>
        <v>-8.1023785506663754E+74</v>
      </c>
      <c r="AS20" s="1" cm="1">
        <f t="array" aca="1" ref="AS20:AU20" ca="1">TRANSPOSE(MMULT(MINVERSE(_xlfn.WRAPCOLS(AC20:AK20,3)),TRANSPOSE(T20:V20)))/$F$7:$H$7</f>
        <v>-1.9673319809008115E+47</v>
      </c>
      <c r="AT20" s="1">
        <f ca="1"/>
        <v>1.9673319809008115E+47</v>
      </c>
      <c r="AU20" s="1">
        <f ca="1"/>
        <v>1.9673319809008109E+48</v>
      </c>
      <c r="AV20">
        <v>0</v>
      </c>
      <c r="AW20" t="b">
        <f t="shared" ca="1" si="30"/>
        <v>1</v>
      </c>
      <c r="AX20" t="b">
        <f t="shared" ca="1" si="37"/>
        <v>0</v>
      </c>
      <c r="AY20" t="b">
        <f t="shared" ca="1" si="31"/>
        <v>0</v>
      </c>
      <c r="AZ20">
        <f t="shared" ca="1" si="38"/>
        <v>0</v>
      </c>
      <c r="BA20">
        <f t="shared" ca="1" si="39"/>
        <v>5</v>
      </c>
      <c r="BB20">
        <f t="shared" ca="1" si="40"/>
        <v>0</v>
      </c>
      <c r="BC20">
        <f t="shared" ca="1" si="41"/>
        <v>0</v>
      </c>
      <c r="BD20">
        <f t="shared" ca="1" si="42"/>
        <v>0</v>
      </c>
      <c r="BE20" t="b">
        <f t="shared" ca="1" si="43"/>
        <v>1</v>
      </c>
      <c r="BF20">
        <f t="shared" ca="1" si="44"/>
        <v>0.13168724279835389</v>
      </c>
      <c r="BG20">
        <f t="shared" ca="1" si="48"/>
        <v>0</v>
      </c>
      <c r="BH20">
        <f t="shared" ca="1" si="33"/>
        <v>0</v>
      </c>
      <c r="BI20">
        <f t="shared" ca="1" si="34"/>
        <v>0</v>
      </c>
      <c r="BJ20">
        <f t="shared" si="1"/>
        <v>0</v>
      </c>
      <c r="BK20" s="1">
        <f t="shared" ca="1" si="45"/>
        <v>-5.8467032662249662E-5</v>
      </c>
    </row>
    <row r="21" spans="1:63" x14ac:dyDescent="0.25">
      <c r="A21">
        <f t="shared" si="46"/>
        <v>10</v>
      </c>
      <c r="B21" s="1">
        <f t="shared" si="35"/>
        <v>4.7209899999999998E-8</v>
      </c>
      <c r="C21" s="1">
        <f t="shared" si="35"/>
        <v>1.09987E-3</v>
      </c>
      <c r="D21" s="1">
        <f t="shared" si="35"/>
        <v>1.7799999999999999E-6</v>
      </c>
      <c r="E21" s="1">
        <f t="shared" ca="1" si="2"/>
        <v>2.8199559749157675E+31</v>
      </c>
      <c r="F21" s="1">
        <f t="shared" ca="1" si="36"/>
        <v>1.3941396052654083E+30</v>
      </c>
      <c r="G21" s="1">
        <f t="shared" ca="1" si="47"/>
        <v>1.803354879832419E-6</v>
      </c>
      <c r="H21" s="1">
        <f t="shared" ca="1" si="3"/>
        <v>-1.3941396052654079E+31</v>
      </c>
      <c r="I21" s="1">
        <f t="shared" si="4"/>
        <v>2.6915348039269097E-8</v>
      </c>
      <c r="J21" s="1">
        <f t="shared" ca="1" si="5"/>
        <v>-4.8821658657072917E+68</v>
      </c>
      <c r="K21" s="1">
        <f t="shared" ca="1" si="6"/>
        <v>-9.4255405243963949E+28</v>
      </c>
      <c r="L21" s="1">
        <f t="shared" si="7"/>
        <v>3.7411058827205313E-7</v>
      </c>
      <c r="M21" s="1">
        <f t="shared" ca="1" si="8"/>
        <v>1.0353357237137101E-3</v>
      </c>
      <c r="N21" s="1">
        <f t="shared" ca="1" si="9"/>
        <v>6.2673103265683508E-5</v>
      </c>
      <c r="O21" s="1">
        <f t="shared" ca="1" si="10"/>
        <v>2.820898528968207E+31</v>
      </c>
      <c r="P21" s="1">
        <f t="shared" ca="1" si="11"/>
        <v>-4.8821658657072918E+67</v>
      </c>
      <c r="Q21" s="1">
        <f t="shared" ca="1" si="12"/>
        <v>2.820898528968207E+31</v>
      </c>
      <c r="R21" s="1">
        <f t="shared" ca="1" si="13"/>
        <v>-4.8821658657072918E+67</v>
      </c>
      <c r="S21" s="1">
        <f t="shared" ca="1" si="14"/>
        <v>2.8199559749157675E+31</v>
      </c>
      <c r="T21" s="1">
        <f t="shared" ca="1" si="15"/>
        <v>-4.8821658657072918E+67</v>
      </c>
      <c r="U21" s="1">
        <f t="shared" ca="1" si="15"/>
        <v>2.820898528968207E+31</v>
      </c>
      <c r="V21" s="1">
        <f t="shared" ca="1" si="15"/>
        <v>-4.8821658657072918E+67</v>
      </c>
      <c r="W21" s="1">
        <f t="shared" ca="1" si="15"/>
        <v>0</v>
      </c>
      <c r="X21" s="1" cm="1">
        <f t="array" aca="1" ref="X21:AA21" ca="1">ABS(T21:W21/B21:E21)</f>
        <v>1.0341402683986393E+75</v>
      </c>
      <c r="Y21" s="1">
        <f ca="1"/>
        <v>2.5647563157175002E+34</v>
      </c>
      <c r="Z21" s="1">
        <f ca="1"/>
        <v>2.742789812195108E+73</v>
      </c>
      <c r="AA21" s="1">
        <f ca="1"/>
        <v>0</v>
      </c>
      <c r="AB21" s="1" cm="1">
        <f t="array" aca="1" ref="AB21" ca="1">MAX(ABS(T21:W21/B21:E21))</f>
        <v>1.0341402683986393E+75</v>
      </c>
      <c r="AC21" s="1">
        <f t="shared" ca="1" si="16"/>
        <v>-3.5019203580963139E+37</v>
      </c>
      <c r="AD21" s="1">
        <f t="shared" ca="1" si="17"/>
        <v>1.5642503649810432E+37</v>
      </c>
      <c r="AE21" s="1">
        <f t="shared" ca="1" si="18"/>
        <v>3.5019203580963144E+36</v>
      </c>
      <c r="AF21">
        <f t="shared" ca="1" si="19"/>
        <v>20.233974548274741</v>
      </c>
      <c r="AG21">
        <f t="shared" ca="1" si="20"/>
        <v>1.5642503649810432E+37</v>
      </c>
      <c r="AH21">
        <v>0</v>
      </c>
      <c r="AI21" s="1">
        <f t="shared" ca="1" si="21"/>
        <v>-3.5019203580963139E+37</v>
      </c>
      <c r="AJ21">
        <f>0</f>
        <v>0</v>
      </c>
      <c r="AK21" s="1">
        <f t="shared" ca="1" si="22"/>
        <v>3.5019203580963144E+36</v>
      </c>
      <c r="AL21" s="16">
        <f t="shared" ca="1" si="23"/>
        <v>1.048063181220082E+39</v>
      </c>
      <c r="AM21" s="16">
        <f t="shared" ca="1" si="24"/>
        <v>1.048063181220082E+39</v>
      </c>
      <c r="AN21" s="13">
        <f t="shared" ca="1" si="25"/>
        <v>-3.5019203580963065E+35</v>
      </c>
      <c r="AO21" s="16">
        <f t="shared" ca="1" si="26"/>
        <v>20.233974548274741</v>
      </c>
      <c r="AP21" s="16">
        <f t="shared" ca="1" si="27"/>
        <v>1.5642503649810432E+37</v>
      </c>
      <c r="AQ21" s="13">
        <f t="shared" si="28"/>
        <v>6.7608297539198143E-4</v>
      </c>
      <c r="AR21" s="13">
        <f t="shared" ca="1" si="29"/>
        <v>1.0477129891842723E+39</v>
      </c>
      <c r="AS21" s="1" cm="1">
        <f t="array" aca="1" ref="AS21:AU21" ca="1">TRANSPOSE(MMULT(MINVERSE(_xlfn.WRAPCOLS(AC21:AK21,3)),TRANSPOSE(T21:V21)))/$F$7:$H$7</f>
        <v>2.6541411522808939E+67</v>
      </c>
      <c r="AT21" s="1">
        <f ca="1"/>
        <v>-2.6541411522808939E+67</v>
      </c>
      <c r="AU21" s="1">
        <f ca="1"/>
        <v>-2.6541411522808938E+68</v>
      </c>
      <c r="AV21">
        <v>0</v>
      </c>
      <c r="AW21" t="b">
        <f t="shared" ca="1" si="30"/>
        <v>0</v>
      </c>
      <c r="AX21" t="b">
        <f t="shared" ca="1" si="37"/>
        <v>1</v>
      </c>
      <c r="AY21" t="b">
        <f t="shared" ca="1" si="31"/>
        <v>0</v>
      </c>
      <c r="AZ21">
        <f t="shared" ca="1" si="38"/>
        <v>0</v>
      </c>
      <c r="BA21">
        <f t="shared" ca="1" si="39"/>
        <v>5</v>
      </c>
      <c r="BB21">
        <f t="shared" ca="1" si="40"/>
        <v>0</v>
      </c>
      <c r="BC21">
        <f t="shared" ca="1" si="41"/>
        <v>0</v>
      </c>
      <c r="BD21">
        <f t="shared" ca="1" si="42"/>
        <v>0</v>
      </c>
      <c r="BE21" t="b">
        <f t="shared" ca="1" si="43"/>
        <v>0</v>
      </c>
      <c r="BF21">
        <f t="shared" ca="1" si="44"/>
        <v>0.13168724279835389</v>
      </c>
      <c r="BG21">
        <f t="shared" ca="1" si="48"/>
        <v>3.4951653034151685E+66</v>
      </c>
      <c r="BH21">
        <f t="shared" ca="1" si="33"/>
        <v>-3.4951653034151685E+66</v>
      </c>
      <c r="BI21">
        <f t="shared" ca="1" si="34"/>
        <v>-3.4951653034151685E+67</v>
      </c>
      <c r="BJ21">
        <f t="shared" si="1"/>
        <v>0</v>
      </c>
      <c r="BK21" s="1">
        <f t="shared" ca="1" si="45"/>
        <v>1.803354879832419E-6</v>
      </c>
    </row>
    <row r="22" spans="1:63" x14ac:dyDescent="0.25">
      <c r="A22">
        <f t="shared" si="46"/>
        <v>11</v>
      </c>
      <c r="B22" s="1">
        <f t="shared" si="35"/>
        <v>4.7209899999999998E-8</v>
      </c>
      <c r="C22" s="1">
        <f t="shared" si="35"/>
        <v>1.09987E-3</v>
      </c>
      <c r="D22" s="1">
        <f t="shared" si="35"/>
        <v>1.7799999999999999E-6</v>
      </c>
      <c r="E22" s="1">
        <f t="shared" ca="1" si="2"/>
        <v>-1.3706779960061069E+140</v>
      </c>
      <c r="F22" s="1">
        <f t="shared" ca="1" si="36"/>
        <v>-3.4951653034151685E+66</v>
      </c>
      <c r="G22" s="1">
        <f t="shared" ca="1" si="47"/>
        <v>3.4951653034151685E+66</v>
      </c>
      <c r="H22" s="1">
        <f t="shared" ca="1" si="3"/>
        <v>3.4951653034151685E+67</v>
      </c>
      <c r="I22" s="1">
        <f t="shared" si="4"/>
        <v>2.6915348039269097E-8</v>
      </c>
      <c r="J22" s="1">
        <f t="shared" ca="1" si="5"/>
        <v>-3.0685658038293724E+141</v>
      </c>
      <c r="K22" s="1">
        <f t="shared" ca="1" si="6"/>
        <v>2.3630217578197445E+65</v>
      </c>
      <c r="L22" s="1">
        <f t="shared" si="7"/>
        <v>3.7411058827205313E-7</v>
      </c>
      <c r="M22" s="1">
        <f t="shared" ca="1" si="8"/>
        <v>2.0066319388265203E+69</v>
      </c>
      <c r="N22" s="1">
        <f t="shared" ca="1" si="9"/>
        <v>1.2146963331583901E+68</v>
      </c>
      <c r="O22" s="1">
        <f t="shared" ca="1" si="10"/>
        <v>-1.3706779960061069E+140</v>
      </c>
      <c r="P22" s="1">
        <f t="shared" ca="1" si="11"/>
        <v>-4.4392437998354795E+140</v>
      </c>
      <c r="Q22" s="1">
        <f t="shared" ca="1" si="12"/>
        <v>-1.3706779960061069E+140</v>
      </c>
      <c r="R22" s="1">
        <f t="shared" ca="1" si="13"/>
        <v>-3.0685658038293724E+140</v>
      </c>
      <c r="S22" s="1">
        <f t="shared" ca="1" si="14"/>
        <v>-1.3706779960061069E+140</v>
      </c>
      <c r="T22" s="1">
        <f t="shared" ca="1" si="15"/>
        <v>-4.4392437998354795E+140</v>
      </c>
      <c r="U22" s="1">
        <f t="shared" ca="1" si="15"/>
        <v>-1.3706779960061069E+140</v>
      </c>
      <c r="V22" s="1">
        <f t="shared" ca="1" si="15"/>
        <v>-3.0685658038293724E+140</v>
      </c>
      <c r="W22" s="1">
        <f t="shared" ca="1" si="15"/>
        <v>0</v>
      </c>
      <c r="X22" s="1" cm="1">
        <f t="array" aca="1" ref="X22:AA22" ca="1">ABS(T22:W22/B22:E22)</f>
        <v>9.4032052595652181E+147</v>
      </c>
      <c r="Y22" s="1">
        <f ca="1"/>
        <v>1.2462181857911453E+143</v>
      </c>
      <c r="Z22" s="1">
        <f ca="1"/>
        <v>1.7239133729378497E+146</v>
      </c>
      <c r="AA22" s="1">
        <f ca="1"/>
        <v>0</v>
      </c>
      <c r="AB22" s="1" cm="1">
        <f t="array" aca="1" ref="AB22" ca="1">MAX(ABS(T22:W22/B22:E22))</f>
        <v>9.4032052595652181E+147</v>
      </c>
      <c r="AC22" s="1">
        <f t="shared" ca="1" si="16"/>
        <v>1.2701098272799402E+74</v>
      </c>
      <c r="AD22" s="1">
        <f t="shared" ca="1" si="17"/>
        <v>-3.9216399712677418E+73</v>
      </c>
      <c r="AE22" s="1">
        <f t="shared" ca="1" si="18"/>
        <v>-8.7794583015316611E+72</v>
      </c>
      <c r="AF22">
        <f t="shared" ca="1" si="19"/>
        <v>3.9216399712677418E+73</v>
      </c>
      <c r="AG22">
        <f t="shared" ca="1" si="20"/>
        <v>-3.9216399712677418E+73</v>
      </c>
      <c r="AH22">
        <v>0</v>
      </c>
      <c r="AI22" s="1">
        <f t="shared" ca="1" si="21"/>
        <v>8.7794583015316602E+73</v>
      </c>
      <c r="AJ22">
        <f>0</f>
        <v>0</v>
      </c>
      <c r="AK22" s="1">
        <f t="shared" ca="1" si="22"/>
        <v>-8.7794583015316611E+72</v>
      </c>
      <c r="AL22" s="16">
        <f t="shared" ca="1" si="23"/>
        <v>-5.0925516326458338E+147</v>
      </c>
      <c r="AM22" s="16">
        <f t="shared" ca="1" si="24"/>
        <v>-5.0925516326458338E+147</v>
      </c>
      <c r="AN22" s="13">
        <f t="shared" ca="1" si="25"/>
        <v>8.7794583015316411E+71</v>
      </c>
      <c r="AO22" s="16">
        <f t="shared" ca="1" si="26"/>
        <v>3.9216399712677418E+73</v>
      </c>
      <c r="AP22" s="16">
        <f t="shared" ca="1" si="27"/>
        <v>-3.9216399712677418E+73</v>
      </c>
      <c r="AQ22" s="13">
        <f t="shared" si="28"/>
        <v>6.7608297539198143E-4</v>
      </c>
      <c r="AR22" s="13">
        <f t="shared" ca="1" si="29"/>
        <v>-5.0925516326458338E+147</v>
      </c>
      <c r="AS22" s="1" cm="1">
        <f t="array" aca="1" ref="AS22:AU22" ca="1">TRANSPOSE(MMULT(MINVERSE(_xlfn.WRAPCOLS(AC22:AK22,3)),TRANSPOSE(T22:V22)))/$F$7:$H$7</f>
        <v>-4.6512650420679684E+83</v>
      </c>
      <c r="AT22" s="1">
        <f ca="1"/>
        <v>4.6512650420679684E+83</v>
      </c>
      <c r="AU22" s="1">
        <f ca="1"/>
        <v>4.6512650420679679E+84</v>
      </c>
      <c r="AV22">
        <v>0</v>
      </c>
      <c r="AW22" t="b">
        <f t="shared" ca="1" si="30"/>
        <v>1</v>
      </c>
      <c r="AX22" t="b">
        <f t="shared" ca="1" si="37"/>
        <v>0</v>
      </c>
      <c r="AY22" t="b">
        <f t="shared" ca="1" si="31"/>
        <v>0</v>
      </c>
      <c r="AZ22">
        <f t="shared" ca="1" si="38"/>
        <v>0</v>
      </c>
      <c r="BA22">
        <f t="shared" ca="1" si="39"/>
        <v>1</v>
      </c>
      <c r="BB22">
        <f t="shared" ca="1" si="40"/>
        <v>0</v>
      </c>
      <c r="BC22">
        <f t="shared" ca="1" si="41"/>
        <v>1</v>
      </c>
      <c r="BD22">
        <f t="shared" ca="1" si="42"/>
        <v>0</v>
      </c>
      <c r="BE22" t="b">
        <f t="shared" ca="1" si="43"/>
        <v>0</v>
      </c>
      <c r="BF22">
        <f t="shared" ca="1" si="44"/>
        <v>0.13168724279835389</v>
      </c>
      <c r="BG22">
        <f t="shared" ca="1" si="48"/>
        <v>-6.1251226891430029E+82</v>
      </c>
      <c r="BH22">
        <f t="shared" ca="1" si="33"/>
        <v>6.1251226891430029E+82</v>
      </c>
      <c r="BI22">
        <f t="shared" ca="1" si="34"/>
        <v>6.1251226891430027E+83</v>
      </c>
      <c r="BJ22">
        <f t="shared" si="1"/>
        <v>0</v>
      </c>
      <c r="BK22" s="1">
        <f t="shared" ca="1" si="45"/>
        <v>1.803354879832419E-6</v>
      </c>
    </row>
    <row r="23" spans="1:63" x14ac:dyDescent="0.25">
      <c r="A23">
        <f t="shared" si="46"/>
        <v>12</v>
      </c>
      <c r="B23" s="1">
        <f t="shared" si="35"/>
        <v>4.7209899999999998E-8</v>
      </c>
      <c r="C23" s="1">
        <f t="shared" si="35"/>
        <v>1.09987E-3</v>
      </c>
      <c r="D23" s="1">
        <f t="shared" si="35"/>
        <v>1.7799999999999999E-6</v>
      </c>
      <c r="E23" s="1">
        <f t="shared" ca="1" si="2"/>
        <v>-4.2094909920223183E+172</v>
      </c>
      <c r="F23" s="1">
        <f t="shared" ca="1" si="36"/>
        <v>6.1251226891430029E+82</v>
      </c>
      <c r="G23" s="1">
        <f t="shared" ca="1" si="47"/>
        <v>-6.1251226891430029E+82</v>
      </c>
      <c r="H23" s="1">
        <f t="shared" ca="1" si="3"/>
        <v>-6.1251226891430027E+83</v>
      </c>
      <c r="I23" s="1">
        <f t="shared" si="4"/>
        <v>2.6915348039269097E-8</v>
      </c>
      <c r="J23" s="1">
        <f t="shared" ca="1" si="5"/>
        <v>-9.4238764664534079E+173</v>
      </c>
      <c r="K23" s="1">
        <f t="shared" ca="1" si="6"/>
        <v>-4.1410911723167352E+81</v>
      </c>
      <c r="L23" s="1">
        <f t="shared" si="7"/>
        <v>3.7411058827205313E-7</v>
      </c>
      <c r="M23" s="1">
        <f t="shared" ca="1" si="8"/>
        <v>-3.5165337688766185E+85</v>
      </c>
      <c r="N23" s="1">
        <f t="shared" ca="1" si="9"/>
        <v>-2.1287016277534539E+84</v>
      </c>
      <c r="O23" s="1">
        <f t="shared" ca="1" si="10"/>
        <v>-4.2094909920223183E+172</v>
      </c>
      <c r="P23" s="1">
        <f t="shared" ca="1" si="11"/>
        <v>-1.3633367458475728E+173</v>
      </c>
      <c r="Q23" s="1">
        <f t="shared" ca="1" si="12"/>
        <v>-4.2094909920223183E+172</v>
      </c>
      <c r="R23" s="1">
        <f t="shared" ca="1" si="13"/>
        <v>-9.423876466453409E+172</v>
      </c>
      <c r="S23" s="1">
        <f t="shared" ca="1" si="14"/>
        <v>-4.2094909920223183E+172</v>
      </c>
      <c r="T23" s="1">
        <f t="shared" ca="1" si="15"/>
        <v>-1.3633367458475728E+173</v>
      </c>
      <c r="U23" s="1">
        <f t="shared" ca="1" si="15"/>
        <v>-4.2094909920223183E+172</v>
      </c>
      <c r="V23" s="1">
        <f t="shared" ca="1" si="15"/>
        <v>-9.423876466453409E+172</v>
      </c>
      <c r="W23" s="1">
        <f t="shared" ca="1" si="15"/>
        <v>0</v>
      </c>
      <c r="X23" s="1" cm="1">
        <f t="array" aca="1" ref="X23:AA23" ca="1">ABS(T23:W23/B23:E23)</f>
        <v>2.8878196010742934E+180</v>
      </c>
      <c r="Y23" s="1">
        <f ca="1"/>
        <v>3.827262305565493E+175</v>
      </c>
      <c r="Z23" s="1">
        <f ca="1"/>
        <v>5.2943126216030392E+178</v>
      </c>
      <c r="AA23" s="1">
        <f ca="1"/>
        <v>0</v>
      </c>
      <c r="AB23" s="1" cm="1">
        <f t="array" aca="1" ref="AB23" ca="1">MAX(ABS(T23:W23/B23:E23))</f>
        <v>2.8878196010742934E+180</v>
      </c>
      <c r="AC23" s="1">
        <f t="shared" ca="1" si="16"/>
        <v>-2.225811326627196E+90</v>
      </c>
      <c r="AD23" s="1">
        <f t="shared" ca="1" si="17"/>
        <v>6.8725006920821201E+89</v>
      </c>
      <c r="AE23" s="1">
        <f t="shared" ca="1" si="18"/>
        <v>1.5385612574189839E+89</v>
      </c>
      <c r="AF23">
        <f t="shared" ca="1" si="19"/>
        <v>-6.8725006920821201E+89</v>
      </c>
      <c r="AG23">
        <f t="shared" ca="1" si="20"/>
        <v>6.8725006920821201E+89</v>
      </c>
      <c r="AH23">
        <v>0</v>
      </c>
      <c r="AI23" s="1">
        <f t="shared" ca="1" si="21"/>
        <v>-1.5385612574189839E+90</v>
      </c>
      <c r="AJ23">
        <f>0</f>
        <v>0</v>
      </c>
      <c r="AK23" s="1">
        <f t="shared" ca="1" si="22"/>
        <v>1.5385612574189839E+89</v>
      </c>
      <c r="AL23" s="16">
        <f t="shared" ca="1" si="23"/>
        <v>-1.5639742001034995E+180</v>
      </c>
      <c r="AM23" s="16">
        <f t="shared" ca="1" si="24"/>
        <v>-1.5639742001034995E+180</v>
      </c>
      <c r="AN23" s="13">
        <f t="shared" ca="1" si="25"/>
        <v>-1.5385612574189806E+88</v>
      </c>
      <c r="AO23" s="16">
        <f t="shared" ca="1" si="26"/>
        <v>-6.8725006920821201E+89</v>
      </c>
      <c r="AP23" s="16">
        <f t="shared" ca="1" si="27"/>
        <v>6.8725006920821201E+89</v>
      </c>
      <c r="AQ23" s="13">
        <f t="shared" si="28"/>
        <v>6.7608297539198143E-4</v>
      </c>
      <c r="AR23" s="13">
        <f t="shared" ca="1" si="29"/>
        <v>-1.5639742001034995E+180</v>
      </c>
      <c r="AS23" s="1" cm="1">
        <f t="array" aca="1" ref="AS23:AU23" ca="1">TRANSPOSE(MMULT(MINVERSE(_xlfn.WRAPCOLS(AC23:AK23,3)),TRANSPOSE(T23:V23)))/$F$7:$H$7</f>
        <v>-7.9294938247166947E+99</v>
      </c>
      <c r="AT23" s="1">
        <f ca="1"/>
        <v>7.9294938247166947E+99</v>
      </c>
      <c r="AU23" s="1">
        <f ca="1"/>
        <v>7.9294938247166943E+100</v>
      </c>
      <c r="AV23">
        <v>0</v>
      </c>
      <c r="AW23" t="b">
        <f t="shared" ca="1" si="30"/>
        <v>1</v>
      </c>
      <c r="AX23" t="b">
        <f t="shared" ca="1" si="37"/>
        <v>0</v>
      </c>
      <c r="AY23" t="b">
        <f t="shared" ca="1" si="31"/>
        <v>0</v>
      </c>
      <c r="AZ23">
        <f t="shared" ca="1" si="38"/>
        <v>0</v>
      </c>
      <c r="BA23">
        <f t="shared" ca="1" si="39"/>
        <v>2</v>
      </c>
      <c r="BB23">
        <f t="shared" ca="1" si="40"/>
        <v>0</v>
      </c>
      <c r="BC23">
        <f t="shared" ca="1" si="41"/>
        <v>1</v>
      </c>
      <c r="BD23">
        <f t="shared" ca="1" si="42"/>
        <v>0</v>
      </c>
      <c r="BE23" t="b">
        <f t="shared" ca="1" si="43"/>
        <v>1</v>
      </c>
      <c r="BF23">
        <f t="shared" ca="1" si="44"/>
        <v>8.77914951989026E-2</v>
      </c>
      <c r="BG23">
        <f t="shared" ca="1" si="48"/>
        <v>0</v>
      </c>
      <c r="BH23">
        <f t="shared" ca="1" si="33"/>
        <v>0</v>
      </c>
      <c r="BI23">
        <f t="shared" ca="1" si="34"/>
        <v>0</v>
      </c>
      <c r="BJ23">
        <f t="shared" si="1"/>
        <v>0</v>
      </c>
      <c r="BK23" s="1">
        <f t="shared" ca="1" si="45"/>
        <v>3.4951653034151685E+66</v>
      </c>
    </row>
    <row r="24" spans="1:63" x14ac:dyDescent="0.25">
      <c r="A24">
        <f t="shared" si="46"/>
        <v>13</v>
      </c>
      <c r="B24" s="1">
        <f t="shared" si="35"/>
        <v>4.7209899999999998E-8</v>
      </c>
      <c r="C24" s="1">
        <f t="shared" si="35"/>
        <v>1.09987E-3</v>
      </c>
      <c r="D24" s="1">
        <f t="shared" si="35"/>
        <v>1.7799999999999999E-6</v>
      </c>
      <c r="E24" s="1">
        <f t="shared" ca="1" si="2"/>
        <v>1.2389416568545651E+84</v>
      </c>
      <c r="F24" s="1">
        <f t="shared" ca="1" si="36"/>
        <v>6.1251226891430029E+82</v>
      </c>
      <c r="G24" s="1">
        <f t="shared" ca="1" si="47"/>
        <v>1.803354879832419E-6</v>
      </c>
      <c r="H24" s="1">
        <f t="shared" ca="1" si="3"/>
        <v>-6.1251226891430027E+83</v>
      </c>
      <c r="I24" s="1">
        <f t="shared" si="4"/>
        <v>2.6915348039269097E-8</v>
      </c>
      <c r="J24" s="1">
        <f t="shared" ca="1" si="5"/>
        <v>-9.4238764664534079E+173</v>
      </c>
      <c r="K24" s="1">
        <f t="shared" ca="1" si="6"/>
        <v>-4.1410911723167352E+81</v>
      </c>
      <c r="L24" s="1">
        <f t="shared" si="7"/>
        <v>3.7411058827205313E-7</v>
      </c>
      <c r="M24" s="1">
        <f t="shared" ca="1" si="8"/>
        <v>1.0353357237137101E-3</v>
      </c>
      <c r="N24" s="1">
        <f t="shared" ca="1" si="9"/>
        <v>6.2673103265683508E-5</v>
      </c>
      <c r="O24" s="1">
        <f t="shared" ca="1" si="10"/>
        <v>1.2393557659717967E+84</v>
      </c>
      <c r="P24" s="1">
        <f t="shared" ca="1" si="11"/>
        <v>-9.423876466453409E+172</v>
      </c>
      <c r="Q24" s="1">
        <f t="shared" ca="1" si="12"/>
        <v>1.2393557659717967E+84</v>
      </c>
      <c r="R24" s="1">
        <f t="shared" ca="1" si="13"/>
        <v>-9.423876466453409E+172</v>
      </c>
      <c r="S24" s="1">
        <f t="shared" ca="1" si="14"/>
        <v>1.2389416568545651E+84</v>
      </c>
      <c r="T24" s="1">
        <f t="shared" ca="1" si="15"/>
        <v>-9.423876466453409E+172</v>
      </c>
      <c r="U24" s="1">
        <f t="shared" ca="1" si="15"/>
        <v>1.2393557659717967E+84</v>
      </c>
      <c r="V24" s="1">
        <f t="shared" ca="1" si="15"/>
        <v>-9.423876466453409E+172</v>
      </c>
      <c r="W24" s="1">
        <f t="shared" ca="1" si="15"/>
        <v>0</v>
      </c>
      <c r="X24" s="1" cm="1">
        <f t="array" aca="1" ref="X24:AA24" ca="1">ABS(T24:W24/B24:E24)</f>
        <v>1.9961653099145327E+180</v>
      </c>
      <c r="Y24" s="1">
        <f ca="1"/>
        <v>1.1268202296378633E+87</v>
      </c>
      <c r="Z24" s="1">
        <f ca="1"/>
        <v>5.2943126216030392E+178</v>
      </c>
      <c r="AA24" s="1">
        <f ca="1"/>
        <v>0</v>
      </c>
      <c r="AB24" s="1" cm="1">
        <f t="array" aca="1" ref="AB24" ca="1">MAX(ABS(T24:W24/B24:E24))</f>
        <v>1.9961653099145327E+180</v>
      </c>
      <c r="AC24" s="1">
        <f t="shared" ca="1" si="16"/>
        <v>-1.5385612574189839E+90</v>
      </c>
      <c r="AD24" s="1">
        <f t="shared" ca="1" si="17"/>
        <v>6.8725006920821201E+89</v>
      </c>
      <c r="AE24" s="1">
        <f t="shared" ca="1" si="18"/>
        <v>1.5385612574189839E+89</v>
      </c>
      <c r="AF24">
        <f t="shared" ca="1" si="19"/>
        <v>20.233974548274741</v>
      </c>
      <c r="AG24">
        <f t="shared" ca="1" si="20"/>
        <v>6.8725006920821201E+89</v>
      </c>
      <c r="AH24">
        <v>0</v>
      </c>
      <c r="AI24" s="1">
        <f t="shared" ca="1" si="21"/>
        <v>-1.5385612574189839E+90</v>
      </c>
      <c r="AJ24">
        <f>0</f>
        <v>0</v>
      </c>
      <c r="AK24" s="1">
        <f t="shared" ca="1" si="22"/>
        <v>1.5385612574189839E+89</v>
      </c>
      <c r="AL24" s="16">
        <f t="shared" ca="1" si="23"/>
        <v>4.6046432844323431E+91</v>
      </c>
      <c r="AM24" s="16">
        <f t="shared" ca="1" si="24"/>
        <v>4.6046432844323431E+91</v>
      </c>
      <c r="AN24" s="13">
        <f t="shared" ca="1" si="25"/>
        <v>-1.5385612574189806E+88</v>
      </c>
      <c r="AO24" s="16">
        <f t="shared" ca="1" si="26"/>
        <v>20.233974548274741</v>
      </c>
      <c r="AP24" s="16">
        <f t="shared" ca="1" si="27"/>
        <v>6.8725006920821201E+89</v>
      </c>
      <c r="AQ24" s="13">
        <f t="shared" si="28"/>
        <v>6.7608297539198143E-4</v>
      </c>
      <c r="AR24" s="13">
        <f t="shared" ca="1" si="29"/>
        <v>4.6031047231749244E+91</v>
      </c>
      <c r="AS24" s="1" cm="1">
        <f t="array" aca="1" ref="AS24:AU24" ca="1">TRANSPOSE(MMULT(MINVERSE(_xlfn.WRAPCOLS(AC24:AK24,3)),TRANSPOSE(T24:V24)))/$F$7:$H$7</f>
        <v>5.1231971693779929E+172</v>
      </c>
      <c r="AT24" s="1">
        <f ca="1"/>
        <v>-5.1231971693779929E+172</v>
      </c>
      <c r="AU24" s="1">
        <f ca="1"/>
        <v>-5.123197169377992E+173</v>
      </c>
      <c r="AV24">
        <v>0</v>
      </c>
      <c r="AW24" t="b">
        <f t="shared" ca="1" si="30"/>
        <v>0</v>
      </c>
      <c r="AX24" t="b">
        <f t="shared" ca="1" si="37"/>
        <v>1</v>
      </c>
      <c r="AY24" t="b">
        <f t="shared" ca="1" si="31"/>
        <v>0</v>
      </c>
      <c r="AZ24">
        <f t="shared" ca="1" si="38"/>
        <v>0</v>
      </c>
      <c r="BA24">
        <f t="shared" ca="1" si="39"/>
        <v>2</v>
      </c>
      <c r="BB24">
        <f t="shared" ca="1" si="40"/>
        <v>0</v>
      </c>
      <c r="BC24">
        <f t="shared" ca="1" si="41"/>
        <v>1</v>
      </c>
      <c r="BD24">
        <f t="shared" ca="1" si="42"/>
        <v>0</v>
      </c>
      <c r="BE24" t="b">
        <f t="shared" ca="1" si="43"/>
        <v>0</v>
      </c>
      <c r="BF24">
        <f t="shared" ca="1" si="44"/>
        <v>8.77914951989026E-2</v>
      </c>
      <c r="BG24">
        <f t="shared" ca="1" si="48"/>
        <v>4.4977313969847949E+171</v>
      </c>
      <c r="BH24">
        <f t="shared" ca="1" si="33"/>
        <v>-4.4977313969847949E+171</v>
      </c>
      <c r="BI24">
        <f t="shared" ca="1" si="34"/>
        <v>-4.4977313969847939E+172</v>
      </c>
      <c r="BJ24">
        <f t="shared" si="1"/>
        <v>0</v>
      </c>
      <c r="BK24" s="1">
        <f t="shared" ca="1" si="45"/>
        <v>1.803354879832419E-6</v>
      </c>
    </row>
    <row r="25" spans="1:63" x14ac:dyDescent="0.25">
      <c r="A25">
        <f t="shared" si="46"/>
        <v>14</v>
      </c>
      <c r="B25" s="1">
        <f t="shared" si="35"/>
        <v>4.7209899999999998E-8</v>
      </c>
      <c r="C25" s="1">
        <f t="shared" si="35"/>
        <v>1.09987E-3</v>
      </c>
      <c r="D25" s="1">
        <f t="shared" si="35"/>
        <v>1.7799999999999999E-6</v>
      </c>
      <c r="E25" s="1" t="e">
        <f t="shared" ca="1" si="2"/>
        <v>#NUM!</v>
      </c>
      <c r="F25" s="1">
        <f t="shared" ca="1" si="36"/>
        <v>-4.4977313969847949E+171</v>
      </c>
      <c r="G25" s="1">
        <f t="shared" ca="1" si="47"/>
        <v>4.4977313969847949E+171</v>
      </c>
      <c r="H25" s="1">
        <f t="shared" ca="1" si="3"/>
        <v>4.4977313969847939E+172</v>
      </c>
      <c r="I25" s="1">
        <f t="shared" si="4"/>
        <v>2.6915348039269097E-8</v>
      </c>
      <c r="J25" s="1" t="e">
        <f t="shared" ca="1" si="5"/>
        <v>#NUM!</v>
      </c>
      <c r="K25" s="1">
        <f t="shared" ca="1" si="6"/>
        <v>3.0408396253874129E+170</v>
      </c>
      <c r="L25" s="1">
        <f t="shared" si="7"/>
        <v>3.7411058827205313E-7</v>
      </c>
      <c r="M25" s="1">
        <f t="shared" ca="1" si="8"/>
        <v>2.5822216375957357E+174</v>
      </c>
      <c r="N25" s="1">
        <f t="shared" ca="1" si="9"/>
        <v>1.5631243049106895E+173</v>
      </c>
      <c r="O25" s="1" t="e">
        <f t="shared" ca="1" si="10"/>
        <v>#NUM!</v>
      </c>
      <c r="P25" s="1" t="e">
        <f t="shared" ca="1" si="11"/>
        <v>#NUM!</v>
      </c>
      <c r="Q25" s="1" t="e">
        <f t="shared" ca="1" si="12"/>
        <v>#NUM!</v>
      </c>
      <c r="R25" s="1" t="e">
        <f t="shared" ca="1" si="13"/>
        <v>#NUM!</v>
      </c>
      <c r="S25" s="1" t="e">
        <f t="shared" ca="1" si="14"/>
        <v>#NUM!</v>
      </c>
      <c r="T25" s="1" t="e">
        <f t="shared" ca="1" si="15"/>
        <v>#NUM!</v>
      </c>
      <c r="U25" s="1" t="e">
        <f t="shared" ca="1" si="15"/>
        <v>#NUM!</v>
      </c>
      <c r="V25" s="1" t="e">
        <f t="shared" ca="1" si="15"/>
        <v>#NUM!</v>
      </c>
      <c r="W25" s="1" t="e">
        <f t="shared" ca="1" si="15"/>
        <v>#NUM!</v>
      </c>
      <c r="X25" s="1" t="e" cm="1">
        <f t="array" aca="1" ref="X25:AA25" ca="1">ABS(T25:W25/B25:E25)</f>
        <v>#NUM!</v>
      </c>
      <c r="Y25" s="1" t="e">
        <f ca="1"/>
        <v>#NUM!</v>
      </c>
      <c r="Z25" s="1" t="e">
        <f ca="1"/>
        <v>#NUM!</v>
      </c>
      <c r="AA25" s="1" t="e">
        <f ca="1"/>
        <v>#NUM!</v>
      </c>
      <c r="AB25" s="1" t="e" cm="1">
        <f t="array" aca="1" ref="AB25" ca="1">MAX(ABS(T25:W25/B25:E25))</f>
        <v>#NUM!</v>
      </c>
      <c r="AC25" s="1">
        <f t="shared" ca="1" si="16"/>
        <v>1.634432809857107E+179</v>
      </c>
      <c r="AD25" s="1">
        <f t="shared" ca="1" si="17"/>
        <v>-5.0465376299102919E+178</v>
      </c>
      <c r="AE25" s="1">
        <f t="shared" ca="1" si="18"/>
        <v>-1.1297790468660781E+178</v>
      </c>
      <c r="AF25">
        <f t="shared" ca="1" si="19"/>
        <v>5.0465376299102919E+178</v>
      </c>
      <c r="AG25">
        <f t="shared" ca="1" si="20"/>
        <v>-5.0465376299102919E+178</v>
      </c>
      <c r="AH25">
        <v>0</v>
      </c>
      <c r="AI25" s="1">
        <f t="shared" ca="1" si="21"/>
        <v>1.1297790468660778E+179</v>
      </c>
      <c r="AJ25">
        <f>0</f>
        <v>0</v>
      </c>
      <c r="AK25" s="1">
        <f t="shared" ca="1" si="22"/>
        <v>-1.1297790468660781E+178</v>
      </c>
      <c r="AL25" s="16" t="e">
        <f t="shared" ca="1" si="23"/>
        <v>#NUM!</v>
      </c>
      <c r="AM25" s="16" t="e">
        <f t="shared" ca="1" si="24"/>
        <v>#NUM!</v>
      </c>
      <c r="AN25" s="13">
        <f t="shared" ca="1" si="25"/>
        <v>1.1297790468660752E+177</v>
      </c>
      <c r="AO25" s="16">
        <f t="shared" ca="1" si="26"/>
        <v>5.0465376299102919E+178</v>
      </c>
      <c r="AP25" s="16">
        <f t="shared" ca="1" si="27"/>
        <v>-5.0465376299102919E+178</v>
      </c>
      <c r="AQ25" s="13">
        <f t="shared" si="28"/>
        <v>6.7608297539198143E-4</v>
      </c>
      <c r="AR25" s="13" t="e">
        <f t="shared" ca="1" si="29"/>
        <v>#NUM!</v>
      </c>
      <c r="AS25" s="1" t="e" cm="1">
        <f t="array" aca="1" ref="AS25:AU25" ca="1">TRANSPOSE(MMULT(MINVERSE(_xlfn.WRAPCOLS(AC25:AK25,3)),TRANSPOSE(T25:V25)))/$F$7:$H$7</f>
        <v>#NUM!</v>
      </c>
      <c r="AT25" s="1" t="e">
        <f ca="1"/>
        <v>#NUM!</v>
      </c>
      <c r="AU25" s="1" t="e">
        <f ca="1"/>
        <v>#NUM!</v>
      </c>
      <c r="AV25">
        <v>0</v>
      </c>
      <c r="AW25" t="e">
        <f t="shared" ca="1" si="30"/>
        <v>#NUM!</v>
      </c>
      <c r="AX25" t="e">
        <f t="shared" ca="1" si="37"/>
        <v>#NUM!</v>
      </c>
      <c r="AY25" t="b">
        <f t="shared" ca="1" si="31"/>
        <v>0</v>
      </c>
      <c r="AZ25" t="e">
        <f t="shared" ca="1" si="38"/>
        <v>#NUM!</v>
      </c>
      <c r="BA25" t="e">
        <f t="shared" ca="1" si="39"/>
        <v>#NUM!</v>
      </c>
      <c r="BB25" t="e">
        <f t="shared" ca="1" si="40"/>
        <v>#NUM!</v>
      </c>
      <c r="BC25" t="e">
        <f t="shared" ca="1" si="41"/>
        <v>#NUM!</v>
      </c>
      <c r="BD25" t="e">
        <f t="shared" ca="1" si="42"/>
        <v>#NUM!</v>
      </c>
      <c r="BE25" t="e">
        <f t="shared" ca="1" si="43"/>
        <v>#NUM!</v>
      </c>
      <c r="BF25" t="e">
        <f t="shared" ca="1" si="44"/>
        <v>#NUM!</v>
      </c>
      <c r="BG25" t="e">
        <f t="shared" ca="1" si="48"/>
        <v>#NUM!</v>
      </c>
      <c r="BH25" t="e">
        <f t="shared" ca="1" si="33"/>
        <v>#NUM!</v>
      </c>
      <c r="BI25" t="e">
        <f t="shared" ca="1" si="34"/>
        <v>#NUM!</v>
      </c>
      <c r="BJ25">
        <f t="shared" si="1"/>
        <v>0</v>
      </c>
      <c r="BK25" s="1">
        <f t="shared" ca="1" si="45"/>
        <v>1.803354879832419E-6</v>
      </c>
    </row>
    <row r="26" spans="1:63" x14ac:dyDescent="0.25">
      <c r="A26">
        <f t="shared" si="46"/>
        <v>15</v>
      </c>
      <c r="B26" s="1">
        <f t="shared" si="35"/>
        <v>4.7209899999999998E-8</v>
      </c>
      <c r="C26" s="1">
        <f t="shared" si="35"/>
        <v>1.09987E-3</v>
      </c>
      <c r="D26" s="1">
        <f t="shared" si="35"/>
        <v>1.7799999999999999E-6</v>
      </c>
      <c r="E26" s="1" t="e">
        <f t="shared" ca="1" si="2"/>
        <v>#NUM!</v>
      </c>
      <c r="F26" s="1" t="e">
        <f t="shared" ca="1" si="36"/>
        <v>#NUM!</v>
      </c>
      <c r="G26" s="1" t="e">
        <f t="shared" ca="1" si="47"/>
        <v>#NUM!</v>
      </c>
      <c r="H26" s="1" t="e">
        <f t="shared" ca="1" si="3"/>
        <v>#NUM!</v>
      </c>
      <c r="I26" s="1">
        <f t="shared" si="4"/>
        <v>2.6915348039269097E-8</v>
      </c>
      <c r="J26" s="1" t="e">
        <f t="shared" ca="1" si="5"/>
        <v>#NUM!</v>
      </c>
      <c r="K26" s="1" t="e">
        <f t="shared" ca="1" si="6"/>
        <v>#NUM!</v>
      </c>
      <c r="L26" s="1">
        <f t="shared" si="7"/>
        <v>3.7411058827205313E-7</v>
      </c>
      <c r="M26" s="1" t="e">
        <f t="shared" ca="1" si="8"/>
        <v>#NUM!</v>
      </c>
      <c r="N26" s="1" t="e">
        <f t="shared" ca="1" si="9"/>
        <v>#NUM!</v>
      </c>
      <c r="O26" s="1" t="e">
        <f t="shared" ca="1" si="10"/>
        <v>#NUM!</v>
      </c>
      <c r="P26" s="1" t="e">
        <f t="shared" ca="1" si="11"/>
        <v>#NUM!</v>
      </c>
      <c r="Q26" s="1" t="e">
        <f t="shared" ca="1" si="12"/>
        <v>#NUM!</v>
      </c>
      <c r="R26" s="1" t="e">
        <f t="shared" ca="1" si="13"/>
        <v>#NUM!</v>
      </c>
      <c r="S26" s="1" t="e">
        <f t="shared" ca="1" si="14"/>
        <v>#NUM!</v>
      </c>
      <c r="T26" s="1" t="e">
        <f t="shared" ca="1" si="15"/>
        <v>#NUM!</v>
      </c>
      <c r="U26" s="1" t="e">
        <f t="shared" ca="1" si="15"/>
        <v>#NUM!</v>
      </c>
      <c r="V26" s="1" t="e">
        <f t="shared" ca="1" si="15"/>
        <v>#NUM!</v>
      </c>
      <c r="W26" s="1" t="e">
        <f t="shared" ca="1" si="15"/>
        <v>#NUM!</v>
      </c>
      <c r="X26" s="1" t="e" cm="1">
        <f t="array" aca="1" ref="X26:AA26" ca="1">ABS(T26:W26/B26:E26)</f>
        <v>#NUM!</v>
      </c>
      <c r="Y26" s="1" t="e">
        <f ca="1"/>
        <v>#NUM!</v>
      </c>
      <c r="Z26" s="1" t="e">
        <f ca="1"/>
        <v>#NUM!</v>
      </c>
      <c r="AA26" s="1" t="e">
        <f ca="1"/>
        <v>#NUM!</v>
      </c>
      <c r="AB26" s="1" t="e" cm="1">
        <f t="array" aca="1" ref="AB26" ca="1">MAX(ABS(T26:W26/B26:E26))</f>
        <v>#NUM!</v>
      </c>
      <c r="AC26" s="1" t="e">
        <f t="shared" ca="1" si="16"/>
        <v>#NUM!</v>
      </c>
      <c r="AD26" s="1" t="e">
        <f t="shared" ca="1" si="17"/>
        <v>#NUM!</v>
      </c>
      <c r="AE26" s="1" t="e">
        <f t="shared" ca="1" si="18"/>
        <v>#NUM!</v>
      </c>
      <c r="AF26" t="e">
        <f t="shared" ca="1" si="19"/>
        <v>#NUM!</v>
      </c>
      <c r="AG26" t="e">
        <f t="shared" ca="1" si="20"/>
        <v>#NUM!</v>
      </c>
      <c r="AH26">
        <v>0</v>
      </c>
      <c r="AI26" s="1" t="e">
        <f t="shared" ca="1" si="21"/>
        <v>#NUM!</v>
      </c>
      <c r="AJ26">
        <f>0</f>
        <v>0</v>
      </c>
      <c r="AK26" s="1" t="e">
        <f t="shared" ca="1" si="22"/>
        <v>#NUM!</v>
      </c>
      <c r="AL26" s="16" t="e">
        <f t="shared" ca="1" si="23"/>
        <v>#NUM!</v>
      </c>
      <c r="AM26" s="16" t="e">
        <f t="shared" ca="1" si="24"/>
        <v>#NUM!</v>
      </c>
      <c r="AN26" s="13" t="e">
        <f t="shared" ca="1" si="25"/>
        <v>#NUM!</v>
      </c>
      <c r="AO26" s="16" t="e">
        <f t="shared" ca="1" si="26"/>
        <v>#NUM!</v>
      </c>
      <c r="AP26" s="16" t="e">
        <f t="shared" ca="1" si="27"/>
        <v>#NUM!</v>
      </c>
      <c r="AQ26" s="13">
        <f t="shared" si="28"/>
        <v>6.7608297539198143E-4</v>
      </c>
      <c r="AR26" s="13" t="e">
        <f t="shared" ca="1" si="29"/>
        <v>#NUM!</v>
      </c>
      <c r="AS26" s="1" t="e" cm="1">
        <f t="array" aca="1" ref="AS26:AU26" ca="1">TRANSPOSE(MMULT(MINVERSE(_xlfn.WRAPCOLS(AC26:AK26,3)),TRANSPOSE(T26:V26)))/$F$7:$H$7</f>
        <v>#NUM!</v>
      </c>
      <c r="AT26" s="1" t="e">
        <f ca="1"/>
        <v>#NUM!</v>
      </c>
      <c r="AU26" s="1" t="e">
        <f ca="1"/>
        <v>#NUM!</v>
      </c>
      <c r="AV26">
        <v>0</v>
      </c>
      <c r="AW26" t="e">
        <f t="shared" ca="1" si="30"/>
        <v>#NUM!</v>
      </c>
      <c r="AX26" t="e">
        <f t="shared" ca="1" si="37"/>
        <v>#NUM!</v>
      </c>
      <c r="AY26" t="e">
        <f t="shared" ca="1" si="31"/>
        <v>#NUM!</v>
      </c>
      <c r="AZ26" t="e">
        <f t="shared" ca="1" si="38"/>
        <v>#NUM!</v>
      </c>
      <c r="BA26" t="e">
        <f t="shared" ca="1" si="39"/>
        <v>#NUM!</v>
      </c>
      <c r="BB26" t="e">
        <f t="shared" ca="1" si="40"/>
        <v>#NUM!</v>
      </c>
      <c r="BC26" t="e">
        <f t="shared" ca="1" si="41"/>
        <v>#NUM!</v>
      </c>
      <c r="BD26" t="e">
        <f t="shared" ca="1" si="42"/>
        <v>#NUM!</v>
      </c>
      <c r="BE26" t="e">
        <f t="shared" ca="1" si="43"/>
        <v>#NUM!</v>
      </c>
      <c r="BF26" t="e">
        <f t="shared" ca="1" si="44"/>
        <v>#NUM!</v>
      </c>
      <c r="BG26" t="e">
        <f t="shared" ca="1" si="48"/>
        <v>#NUM!</v>
      </c>
      <c r="BH26" t="e">
        <f t="shared" ca="1" si="33"/>
        <v>#NUM!</v>
      </c>
      <c r="BI26" t="e">
        <f t="shared" ca="1" si="34"/>
        <v>#NUM!</v>
      </c>
      <c r="BJ26">
        <f t="shared" si="1"/>
        <v>0</v>
      </c>
    </row>
    <row r="27" spans="1:63" x14ac:dyDescent="0.25">
      <c r="A27">
        <f t="shared" si="46"/>
        <v>16</v>
      </c>
      <c r="B27" s="1">
        <f t="shared" si="35"/>
        <v>4.7209899999999998E-8</v>
      </c>
      <c r="C27" s="1">
        <f t="shared" si="35"/>
        <v>1.09987E-3</v>
      </c>
      <c r="D27" s="1">
        <f t="shared" si="35"/>
        <v>1.7799999999999999E-6</v>
      </c>
      <c r="E27" s="1" t="e">
        <f t="shared" ca="1" si="2"/>
        <v>#NUM!</v>
      </c>
      <c r="F27" s="1" t="e">
        <f t="shared" ca="1" si="36"/>
        <v>#NUM!</v>
      </c>
      <c r="G27" s="1" t="e">
        <f t="shared" ca="1" si="47"/>
        <v>#NUM!</v>
      </c>
      <c r="H27" s="1" t="e">
        <f t="shared" ca="1" si="3"/>
        <v>#NUM!</v>
      </c>
      <c r="I27" s="1">
        <f t="shared" si="4"/>
        <v>2.6915348039269097E-8</v>
      </c>
      <c r="J27" s="1" t="e">
        <f t="shared" ca="1" si="5"/>
        <v>#NUM!</v>
      </c>
      <c r="K27" s="1" t="e">
        <f t="shared" ca="1" si="6"/>
        <v>#NUM!</v>
      </c>
      <c r="L27" s="1">
        <f t="shared" si="7"/>
        <v>3.7411058827205313E-7</v>
      </c>
      <c r="M27" s="1" t="e">
        <f t="shared" ca="1" si="8"/>
        <v>#NUM!</v>
      </c>
      <c r="N27" s="1" t="e">
        <f t="shared" ca="1" si="9"/>
        <v>#NUM!</v>
      </c>
      <c r="O27" s="1" t="e">
        <f t="shared" ca="1" si="10"/>
        <v>#NUM!</v>
      </c>
      <c r="P27" s="1" t="e">
        <f t="shared" ca="1" si="11"/>
        <v>#NUM!</v>
      </c>
      <c r="Q27" s="1" t="e">
        <f t="shared" ca="1" si="12"/>
        <v>#NUM!</v>
      </c>
      <c r="R27" s="1" t="e">
        <f t="shared" ca="1" si="13"/>
        <v>#NUM!</v>
      </c>
      <c r="S27" s="1" t="e">
        <f t="shared" ca="1" si="14"/>
        <v>#NUM!</v>
      </c>
      <c r="T27" s="1" t="e">
        <f t="shared" ca="1" si="15"/>
        <v>#NUM!</v>
      </c>
      <c r="U27" s="1" t="e">
        <f t="shared" ca="1" si="15"/>
        <v>#NUM!</v>
      </c>
      <c r="V27" s="1" t="e">
        <f t="shared" ca="1" si="15"/>
        <v>#NUM!</v>
      </c>
      <c r="W27" s="1" t="e">
        <f t="shared" ca="1" si="15"/>
        <v>#NUM!</v>
      </c>
      <c r="X27" s="1" t="e" cm="1">
        <f t="array" aca="1" ref="X27:AA27" ca="1">ABS(T27:W27/B27:E27)</f>
        <v>#NUM!</v>
      </c>
      <c r="Y27" s="1" t="e">
        <f ca="1"/>
        <v>#NUM!</v>
      </c>
      <c r="Z27" s="1" t="e">
        <f ca="1"/>
        <v>#NUM!</v>
      </c>
      <c r="AA27" s="1" t="e">
        <f ca="1"/>
        <v>#NUM!</v>
      </c>
      <c r="AB27" s="1" t="e" cm="1">
        <f t="array" aca="1" ref="AB27" ca="1">MAX(ABS(T27:W27/B27:E27))</f>
        <v>#NUM!</v>
      </c>
      <c r="AC27" s="1" t="e">
        <f t="shared" ca="1" si="16"/>
        <v>#NUM!</v>
      </c>
      <c r="AD27" s="1" t="e">
        <f t="shared" ca="1" si="17"/>
        <v>#NUM!</v>
      </c>
      <c r="AE27" s="1" t="e">
        <f t="shared" ca="1" si="18"/>
        <v>#NUM!</v>
      </c>
      <c r="AF27" t="e">
        <f t="shared" ca="1" si="19"/>
        <v>#NUM!</v>
      </c>
      <c r="AG27" t="e">
        <f t="shared" ca="1" si="20"/>
        <v>#NUM!</v>
      </c>
      <c r="AH27">
        <v>0</v>
      </c>
      <c r="AI27" s="1" t="e">
        <f t="shared" ca="1" si="21"/>
        <v>#NUM!</v>
      </c>
      <c r="AJ27">
        <f>0</f>
        <v>0</v>
      </c>
      <c r="AK27" s="1" t="e">
        <f t="shared" ca="1" si="22"/>
        <v>#NUM!</v>
      </c>
      <c r="AL27" s="16" t="e">
        <f t="shared" ca="1" si="23"/>
        <v>#NUM!</v>
      </c>
      <c r="AM27" s="16" t="e">
        <f t="shared" ca="1" si="24"/>
        <v>#NUM!</v>
      </c>
      <c r="AN27" s="13" t="e">
        <f t="shared" ca="1" si="25"/>
        <v>#NUM!</v>
      </c>
      <c r="AO27" s="16" t="e">
        <f t="shared" ca="1" si="26"/>
        <v>#NUM!</v>
      </c>
      <c r="AP27" s="16" t="e">
        <f t="shared" ca="1" si="27"/>
        <v>#NUM!</v>
      </c>
      <c r="AQ27" s="13">
        <f t="shared" si="28"/>
        <v>6.7608297539198143E-4</v>
      </c>
      <c r="AR27" s="13" t="e">
        <f t="shared" ca="1" si="29"/>
        <v>#NUM!</v>
      </c>
      <c r="AS27" s="1" t="e" cm="1">
        <f t="array" aca="1" ref="AS27:AU27" ca="1">TRANSPOSE(MMULT(MINVERSE(_xlfn.WRAPCOLS(AC27:AK27,3)),TRANSPOSE(T27:V27)))/$F$7:$H$7</f>
        <v>#NUM!</v>
      </c>
      <c r="AT27" s="1" t="e">
        <f ca="1"/>
        <v>#NUM!</v>
      </c>
      <c r="AU27" s="1" t="e">
        <f ca="1"/>
        <v>#NUM!</v>
      </c>
      <c r="AV27">
        <v>0</v>
      </c>
      <c r="AW27" t="e">
        <f t="shared" ca="1" si="30"/>
        <v>#NUM!</v>
      </c>
      <c r="AX27" t="e">
        <f t="shared" ca="1" si="37"/>
        <v>#NUM!</v>
      </c>
      <c r="AY27" t="e">
        <f t="shared" ca="1" si="31"/>
        <v>#NUM!</v>
      </c>
      <c r="AZ27" t="e">
        <f t="shared" ca="1" si="38"/>
        <v>#NUM!</v>
      </c>
      <c r="BA27" t="e">
        <f t="shared" ca="1" si="39"/>
        <v>#NUM!</v>
      </c>
      <c r="BB27" t="e">
        <f t="shared" ca="1" si="40"/>
        <v>#NUM!</v>
      </c>
      <c r="BC27" t="e">
        <f t="shared" ca="1" si="41"/>
        <v>#NUM!</v>
      </c>
      <c r="BD27" t="e">
        <f t="shared" ca="1" si="42"/>
        <v>#NUM!</v>
      </c>
      <c r="BE27" t="e">
        <f t="shared" ca="1" si="43"/>
        <v>#NUM!</v>
      </c>
      <c r="BF27" t="e">
        <f t="shared" ca="1" si="44"/>
        <v>#NUM!</v>
      </c>
      <c r="BG27" t="e">
        <f t="shared" ca="1" si="48"/>
        <v>#NUM!</v>
      </c>
      <c r="BH27" t="e">
        <f t="shared" ca="1" si="33"/>
        <v>#NUM!</v>
      </c>
      <c r="BI27" t="e">
        <f t="shared" ca="1" si="34"/>
        <v>#NUM!</v>
      </c>
      <c r="BJ27">
        <f t="shared" si="1"/>
        <v>0</v>
      </c>
    </row>
    <row r="28" spans="1:63" x14ac:dyDescent="0.25">
      <c r="A28">
        <f t="shared" si="46"/>
        <v>17</v>
      </c>
      <c r="B28" s="1">
        <f t="shared" si="35"/>
        <v>4.7209899999999998E-8</v>
      </c>
      <c r="C28" s="1">
        <f t="shared" si="35"/>
        <v>1.09987E-3</v>
      </c>
      <c r="D28" s="1">
        <f t="shared" si="35"/>
        <v>1.7799999999999999E-6</v>
      </c>
      <c r="E28" s="1" t="e">
        <f t="shared" ca="1" si="2"/>
        <v>#NUM!</v>
      </c>
      <c r="F28" s="1" t="e">
        <f t="shared" ca="1" si="36"/>
        <v>#NUM!</v>
      </c>
      <c r="G28" s="1" t="e">
        <f t="shared" ca="1" si="47"/>
        <v>#NUM!</v>
      </c>
      <c r="H28" s="1" t="e">
        <f t="shared" ca="1" si="3"/>
        <v>#NUM!</v>
      </c>
      <c r="I28" s="1">
        <f t="shared" si="4"/>
        <v>2.6915348039269097E-8</v>
      </c>
      <c r="J28" s="1" t="e">
        <f t="shared" ca="1" si="5"/>
        <v>#NUM!</v>
      </c>
      <c r="K28" s="1" t="e">
        <f t="shared" ca="1" si="6"/>
        <v>#NUM!</v>
      </c>
      <c r="L28" s="1">
        <f t="shared" si="7"/>
        <v>3.7411058827205313E-7</v>
      </c>
      <c r="M28" s="1" t="e">
        <f t="shared" ca="1" si="8"/>
        <v>#NUM!</v>
      </c>
      <c r="N28" s="1" t="e">
        <f t="shared" ca="1" si="9"/>
        <v>#NUM!</v>
      </c>
      <c r="O28" s="1" t="e">
        <f t="shared" ca="1" si="10"/>
        <v>#NUM!</v>
      </c>
      <c r="P28" s="1" t="e">
        <f t="shared" ca="1" si="11"/>
        <v>#NUM!</v>
      </c>
      <c r="Q28" s="1" t="e">
        <f t="shared" ca="1" si="12"/>
        <v>#NUM!</v>
      </c>
      <c r="R28" s="1" t="e">
        <f t="shared" ca="1" si="13"/>
        <v>#NUM!</v>
      </c>
      <c r="S28" s="1" t="e">
        <f t="shared" ca="1" si="14"/>
        <v>#NUM!</v>
      </c>
      <c r="T28" s="1" t="e">
        <f t="shared" ca="1" si="15"/>
        <v>#NUM!</v>
      </c>
      <c r="U28" s="1" t="e">
        <f t="shared" ca="1" si="15"/>
        <v>#NUM!</v>
      </c>
      <c r="V28" s="1" t="e">
        <f t="shared" ca="1" si="15"/>
        <v>#NUM!</v>
      </c>
      <c r="W28" s="1" t="e">
        <f t="shared" ca="1" si="15"/>
        <v>#NUM!</v>
      </c>
      <c r="X28" s="1" t="e" cm="1">
        <f t="array" aca="1" ref="X28:AA28" ca="1">ABS(T28:W28/B28:E28)</f>
        <v>#NUM!</v>
      </c>
      <c r="Y28" s="1" t="e">
        <f ca="1"/>
        <v>#NUM!</v>
      </c>
      <c r="Z28" s="1" t="e">
        <f ca="1"/>
        <v>#NUM!</v>
      </c>
      <c r="AA28" s="1" t="e">
        <f ca="1"/>
        <v>#NUM!</v>
      </c>
      <c r="AB28" s="1" t="e" cm="1">
        <f t="array" aca="1" ref="AB28" ca="1">MAX(ABS(T28:W28/B28:E28))</f>
        <v>#NUM!</v>
      </c>
      <c r="AC28" s="1" t="e">
        <f t="shared" ca="1" si="16"/>
        <v>#NUM!</v>
      </c>
      <c r="AD28" s="1" t="e">
        <f t="shared" ca="1" si="17"/>
        <v>#NUM!</v>
      </c>
      <c r="AE28" s="1" t="e">
        <f t="shared" ca="1" si="18"/>
        <v>#NUM!</v>
      </c>
      <c r="AF28" t="e">
        <f t="shared" ca="1" si="19"/>
        <v>#NUM!</v>
      </c>
      <c r="AG28" t="e">
        <f t="shared" ca="1" si="20"/>
        <v>#NUM!</v>
      </c>
      <c r="AH28">
        <v>0</v>
      </c>
      <c r="AI28" s="1" t="e">
        <f t="shared" ca="1" si="21"/>
        <v>#NUM!</v>
      </c>
      <c r="AJ28">
        <f>0</f>
        <v>0</v>
      </c>
      <c r="AK28" s="1" t="e">
        <f t="shared" ca="1" si="22"/>
        <v>#NUM!</v>
      </c>
      <c r="AL28" s="16" t="e">
        <f t="shared" ca="1" si="23"/>
        <v>#NUM!</v>
      </c>
      <c r="AM28" s="16" t="e">
        <f t="shared" ca="1" si="24"/>
        <v>#NUM!</v>
      </c>
      <c r="AN28" s="13" t="e">
        <f t="shared" ca="1" si="25"/>
        <v>#NUM!</v>
      </c>
      <c r="AO28" s="16" t="e">
        <f t="shared" ca="1" si="26"/>
        <v>#NUM!</v>
      </c>
      <c r="AP28" s="16" t="e">
        <f t="shared" ca="1" si="27"/>
        <v>#NUM!</v>
      </c>
      <c r="AQ28" s="13">
        <f t="shared" si="28"/>
        <v>6.7608297539198143E-4</v>
      </c>
      <c r="AR28" s="13" t="e">
        <f t="shared" ca="1" si="29"/>
        <v>#NUM!</v>
      </c>
      <c r="AS28" s="1" t="e" cm="1">
        <f t="array" aca="1" ref="AS28:AU28" ca="1">TRANSPOSE(MMULT(MINVERSE(_xlfn.WRAPCOLS(AC28:AK28,3)),TRANSPOSE(T28:V28)))/$F$7:$H$7</f>
        <v>#NUM!</v>
      </c>
      <c r="AT28" s="1" t="e">
        <f ca="1"/>
        <v>#NUM!</v>
      </c>
      <c r="AU28" s="1" t="e">
        <f ca="1"/>
        <v>#NUM!</v>
      </c>
      <c r="AV28">
        <v>0</v>
      </c>
      <c r="AW28" t="e">
        <f t="shared" ca="1" si="30"/>
        <v>#NUM!</v>
      </c>
      <c r="AX28" t="e">
        <f t="shared" ca="1" si="37"/>
        <v>#NUM!</v>
      </c>
      <c r="AY28" t="e">
        <f t="shared" ca="1" si="31"/>
        <v>#NUM!</v>
      </c>
      <c r="AZ28" t="e">
        <f t="shared" ca="1" si="38"/>
        <v>#NUM!</v>
      </c>
      <c r="BA28" t="e">
        <f t="shared" ca="1" si="39"/>
        <v>#NUM!</v>
      </c>
      <c r="BB28" t="e">
        <f t="shared" ca="1" si="40"/>
        <v>#NUM!</v>
      </c>
      <c r="BC28" t="e">
        <f t="shared" ca="1" si="41"/>
        <v>#NUM!</v>
      </c>
      <c r="BD28" t="e">
        <f t="shared" ca="1" si="42"/>
        <v>#NUM!</v>
      </c>
      <c r="BE28" t="e">
        <f t="shared" ca="1" si="43"/>
        <v>#NUM!</v>
      </c>
      <c r="BF28" t="e">
        <f t="shared" ca="1" si="44"/>
        <v>#NUM!</v>
      </c>
      <c r="BG28" t="e">
        <f t="shared" ca="1" si="48"/>
        <v>#NUM!</v>
      </c>
      <c r="BH28" t="e">
        <f t="shared" ca="1" si="33"/>
        <v>#NUM!</v>
      </c>
      <c r="BI28" t="e">
        <f t="shared" ca="1" si="34"/>
        <v>#NUM!</v>
      </c>
      <c r="BJ28">
        <f t="shared" si="1"/>
        <v>0</v>
      </c>
    </row>
    <row r="29" spans="1:63" x14ac:dyDescent="0.25">
      <c r="A29">
        <f t="shared" si="46"/>
        <v>18</v>
      </c>
      <c r="B29" s="1">
        <f t="shared" si="35"/>
        <v>4.7209899999999998E-8</v>
      </c>
      <c r="C29" s="1">
        <f t="shared" si="35"/>
        <v>1.09987E-3</v>
      </c>
      <c r="D29" s="1">
        <f t="shared" si="35"/>
        <v>1.7799999999999999E-6</v>
      </c>
      <c r="E29" s="1" t="e">
        <f t="shared" ca="1" si="2"/>
        <v>#NUM!</v>
      </c>
      <c r="F29" s="1" t="e">
        <f t="shared" ca="1" si="36"/>
        <v>#NUM!</v>
      </c>
      <c r="G29" s="1" t="e">
        <f t="shared" ca="1" si="47"/>
        <v>#NUM!</v>
      </c>
      <c r="H29" s="1" t="e">
        <f t="shared" ca="1" si="3"/>
        <v>#NUM!</v>
      </c>
      <c r="I29" s="1">
        <f t="shared" si="4"/>
        <v>2.6915348039269097E-8</v>
      </c>
      <c r="J29" s="1" t="e">
        <f t="shared" ca="1" si="5"/>
        <v>#NUM!</v>
      </c>
      <c r="K29" s="1" t="e">
        <f t="shared" ca="1" si="6"/>
        <v>#NUM!</v>
      </c>
      <c r="L29" s="1">
        <f t="shared" si="7"/>
        <v>3.7411058827205313E-7</v>
      </c>
      <c r="M29" s="1" t="e">
        <f t="shared" ca="1" si="8"/>
        <v>#NUM!</v>
      </c>
      <c r="N29" s="1" t="e">
        <f t="shared" ca="1" si="9"/>
        <v>#NUM!</v>
      </c>
      <c r="O29" s="1" t="e">
        <f t="shared" ca="1" si="10"/>
        <v>#NUM!</v>
      </c>
      <c r="P29" s="1" t="e">
        <f t="shared" ca="1" si="11"/>
        <v>#NUM!</v>
      </c>
      <c r="Q29" s="1" t="e">
        <f t="shared" ca="1" si="12"/>
        <v>#NUM!</v>
      </c>
      <c r="R29" s="1" t="e">
        <f t="shared" ca="1" si="13"/>
        <v>#NUM!</v>
      </c>
      <c r="S29" s="1" t="e">
        <f t="shared" ca="1" si="14"/>
        <v>#NUM!</v>
      </c>
      <c r="T29" s="1" t="e">
        <f t="shared" ca="1" si="15"/>
        <v>#NUM!</v>
      </c>
      <c r="U29" s="1" t="e">
        <f t="shared" ca="1" si="15"/>
        <v>#NUM!</v>
      </c>
      <c r="V29" s="1" t="e">
        <f t="shared" ca="1" si="15"/>
        <v>#NUM!</v>
      </c>
      <c r="W29" s="1" t="e">
        <f t="shared" ca="1" si="15"/>
        <v>#NUM!</v>
      </c>
      <c r="X29" s="1" t="e" cm="1">
        <f t="array" aca="1" ref="X29:AA29" ca="1">ABS(T29:W29/B29:E29)</f>
        <v>#NUM!</v>
      </c>
      <c r="Y29" s="1" t="e">
        <f ca="1"/>
        <v>#NUM!</v>
      </c>
      <c r="Z29" s="1" t="e">
        <f ca="1"/>
        <v>#NUM!</v>
      </c>
      <c r="AA29" s="1" t="e">
        <f ca="1"/>
        <v>#NUM!</v>
      </c>
      <c r="AB29" s="1" t="e" cm="1">
        <f t="array" aca="1" ref="AB29" ca="1">MAX(ABS(T29:W29/B29:E29))</f>
        <v>#NUM!</v>
      </c>
      <c r="AC29" s="1" t="e">
        <f t="shared" ca="1" si="16"/>
        <v>#NUM!</v>
      </c>
      <c r="AD29" s="1" t="e">
        <f t="shared" ca="1" si="17"/>
        <v>#NUM!</v>
      </c>
      <c r="AE29" s="1" t="e">
        <f t="shared" ca="1" si="18"/>
        <v>#NUM!</v>
      </c>
      <c r="AF29" t="e">
        <f t="shared" ca="1" si="19"/>
        <v>#NUM!</v>
      </c>
      <c r="AG29" t="e">
        <f t="shared" ca="1" si="20"/>
        <v>#NUM!</v>
      </c>
      <c r="AH29">
        <v>0</v>
      </c>
      <c r="AI29" s="1" t="e">
        <f t="shared" ca="1" si="21"/>
        <v>#NUM!</v>
      </c>
      <c r="AJ29">
        <f>0</f>
        <v>0</v>
      </c>
      <c r="AK29" s="1" t="e">
        <f t="shared" ca="1" si="22"/>
        <v>#NUM!</v>
      </c>
      <c r="AL29" s="16" t="e">
        <f t="shared" ca="1" si="23"/>
        <v>#NUM!</v>
      </c>
      <c r="AM29" s="16" t="e">
        <f t="shared" ca="1" si="24"/>
        <v>#NUM!</v>
      </c>
      <c r="AN29" s="13" t="e">
        <f t="shared" ca="1" si="25"/>
        <v>#NUM!</v>
      </c>
      <c r="AO29" s="16" t="e">
        <f t="shared" ca="1" si="26"/>
        <v>#NUM!</v>
      </c>
      <c r="AP29" s="16" t="e">
        <f t="shared" ca="1" si="27"/>
        <v>#NUM!</v>
      </c>
      <c r="AQ29" s="13">
        <f t="shared" si="28"/>
        <v>6.7608297539198143E-4</v>
      </c>
      <c r="AR29" s="13" t="e">
        <f t="shared" ca="1" si="29"/>
        <v>#NUM!</v>
      </c>
      <c r="AS29" s="1" t="e" cm="1">
        <f t="array" aca="1" ref="AS29:AU29" ca="1">TRANSPOSE(MMULT(MINVERSE(_xlfn.WRAPCOLS(AC29:AK29,3)),TRANSPOSE(T29:V29)))/$F$7:$H$7</f>
        <v>#NUM!</v>
      </c>
      <c r="AT29" s="1" t="e">
        <f ca="1"/>
        <v>#NUM!</v>
      </c>
      <c r="AU29" s="1" t="e">
        <f ca="1"/>
        <v>#NUM!</v>
      </c>
      <c r="AV29">
        <v>0</v>
      </c>
      <c r="AW29" t="e">
        <f t="shared" ca="1" si="30"/>
        <v>#NUM!</v>
      </c>
      <c r="AX29" t="e">
        <f t="shared" ca="1" si="37"/>
        <v>#NUM!</v>
      </c>
      <c r="AY29" t="e">
        <f t="shared" ca="1" si="31"/>
        <v>#NUM!</v>
      </c>
      <c r="AZ29" t="e">
        <f t="shared" ca="1" si="38"/>
        <v>#NUM!</v>
      </c>
      <c r="BA29" t="e">
        <f t="shared" ca="1" si="39"/>
        <v>#NUM!</v>
      </c>
      <c r="BB29" t="e">
        <f t="shared" ca="1" si="40"/>
        <v>#NUM!</v>
      </c>
      <c r="BC29" t="e">
        <f t="shared" ca="1" si="41"/>
        <v>#NUM!</v>
      </c>
      <c r="BD29" t="e">
        <f t="shared" ca="1" si="42"/>
        <v>#NUM!</v>
      </c>
      <c r="BE29" t="e">
        <f t="shared" ca="1" si="43"/>
        <v>#NUM!</v>
      </c>
      <c r="BF29" t="e">
        <f t="shared" ca="1" si="44"/>
        <v>#NUM!</v>
      </c>
      <c r="BG29" t="e">
        <f t="shared" ca="1" si="48"/>
        <v>#NUM!</v>
      </c>
      <c r="BH29" t="e">
        <f t="shared" ca="1" si="33"/>
        <v>#NUM!</v>
      </c>
      <c r="BI29" t="e">
        <f t="shared" ca="1" si="34"/>
        <v>#NUM!</v>
      </c>
      <c r="BJ29">
        <f t="shared" si="1"/>
        <v>0</v>
      </c>
    </row>
    <row r="30" spans="1:63" x14ac:dyDescent="0.25">
      <c r="A30">
        <f t="shared" si="46"/>
        <v>19</v>
      </c>
      <c r="B30" s="1">
        <f t="shared" si="35"/>
        <v>4.7209899999999998E-8</v>
      </c>
      <c r="C30" s="1">
        <f t="shared" si="35"/>
        <v>1.09987E-3</v>
      </c>
      <c r="D30" s="1">
        <f t="shared" si="35"/>
        <v>1.7799999999999999E-6</v>
      </c>
      <c r="E30" s="1" t="e">
        <f t="shared" ca="1" si="2"/>
        <v>#NUM!</v>
      </c>
      <c r="F30" s="1" t="e">
        <f t="shared" ca="1" si="36"/>
        <v>#NUM!</v>
      </c>
      <c r="G30" s="1" t="e">
        <f t="shared" ca="1" si="47"/>
        <v>#NUM!</v>
      </c>
      <c r="H30" s="1" t="e">
        <f t="shared" ca="1" si="3"/>
        <v>#NUM!</v>
      </c>
      <c r="I30" s="1">
        <f t="shared" si="4"/>
        <v>2.6915348039269097E-8</v>
      </c>
      <c r="J30" s="1" t="e">
        <f t="shared" ca="1" si="5"/>
        <v>#NUM!</v>
      </c>
      <c r="K30" s="1" t="e">
        <f t="shared" ca="1" si="6"/>
        <v>#NUM!</v>
      </c>
      <c r="L30" s="1">
        <f t="shared" si="7"/>
        <v>3.7411058827205313E-7</v>
      </c>
      <c r="M30" s="1" t="e">
        <f t="shared" ca="1" si="8"/>
        <v>#NUM!</v>
      </c>
      <c r="N30" s="1" t="e">
        <f t="shared" ca="1" si="9"/>
        <v>#NUM!</v>
      </c>
      <c r="O30" s="1" t="e">
        <f t="shared" ca="1" si="10"/>
        <v>#NUM!</v>
      </c>
      <c r="P30" s="1" t="e">
        <f t="shared" ca="1" si="11"/>
        <v>#NUM!</v>
      </c>
      <c r="Q30" s="1" t="e">
        <f t="shared" ca="1" si="12"/>
        <v>#NUM!</v>
      </c>
      <c r="R30" s="1" t="e">
        <f t="shared" ca="1" si="13"/>
        <v>#NUM!</v>
      </c>
      <c r="S30" s="1" t="e">
        <f t="shared" ca="1" si="14"/>
        <v>#NUM!</v>
      </c>
      <c r="T30" s="1" t="e">
        <f t="shared" ca="1" si="15"/>
        <v>#NUM!</v>
      </c>
      <c r="U30" s="1" t="e">
        <f t="shared" ca="1" si="15"/>
        <v>#NUM!</v>
      </c>
      <c r="V30" s="1" t="e">
        <f t="shared" ca="1" si="15"/>
        <v>#NUM!</v>
      </c>
      <c r="W30" s="1" t="e">
        <f t="shared" ca="1" si="15"/>
        <v>#NUM!</v>
      </c>
      <c r="X30" s="1" t="e" cm="1">
        <f t="array" aca="1" ref="X30:AA30" ca="1">ABS(T30:W30/B30:E30)</f>
        <v>#NUM!</v>
      </c>
      <c r="Y30" s="1" t="e">
        <f ca="1"/>
        <v>#NUM!</v>
      </c>
      <c r="Z30" s="1" t="e">
        <f ca="1"/>
        <v>#NUM!</v>
      </c>
      <c r="AA30" s="1" t="e">
        <f ca="1"/>
        <v>#NUM!</v>
      </c>
      <c r="AB30" s="1" t="e" cm="1">
        <f t="array" aca="1" ref="AB30" ca="1">MAX(ABS(T30:W30/B30:E30))</f>
        <v>#NUM!</v>
      </c>
      <c r="AC30" s="1" t="e">
        <f t="shared" ca="1" si="16"/>
        <v>#NUM!</v>
      </c>
      <c r="AD30" s="1" t="e">
        <f t="shared" ca="1" si="17"/>
        <v>#NUM!</v>
      </c>
      <c r="AE30" s="1" t="e">
        <f t="shared" ca="1" si="18"/>
        <v>#NUM!</v>
      </c>
      <c r="AF30" t="e">
        <f t="shared" ca="1" si="19"/>
        <v>#NUM!</v>
      </c>
      <c r="AG30" t="e">
        <f t="shared" ca="1" si="20"/>
        <v>#NUM!</v>
      </c>
      <c r="AH30">
        <v>0</v>
      </c>
      <c r="AI30" s="1" t="e">
        <f t="shared" ca="1" si="21"/>
        <v>#NUM!</v>
      </c>
      <c r="AJ30">
        <f>0</f>
        <v>0</v>
      </c>
      <c r="AK30" s="1" t="e">
        <f t="shared" ca="1" si="22"/>
        <v>#NUM!</v>
      </c>
      <c r="AL30" s="16" t="e">
        <f t="shared" ca="1" si="23"/>
        <v>#NUM!</v>
      </c>
      <c r="AM30" s="16" t="e">
        <f t="shared" ca="1" si="24"/>
        <v>#NUM!</v>
      </c>
      <c r="AN30" s="13" t="e">
        <f t="shared" ca="1" si="25"/>
        <v>#NUM!</v>
      </c>
      <c r="AO30" s="16" t="e">
        <f t="shared" ca="1" si="26"/>
        <v>#NUM!</v>
      </c>
      <c r="AP30" s="16" t="e">
        <f t="shared" ca="1" si="27"/>
        <v>#NUM!</v>
      </c>
      <c r="AQ30" s="13">
        <f t="shared" si="28"/>
        <v>6.7608297539198143E-4</v>
      </c>
      <c r="AR30" s="13" t="e">
        <f t="shared" ca="1" si="29"/>
        <v>#NUM!</v>
      </c>
      <c r="AS30" s="1" t="e" cm="1">
        <f t="array" aca="1" ref="AS30:AU30" ca="1">TRANSPOSE(MMULT(MINVERSE(_xlfn.WRAPCOLS(AC30:AK30,3)),TRANSPOSE(T30:V30)))/$F$7:$H$7</f>
        <v>#NUM!</v>
      </c>
      <c r="AT30" s="1" t="e">
        <f ca="1"/>
        <v>#NUM!</v>
      </c>
      <c r="AU30" s="1" t="e">
        <f ca="1"/>
        <v>#NUM!</v>
      </c>
      <c r="AV30">
        <v>0</v>
      </c>
      <c r="AW30" t="e">
        <f t="shared" ca="1" si="30"/>
        <v>#NUM!</v>
      </c>
      <c r="AX30" t="e">
        <f t="shared" ca="1" si="37"/>
        <v>#NUM!</v>
      </c>
      <c r="AY30" t="e">
        <f t="shared" ca="1" si="31"/>
        <v>#NUM!</v>
      </c>
      <c r="AZ30" t="e">
        <f t="shared" ca="1" si="38"/>
        <v>#NUM!</v>
      </c>
      <c r="BA30" t="e">
        <f t="shared" ca="1" si="39"/>
        <v>#NUM!</v>
      </c>
      <c r="BB30" t="e">
        <f t="shared" ca="1" si="40"/>
        <v>#NUM!</v>
      </c>
      <c r="BC30" t="e">
        <f t="shared" ca="1" si="41"/>
        <v>#NUM!</v>
      </c>
      <c r="BD30" t="e">
        <f t="shared" ca="1" si="42"/>
        <v>#NUM!</v>
      </c>
      <c r="BE30" t="e">
        <f t="shared" ca="1" si="43"/>
        <v>#NUM!</v>
      </c>
      <c r="BF30" t="e">
        <f t="shared" ca="1" si="44"/>
        <v>#NUM!</v>
      </c>
      <c r="BG30" t="e">
        <f t="shared" ca="1" si="48"/>
        <v>#NUM!</v>
      </c>
      <c r="BH30" t="e">
        <f t="shared" ca="1" si="33"/>
        <v>#NUM!</v>
      </c>
      <c r="BI30" t="e">
        <f t="shared" ca="1" si="34"/>
        <v>#NUM!</v>
      </c>
      <c r="BJ30">
        <f t="shared" si="1"/>
        <v>0</v>
      </c>
    </row>
    <row r="31" spans="1:63" x14ac:dyDescent="0.25">
      <c r="A31">
        <f t="shared" si="46"/>
        <v>20</v>
      </c>
      <c r="B31" s="1">
        <f t="shared" si="35"/>
        <v>4.7209899999999998E-8</v>
      </c>
      <c r="C31" s="1">
        <f t="shared" si="35"/>
        <v>1.09987E-3</v>
      </c>
      <c r="D31" s="1">
        <f t="shared" si="35"/>
        <v>1.7799999999999999E-6</v>
      </c>
      <c r="E31" s="1" t="e">
        <f t="shared" ca="1" si="2"/>
        <v>#NUM!</v>
      </c>
      <c r="F31" s="1" t="e">
        <f t="shared" ca="1" si="36"/>
        <v>#NUM!</v>
      </c>
      <c r="G31" s="1" t="e">
        <f t="shared" ca="1" si="47"/>
        <v>#NUM!</v>
      </c>
      <c r="H31" s="1" t="e">
        <f t="shared" ca="1" si="3"/>
        <v>#NUM!</v>
      </c>
      <c r="I31" s="1">
        <f t="shared" si="4"/>
        <v>2.6915348039269097E-8</v>
      </c>
      <c r="J31" s="1" t="e">
        <f t="shared" ca="1" si="5"/>
        <v>#NUM!</v>
      </c>
      <c r="K31" s="1" t="e">
        <f t="shared" ca="1" si="6"/>
        <v>#NUM!</v>
      </c>
      <c r="L31" s="1">
        <f t="shared" si="7"/>
        <v>3.7411058827205313E-7</v>
      </c>
      <c r="M31" s="1" t="e">
        <f t="shared" ca="1" si="8"/>
        <v>#NUM!</v>
      </c>
      <c r="N31" s="1" t="e">
        <f t="shared" ca="1" si="9"/>
        <v>#NUM!</v>
      </c>
      <c r="O31" s="1" t="e">
        <f t="shared" ca="1" si="10"/>
        <v>#NUM!</v>
      </c>
      <c r="P31" s="1" t="e">
        <f t="shared" ca="1" si="11"/>
        <v>#NUM!</v>
      </c>
      <c r="Q31" s="1" t="e">
        <f t="shared" ca="1" si="12"/>
        <v>#NUM!</v>
      </c>
      <c r="R31" s="1" t="e">
        <f t="shared" ca="1" si="13"/>
        <v>#NUM!</v>
      </c>
      <c r="S31" s="1" t="e">
        <f t="shared" ca="1" si="14"/>
        <v>#NUM!</v>
      </c>
      <c r="T31" s="1" t="e">
        <f t="shared" ca="1" si="15"/>
        <v>#NUM!</v>
      </c>
      <c r="U31" s="1" t="e">
        <f t="shared" ca="1" si="15"/>
        <v>#NUM!</v>
      </c>
      <c r="V31" s="1" t="e">
        <f t="shared" ca="1" si="15"/>
        <v>#NUM!</v>
      </c>
      <c r="W31" s="1" t="e">
        <f t="shared" ca="1" si="15"/>
        <v>#NUM!</v>
      </c>
      <c r="X31" s="1" t="e" cm="1">
        <f t="array" aca="1" ref="X31:AA31" ca="1">ABS(T31:W31/B31:E31)</f>
        <v>#NUM!</v>
      </c>
      <c r="Y31" s="1" t="e">
        <f ca="1"/>
        <v>#NUM!</v>
      </c>
      <c r="Z31" s="1" t="e">
        <f ca="1"/>
        <v>#NUM!</v>
      </c>
      <c r="AA31" s="1" t="e">
        <f ca="1"/>
        <v>#NUM!</v>
      </c>
      <c r="AB31" s="1" t="e" cm="1">
        <f t="array" aca="1" ref="AB31" ca="1">MAX(ABS(T31:W31/B31:E31))</f>
        <v>#NUM!</v>
      </c>
      <c r="AC31" s="1" t="e">
        <f t="shared" ca="1" si="16"/>
        <v>#NUM!</v>
      </c>
      <c r="AD31" s="1" t="e">
        <f t="shared" ca="1" si="17"/>
        <v>#NUM!</v>
      </c>
      <c r="AE31" s="1" t="e">
        <f t="shared" ca="1" si="18"/>
        <v>#NUM!</v>
      </c>
      <c r="AF31" t="e">
        <f t="shared" ca="1" si="19"/>
        <v>#NUM!</v>
      </c>
      <c r="AG31" t="e">
        <f t="shared" ca="1" si="20"/>
        <v>#NUM!</v>
      </c>
      <c r="AH31">
        <v>0</v>
      </c>
      <c r="AI31" s="1" t="e">
        <f t="shared" ca="1" si="21"/>
        <v>#NUM!</v>
      </c>
      <c r="AJ31">
        <f>0</f>
        <v>0</v>
      </c>
      <c r="AK31" s="1" t="e">
        <f t="shared" ca="1" si="22"/>
        <v>#NUM!</v>
      </c>
      <c r="AL31" s="16" t="e">
        <f t="shared" ca="1" si="23"/>
        <v>#NUM!</v>
      </c>
      <c r="AM31" s="16" t="e">
        <f t="shared" ca="1" si="24"/>
        <v>#NUM!</v>
      </c>
      <c r="AN31" s="13" t="e">
        <f t="shared" ca="1" si="25"/>
        <v>#NUM!</v>
      </c>
      <c r="AO31" s="16" t="e">
        <f t="shared" ca="1" si="26"/>
        <v>#NUM!</v>
      </c>
      <c r="AP31" s="16" t="e">
        <f t="shared" ca="1" si="27"/>
        <v>#NUM!</v>
      </c>
      <c r="AQ31" s="13">
        <f t="shared" si="28"/>
        <v>6.7608297539198143E-4</v>
      </c>
      <c r="AR31" s="13" t="e">
        <f t="shared" ca="1" si="29"/>
        <v>#NUM!</v>
      </c>
      <c r="AS31" s="1" t="e" cm="1">
        <f t="array" aca="1" ref="AS31:AU31" ca="1">TRANSPOSE(MMULT(MINVERSE(_xlfn.WRAPCOLS(AC31:AK31,3)),TRANSPOSE(T31:V31)))/$F$7:$H$7</f>
        <v>#NUM!</v>
      </c>
      <c r="AT31" s="1" t="e">
        <f ca="1"/>
        <v>#NUM!</v>
      </c>
      <c r="AU31" s="1" t="e">
        <f ca="1"/>
        <v>#NUM!</v>
      </c>
      <c r="AV31">
        <v>0</v>
      </c>
      <c r="AW31" t="e">
        <f t="shared" ca="1" si="30"/>
        <v>#NUM!</v>
      </c>
      <c r="AX31" t="e">
        <f t="shared" ca="1" si="37"/>
        <v>#NUM!</v>
      </c>
      <c r="AY31" t="e">
        <f t="shared" ca="1" si="31"/>
        <v>#NUM!</v>
      </c>
      <c r="AZ31" t="e">
        <f t="shared" ca="1" si="38"/>
        <v>#NUM!</v>
      </c>
      <c r="BA31" t="e">
        <f t="shared" ca="1" si="39"/>
        <v>#NUM!</v>
      </c>
      <c r="BB31" t="e">
        <f t="shared" ca="1" si="40"/>
        <v>#NUM!</v>
      </c>
      <c r="BC31" t="e">
        <f t="shared" ca="1" si="41"/>
        <v>#NUM!</v>
      </c>
      <c r="BD31" t="e">
        <f t="shared" ca="1" si="42"/>
        <v>#NUM!</v>
      </c>
      <c r="BE31" t="e">
        <f t="shared" ca="1" si="43"/>
        <v>#NUM!</v>
      </c>
      <c r="BF31" t="e">
        <f t="shared" ca="1" si="44"/>
        <v>#NUM!</v>
      </c>
      <c r="BG31" t="e">
        <f t="shared" ca="1" si="48"/>
        <v>#NUM!</v>
      </c>
      <c r="BH31" t="e">
        <f t="shared" ca="1" si="33"/>
        <v>#NUM!</v>
      </c>
      <c r="BI31" t="e">
        <f t="shared" ca="1" si="34"/>
        <v>#NUM!</v>
      </c>
      <c r="BJ31">
        <f t="shared" si="1"/>
        <v>0</v>
      </c>
    </row>
    <row r="32" spans="1:63" x14ac:dyDescent="0.25">
      <c r="A32">
        <f t="shared" si="46"/>
        <v>21</v>
      </c>
      <c r="B32" s="1">
        <f t="shared" si="35"/>
        <v>4.7209899999999998E-8</v>
      </c>
      <c r="C32" s="1">
        <f t="shared" si="35"/>
        <v>1.09987E-3</v>
      </c>
      <c r="D32" s="1">
        <f t="shared" si="35"/>
        <v>1.7799999999999999E-6</v>
      </c>
      <c r="E32" s="1" t="e">
        <f t="shared" ca="1" si="2"/>
        <v>#NUM!</v>
      </c>
      <c r="F32" s="1" t="e">
        <f t="shared" ca="1" si="36"/>
        <v>#NUM!</v>
      </c>
      <c r="G32" s="1" t="e">
        <f t="shared" ca="1" si="47"/>
        <v>#NUM!</v>
      </c>
      <c r="H32" s="1" t="e">
        <f t="shared" ca="1" si="3"/>
        <v>#NUM!</v>
      </c>
      <c r="I32" s="1">
        <f t="shared" si="4"/>
        <v>2.6915348039269097E-8</v>
      </c>
      <c r="J32" s="1" t="e">
        <f t="shared" ca="1" si="5"/>
        <v>#NUM!</v>
      </c>
      <c r="K32" s="1" t="e">
        <f t="shared" ca="1" si="6"/>
        <v>#NUM!</v>
      </c>
      <c r="L32" s="1">
        <f t="shared" si="7"/>
        <v>3.7411058827205313E-7</v>
      </c>
      <c r="M32" s="1" t="e">
        <f t="shared" ca="1" si="8"/>
        <v>#NUM!</v>
      </c>
      <c r="N32" s="1" t="e">
        <f t="shared" ca="1" si="9"/>
        <v>#NUM!</v>
      </c>
      <c r="O32" s="1" t="e">
        <f t="shared" ca="1" si="10"/>
        <v>#NUM!</v>
      </c>
      <c r="P32" s="1" t="e">
        <f t="shared" ca="1" si="11"/>
        <v>#NUM!</v>
      </c>
      <c r="Q32" s="1" t="e">
        <f t="shared" ca="1" si="12"/>
        <v>#NUM!</v>
      </c>
      <c r="R32" s="1" t="e">
        <f t="shared" ca="1" si="13"/>
        <v>#NUM!</v>
      </c>
      <c r="S32" s="1" t="e">
        <f t="shared" ca="1" si="14"/>
        <v>#NUM!</v>
      </c>
      <c r="T32" s="1" t="e">
        <f t="shared" ca="1" si="15"/>
        <v>#NUM!</v>
      </c>
      <c r="U32" s="1" t="e">
        <f t="shared" ca="1" si="15"/>
        <v>#NUM!</v>
      </c>
      <c r="V32" s="1" t="e">
        <f t="shared" ca="1" si="15"/>
        <v>#NUM!</v>
      </c>
      <c r="W32" s="1" t="e">
        <f t="shared" ca="1" si="15"/>
        <v>#NUM!</v>
      </c>
      <c r="X32" s="1" t="e" cm="1">
        <f t="array" aca="1" ref="X32:AA32" ca="1">ABS(T32:W32/B32:E32)</f>
        <v>#NUM!</v>
      </c>
      <c r="Y32" s="1" t="e">
        <f ca="1"/>
        <v>#NUM!</v>
      </c>
      <c r="Z32" s="1" t="e">
        <f ca="1"/>
        <v>#NUM!</v>
      </c>
      <c r="AA32" s="1" t="e">
        <f ca="1"/>
        <v>#NUM!</v>
      </c>
      <c r="AB32" s="1" t="e" cm="1">
        <f t="array" aca="1" ref="AB32" ca="1">MAX(ABS(T32:W32/B32:E32))</f>
        <v>#NUM!</v>
      </c>
      <c r="AC32" s="1" t="e">
        <f t="shared" ca="1" si="16"/>
        <v>#NUM!</v>
      </c>
      <c r="AD32" s="1" t="e">
        <f t="shared" ca="1" si="17"/>
        <v>#NUM!</v>
      </c>
      <c r="AE32" s="1" t="e">
        <f t="shared" ca="1" si="18"/>
        <v>#NUM!</v>
      </c>
      <c r="AF32" t="e">
        <f t="shared" ca="1" si="19"/>
        <v>#NUM!</v>
      </c>
      <c r="AG32" t="e">
        <f t="shared" ca="1" si="20"/>
        <v>#NUM!</v>
      </c>
      <c r="AH32">
        <v>0</v>
      </c>
      <c r="AI32" s="1" t="e">
        <f t="shared" ca="1" si="21"/>
        <v>#NUM!</v>
      </c>
      <c r="AJ32">
        <f>0</f>
        <v>0</v>
      </c>
      <c r="AK32" s="1" t="e">
        <f t="shared" ca="1" si="22"/>
        <v>#NUM!</v>
      </c>
      <c r="AL32" s="16" t="e">
        <f t="shared" ca="1" si="23"/>
        <v>#NUM!</v>
      </c>
      <c r="AM32" s="16" t="e">
        <f t="shared" ca="1" si="24"/>
        <v>#NUM!</v>
      </c>
      <c r="AN32" s="13" t="e">
        <f t="shared" ca="1" si="25"/>
        <v>#NUM!</v>
      </c>
      <c r="AO32" s="16" t="e">
        <f t="shared" ca="1" si="26"/>
        <v>#NUM!</v>
      </c>
      <c r="AP32" s="16" t="e">
        <f t="shared" ca="1" si="27"/>
        <v>#NUM!</v>
      </c>
      <c r="AQ32" s="13">
        <f t="shared" si="28"/>
        <v>6.7608297539198143E-4</v>
      </c>
      <c r="AR32" s="13" t="e">
        <f t="shared" ca="1" si="29"/>
        <v>#NUM!</v>
      </c>
      <c r="AS32" s="1" t="e" cm="1">
        <f t="array" aca="1" ref="AS32:AU32" ca="1">TRANSPOSE(MMULT(MINVERSE(_xlfn.WRAPCOLS(AC32:AK32,3)),TRANSPOSE(T32:V32)))/$F$7:$H$7</f>
        <v>#NUM!</v>
      </c>
      <c r="AT32" s="1" t="e">
        <f ca="1"/>
        <v>#NUM!</v>
      </c>
      <c r="AU32" s="1" t="e">
        <f ca="1"/>
        <v>#NUM!</v>
      </c>
      <c r="AV32">
        <v>0</v>
      </c>
      <c r="AW32" t="e">
        <f t="shared" ca="1" si="30"/>
        <v>#NUM!</v>
      </c>
      <c r="AX32" t="e">
        <f t="shared" ca="1" si="37"/>
        <v>#NUM!</v>
      </c>
      <c r="AY32" t="e">
        <f t="shared" ca="1" si="31"/>
        <v>#NUM!</v>
      </c>
      <c r="AZ32" t="e">
        <f t="shared" ca="1" si="38"/>
        <v>#NUM!</v>
      </c>
      <c r="BA32" t="e">
        <f t="shared" ca="1" si="39"/>
        <v>#NUM!</v>
      </c>
      <c r="BB32" t="e">
        <f t="shared" ca="1" si="40"/>
        <v>#NUM!</v>
      </c>
      <c r="BC32" t="e">
        <f t="shared" ca="1" si="41"/>
        <v>#NUM!</v>
      </c>
      <c r="BD32" t="e">
        <f t="shared" ca="1" si="42"/>
        <v>#NUM!</v>
      </c>
      <c r="BE32" t="e">
        <f t="shared" ca="1" si="43"/>
        <v>#NUM!</v>
      </c>
      <c r="BF32" t="e">
        <f t="shared" ca="1" si="44"/>
        <v>#NUM!</v>
      </c>
      <c r="BG32" t="e">
        <f t="shared" ca="1" si="48"/>
        <v>#NUM!</v>
      </c>
      <c r="BH32" t="e">
        <f t="shared" ca="1" si="33"/>
        <v>#NUM!</v>
      </c>
      <c r="BI32" t="e">
        <f t="shared" ca="1" si="34"/>
        <v>#NUM!</v>
      </c>
      <c r="BJ32">
        <f t="shared" si="1"/>
        <v>0</v>
      </c>
    </row>
    <row r="33" spans="1:62" x14ac:dyDescent="0.25">
      <c r="A33">
        <f t="shared" si="46"/>
        <v>22</v>
      </c>
      <c r="B33" s="1">
        <f t="shared" si="35"/>
        <v>4.7209899999999998E-8</v>
      </c>
      <c r="C33" s="1">
        <f t="shared" si="35"/>
        <v>1.09987E-3</v>
      </c>
      <c r="D33" s="1">
        <f t="shared" si="35"/>
        <v>1.7799999999999999E-6</v>
      </c>
      <c r="E33" s="1" t="e">
        <f t="shared" ca="1" si="2"/>
        <v>#NUM!</v>
      </c>
      <c r="F33" s="1" t="e">
        <f t="shared" ca="1" si="36"/>
        <v>#NUM!</v>
      </c>
      <c r="G33" s="1" t="e">
        <f t="shared" ca="1" si="47"/>
        <v>#NUM!</v>
      </c>
      <c r="H33" s="1" t="e">
        <f t="shared" ca="1" si="3"/>
        <v>#NUM!</v>
      </c>
      <c r="I33" s="1">
        <f t="shared" si="4"/>
        <v>2.6915348039269097E-8</v>
      </c>
      <c r="J33" s="1" t="e">
        <f t="shared" ca="1" si="5"/>
        <v>#NUM!</v>
      </c>
      <c r="K33" s="1" t="e">
        <f t="shared" ca="1" si="6"/>
        <v>#NUM!</v>
      </c>
      <c r="L33" s="1">
        <f t="shared" si="7"/>
        <v>3.7411058827205313E-7</v>
      </c>
      <c r="M33" s="1" t="e">
        <f t="shared" ca="1" si="8"/>
        <v>#NUM!</v>
      </c>
      <c r="N33" s="1" t="e">
        <f t="shared" ca="1" si="9"/>
        <v>#NUM!</v>
      </c>
      <c r="O33" s="1" t="e">
        <f t="shared" ca="1" si="10"/>
        <v>#NUM!</v>
      </c>
      <c r="P33" s="1" t="e">
        <f t="shared" ca="1" si="11"/>
        <v>#NUM!</v>
      </c>
      <c r="Q33" s="1" t="e">
        <f t="shared" ca="1" si="12"/>
        <v>#NUM!</v>
      </c>
      <c r="R33" s="1" t="e">
        <f t="shared" ca="1" si="13"/>
        <v>#NUM!</v>
      </c>
      <c r="S33" s="1" t="e">
        <f t="shared" ca="1" si="14"/>
        <v>#NUM!</v>
      </c>
      <c r="T33" s="1" t="e">
        <f t="shared" ca="1" si="15"/>
        <v>#NUM!</v>
      </c>
      <c r="U33" s="1" t="e">
        <f t="shared" ca="1" si="15"/>
        <v>#NUM!</v>
      </c>
      <c r="V33" s="1" t="e">
        <f t="shared" ca="1" si="15"/>
        <v>#NUM!</v>
      </c>
      <c r="W33" s="1" t="e">
        <f t="shared" ca="1" si="15"/>
        <v>#NUM!</v>
      </c>
      <c r="X33" s="1" t="e" cm="1">
        <f t="array" aca="1" ref="X33:AA33" ca="1">ABS(T33:W33/B33:E33)</f>
        <v>#NUM!</v>
      </c>
      <c r="Y33" s="1" t="e">
        <f ca="1"/>
        <v>#NUM!</v>
      </c>
      <c r="Z33" s="1" t="e">
        <f ca="1"/>
        <v>#NUM!</v>
      </c>
      <c r="AA33" s="1" t="e">
        <f ca="1"/>
        <v>#NUM!</v>
      </c>
      <c r="AB33" s="1" t="e" cm="1">
        <f t="array" aca="1" ref="AB33" ca="1">MAX(ABS(T33:W33/B33:E33))</f>
        <v>#NUM!</v>
      </c>
      <c r="AC33" s="1" t="e">
        <f t="shared" ca="1" si="16"/>
        <v>#NUM!</v>
      </c>
      <c r="AD33" s="1" t="e">
        <f t="shared" ca="1" si="17"/>
        <v>#NUM!</v>
      </c>
      <c r="AE33" s="1" t="e">
        <f t="shared" ca="1" si="18"/>
        <v>#NUM!</v>
      </c>
      <c r="AF33" t="e">
        <f t="shared" ca="1" si="19"/>
        <v>#NUM!</v>
      </c>
      <c r="AG33" t="e">
        <f t="shared" ca="1" si="20"/>
        <v>#NUM!</v>
      </c>
      <c r="AH33">
        <v>0</v>
      </c>
      <c r="AI33" s="1" t="e">
        <f t="shared" ca="1" si="21"/>
        <v>#NUM!</v>
      </c>
      <c r="AJ33">
        <f>0</f>
        <v>0</v>
      </c>
      <c r="AK33" s="1" t="e">
        <f t="shared" ca="1" si="22"/>
        <v>#NUM!</v>
      </c>
      <c r="AL33" s="16" t="e">
        <f t="shared" ca="1" si="23"/>
        <v>#NUM!</v>
      </c>
      <c r="AM33" s="16" t="e">
        <f t="shared" ca="1" si="24"/>
        <v>#NUM!</v>
      </c>
      <c r="AN33" s="13" t="e">
        <f t="shared" ca="1" si="25"/>
        <v>#NUM!</v>
      </c>
      <c r="AO33" s="16" t="e">
        <f t="shared" ca="1" si="26"/>
        <v>#NUM!</v>
      </c>
      <c r="AP33" s="16" t="e">
        <f t="shared" ca="1" si="27"/>
        <v>#NUM!</v>
      </c>
      <c r="AQ33" s="13">
        <f t="shared" si="28"/>
        <v>6.7608297539198143E-4</v>
      </c>
      <c r="AR33" s="13" t="e">
        <f t="shared" ca="1" si="29"/>
        <v>#NUM!</v>
      </c>
      <c r="AS33" s="1" t="e" cm="1">
        <f t="array" aca="1" ref="AS33:AU33" ca="1">TRANSPOSE(MMULT(MINVERSE(_xlfn.WRAPCOLS(AC33:AK33,3)),TRANSPOSE(T33:V33)))/$F$7:$H$7</f>
        <v>#NUM!</v>
      </c>
      <c r="AT33" s="1" t="e">
        <f ca="1"/>
        <v>#NUM!</v>
      </c>
      <c r="AU33" s="1" t="e">
        <f ca="1"/>
        <v>#NUM!</v>
      </c>
      <c r="AV33">
        <v>0</v>
      </c>
      <c r="AW33" t="e">
        <f t="shared" ca="1" si="30"/>
        <v>#NUM!</v>
      </c>
      <c r="AX33" t="e">
        <f t="shared" ca="1" si="37"/>
        <v>#NUM!</v>
      </c>
      <c r="AY33" t="e">
        <f t="shared" ca="1" si="31"/>
        <v>#NUM!</v>
      </c>
      <c r="AZ33" t="e">
        <f t="shared" ca="1" si="38"/>
        <v>#NUM!</v>
      </c>
      <c r="BA33" t="e">
        <f t="shared" ca="1" si="39"/>
        <v>#NUM!</v>
      </c>
      <c r="BB33" t="e">
        <f t="shared" ca="1" si="40"/>
        <v>#NUM!</v>
      </c>
      <c r="BC33" t="e">
        <f t="shared" ca="1" si="41"/>
        <v>#NUM!</v>
      </c>
      <c r="BD33" t="e">
        <f t="shared" ca="1" si="42"/>
        <v>#NUM!</v>
      </c>
      <c r="BE33" t="e">
        <f t="shared" ca="1" si="43"/>
        <v>#NUM!</v>
      </c>
      <c r="BF33" t="e">
        <f t="shared" ca="1" si="44"/>
        <v>#NUM!</v>
      </c>
      <c r="BG33" t="e">
        <f t="shared" ca="1" si="48"/>
        <v>#NUM!</v>
      </c>
      <c r="BH33" t="e">
        <f t="shared" ca="1" si="33"/>
        <v>#NUM!</v>
      </c>
      <c r="BI33" t="e">
        <f t="shared" ca="1" si="34"/>
        <v>#NUM!</v>
      </c>
      <c r="BJ33">
        <f t="shared" si="1"/>
        <v>0</v>
      </c>
    </row>
    <row r="34" spans="1:62" x14ac:dyDescent="0.25">
      <c r="A34">
        <f t="shared" si="46"/>
        <v>23</v>
      </c>
      <c r="B34" s="1">
        <f t="shared" si="35"/>
        <v>4.7209899999999998E-8</v>
      </c>
      <c r="C34" s="1">
        <f t="shared" si="35"/>
        <v>1.09987E-3</v>
      </c>
      <c r="D34" s="1">
        <f t="shared" si="35"/>
        <v>1.7799999999999999E-6</v>
      </c>
      <c r="E34" s="1" t="e">
        <f t="shared" ca="1" si="2"/>
        <v>#NUM!</v>
      </c>
      <c r="F34" s="1" t="e">
        <f t="shared" ca="1" si="36"/>
        <v>#NUM!</v>
      </c>
      <c r="G34" s="1" t="e">
        <f t="shared" ca="1" si="47"/>
        <v>#NUM!</v>
      </c>
      <c r="H34" s="1" t="e">
        <f t="shared" ca="1" si="3"/>
        <v>#NUM!</v>
      </c>
      <c r="I34" s="1">
        <f t="shared" si="4"/>
        <v>2.6915348039269097E-8</v>
      </c>
      <c r="J34" s="1" t="e">
        <f t="shared" ca="1" si="5"/>
        <v>#NUM!</v>
      </c>
      <c r="K34" s="1" t="e">
        <f t="shared" ca="1" si="6"/>
        <v>#NUM!</v>
      </c>
      <c r="L34" s="1">
        <f t="shared" si="7"/>
        <v>3.7411058827205313E-7</v>
      </c>
      <c r="M34" s="1" t="e">
        <f t="shared" ca="1" si="8"/>
        <v>#NUM!</v>
      </c>
      <c r="N34" s="1" t="e">
        <f t="shared" ca="1" si="9"/>
        <v>#NUM!</v>
      </c>
      <c r="O34" s="1" t="e">
        <f t="shared" ca="1" si="10"/>
        <v>#NUM!</v>
      </c>
      <c r="P34" s="1" t="e">
        <f t="shared" ca="1" si="11"/>
        <v>#NUM!</v>
      </c>
      <c r="Q34" s="1" t="e">
        <f t="shared" ca="1" si="12"/>
        <v>#NUM!</v>
      </c>
      <c r="R34" s="1" t="e">
        <f t="shared" ca="1" si="13"/>
        <v>#NUM!</v>
      </c>
      <c r="S34" s="1" t="e">
        <f t="shared" ca="1" si="14"/>
        <v>#NUM!</v>
      </c>
      <c r="T34" s="1" t="e">
        <f t="shared" ca="1" si="15"/>
        <v>#NUM!</v>
      </c>
      <c r="U34" s="1" t="e">
        <f t="shared" ca="1" si="15"/>
        <v>#NUM!</v>
      </c>
      <c r="V34" s="1" t="e">
        <f t="shared" ca="1" si="15"/>
        <v>#NUM!</v>
      </c>
      <c r="W34" s="1" t="e">
        <f t="shared" ca="1" si="15"/>
        <v>#NUM!</v>
      </c>
      <c r="X34" s="1" t="e" cm="1">
        <f t="array" aca="1" ref="X34:AA34" ca="1">ABS(T34:W34/B34:E34)</f>
        <v>#NUM!</v>
      </c>
      <c r="Y34" s="1" t="e">
        <f ca="1"/>
        <v>#NUM!</v>
      </c>
      <c r="Z34" s="1" t="e">
        <f ca="1"/>
        <v>#NUM!</v>
      </c>
      <c r="AA34" s="1" t="e">
        <f ca="1"/>
        <v>#NUM!</v>
      </c>
      <c r="AB34" s="1" t="e" cm="1">
        <f t="array" aca="1" ref="AB34" ca="1">MAX(ABS(T34:W34/B34:E34))</f>
        <v>#NUM!</v>
      </c>
      <c r="AC34" s="1" t="e">
        <f t="shared" ca="1" si="16"/>
        <v>#NUM!</v>
      </c>
      <c r="AD34" s="1" t="e">
        <f t="shared" ca="1" si="17"/>
        <v>#NUM!</v>
      </c>
      <c r="AE34" s="1" t="e">
        <f t="shared" ca="1" si="18"/>
        <v>#NUM!</v>
      </c>
      <c r="AF34" t="e">
        <f t="shared" ca="1" si="19"/>
        <v>#NUM!</v>
      </c>
      <c r="AG34" t="e">
        <f t="shared" ca="1" si="20"/>
        <v>#NUM!</v>
      </c>
      <c r="AH34">
        <v>0</v>
      </c>
      <c r="AI34" s="1" t="e">
        <f t="shared" ca="1" si="21"/>
        <v>#NUM!</v>
      </c>
      <c r="AJ34">
        <f>0</f>
        <v>0</v>
      </c>
      <c r="AK34" s="1" t="e">
        <f t="shared" ca="1" si="22"/>
        <v>#NUM!</v>
      </c>
      <c r="AL34" s="16" t="e">
        <f t="shared" ca="1" si="23"/>
        <v>#NUM!</v>
      </c>
      <c r="AM34" s="16" t="e">
        <f t="shared" ca="1" si="24"/>
        <v>#NUM!</v>
      </c>
      <c r="AN34" s="13" t="e">
        <f t="shared" ca="1" si="25"/>
        <v>#NUM!</v>
      </c>
      <c r="AO34" s="16" t="e">
        <f t="shared" ca="1" si="26"/>
        <v>#NUM!</v>
      </c>
      <c r="AP34" s="16" t="e">
        <f t="shared" ca="1" si="27"/>
        <v>#NUM!</v>
      </c>
      <c r="AQ34" s="13">
        <f t="shared" si="28"/>
        <v>6.7608297539198143E-4</v>
      </c>
      <c r="AR34" s="13" t="e">
        <f t="shared" ca="1" si="29"/>
        <v>#NUM!</v>
      </c>
      <c r="AS34" s="1" t="e" cm="1">
        <f t="array" aca="1" ref="AS34:AU34" ca="1">TRANSPOSE(MMULT(MINVERSE(_xlfn.WRAPCOLS(AC34:AK34,3)),TRANSPOSE(T34:V34)))/$F$7:$H$7</f>
        <v>#NUM!</v>
      </c>
      <c r="AT34" s="1" t="e">
        <f ca="1"/>
        <v>#NUM!</v>
      </c>
      <c r="AU34" s="1" t="e">
        <f ca="1"/>
        <v>#NUM!</v>
      </c>
      <c r="AV34">
        <v>0</v>
      </c>
      <c r="AW34" t="e">
        <f t="shared" ca="1" si="30"/>
        <v>#NUM!</v>
      </c>
      <c r="AX34" t="e">
        <f t="shared" ca="1" si="37"/>
        <v>#NUM!</v>
      </c>
      <c r="AY34" t="e">
        <f t="shared" ca="1" si="31"/>
        <v>#NUM!</v>
      </c>
      <c r="AZ34" t="e">
        <f t="shared" ca="1" si="38"/>
        <v>#NUM!</v>
      </c>
      <c r="BA34" t="e">
        <f t="shared" ca="1" si="39"/>
        <v>#NUM!</v>
      </c>
      <c r="BB34" t="e">
        <f t="shared" ca="1" si="40"/>
        <v>#NUM!</v>
      </c>
      <c r="BC34" t="e">
        <f t="shared" ca="1" si="41"/>
        <v>#NUM!</v>
      </c>
      <c r="BD34" t="e">
        <f t="shared" ca="1" si="42"/>
        <v>#NUM!</v>
      </c>
      <c r="BE34" t="e">
        <f t="shared" ca="1" si="43"/>
        <v>#NUM!</v>
      </c>
      <c r="BF34" t="e">
        <f t="shared" ca="1" si="44"/>
        <v>#NUM!</v>
      </c>
      <c r="BG34" t="e">
        <f t="shared" ca="1" si="48"/>
        <v>#NUM!</v>
      </c>
      <c r="BH34" t="e">
        <f t="shared" ca="1" si="33"/>
        <v>#NUM!</v>
      </c>
      <c r="BI34" t="e">
        <f t="shared" ca="1" si="34"/>
        <v>#NUM!</v>
      </c>
      <c r="BJ34">
        <f t="shared" si="1"/>
        <v>0</v>
      </c>
    </row>
    <row r="35" spans="1:62" x14ac:dyDescent="0.25">
      <c r="A35">
        <f t="shared" si="46"/>
        <v>24</v>
      </c>
      <c r="B35" s="1">
        <f t="shared" si="35"/>
        <v>4.7209899999999998E-8</v>
      </c>
      <c r="C35" s="1">
        <f t="shared" si="35"/>
        <v>1.09987E-3</v>
      </c>
      <c r="D35" s="1">
        <f t="shared" si="35"/>
        <v>1.7799999999999999E-6</v>
      </c>
      <c r="E35" s="1" t="e">
        <f t="shared" ca="1" si="2"/>
        <v>#NUM!</v>
      </c>
      <c r="F35" s="1" t="e">
        <f t="shared" ca="1" si="36"/>
        <v>#NUM!</v>
      </c>
      <c r="G35" s="1" t="e">
        <f t="shared" ca="1" si="47"/>
        <v>#NUM!</v>
      </c>
      <c r="H35" s="1" t="e">
        <f t="shared" ca="1" si="3"/>
        <v>#NUM!</v>
      </c>
      <c r="I35" s="1">
        <f t="shared" si="4"/>
        <v>2.6915348039269097E-8</v>
      </c>
      <c r="J35" s="1" t="e">
        <f t="shared" ca="1" si="5"/>
        <v>#NUM!</v>
      </c>
      <c r="K35" s="1" t="e">
        <f t="shared" ca="1" si="6"/>
        <v>#NUM!</v>
      </c>
      <c r="L35" s="1">
        <f t="shared" si="7"/>
        <v>3.7411058827205313E-7</v>
      </c>
      <c r="M35" s="1" t="e">
        <f t="shared" ca="1" si="8"/>
        <v>#NUM!</v>
      </c>
      <c r="N35" s="1" t="e">
        <f t="shared" ca="1" si="9"/>
        <v>#NUM!</v>
      </c>
      <c r="O35" s="1" t="e">
        <f t="shared" ca="1" si="10"/>
        <v>#NUM!</v>
      </c>
      <c r="P35" s="1" t="e">
        <f t="shared" ca="1" si="11"/>
        <v>#NUM!</v>
      </c>
      <c r="Q35" s="1" t="e">
        <f t="shared" ca="1" si="12"/>
        <v>#NUM!</v>
      </c>
      <c r="R35" s="1" t="e">
        <f t="shared" ca="1" si="13"/>
        <v>#NUM!</v>
      </c>
      <c r="S35" s="1" t="e">
        <f t="shared" ca="1" si="14"/>
        <v>#NUM!</v>
      </c>
      <c r="T35" s="1" t="e">
        <f t="shared" ca="1" si="15"/>
        <v>#NUM!</v>
      </c>
      <c r="U35" s="1" t="e">
        <f t="shared" ca="1" si="15"/>
        <v>#NUM!</v>
      </c>
      <c r="V35" s="1" t="e">
        <f t="shared" ca="1" si="15"/>
        <v>#NUM!</v>
      </c>
      <c r="W35" s="1" t="e">
        <f t="shared" ca="1" si="15"/>
        <v>#NUM!</v>
      </c>
      <c r="X35" s="1" t="e" cm="1">
        <f t="array" aca="1" ref="X35:AA35" ca="1">ABS(T35:W35/B35:E35)</f>
        <v>#NUM!</v>
      </c>
      <c r="Y35" s="1" t="e">
        <f ca="1"/>
        <v>#NUM!</v>
      </c>
      <c r="Z35" s="1" t="e">
        <f ca="1"/>
        <v>#NUM!</v>
      </c>
      <c r="AA35" s="1" t="e">
        <f ca="1"/>
        <v>#NUM!</v>
      </c>
      <c r="AB35" s="1" t="e" cm="1">
        <f t="array" aca="1" ref="AB35" ca="1">MAX(ABS(T35:W35/B35:E35))</f>
        <v>#NUM!</v>
      </c>
      <c r="AC35" s="1" t="e">
        <f t="shared" ca="1" si="16"/>
        <v>#NUM!</v>
      </c>
      <c r="AD35" s="1" t="e">
        <f t="shared" ca="1" si="17"/>
        <v>#NUM!</v>
      </c>
      <c r="AE35" s="1" t="e">
        <f t="shared" ca="1" si="18"/>
        <v>#NUM!</v>
      </c>
      <c r="AF35" t="e">
        <f t="shared" ca="1" si="19"/>
        <v>#NUM!</v>
      </c>
      <c r="AG35" t="e">
        <f t="shared" ca="1" si="20"/>
        <v>#NUM!</v>
      </c>
      <c r="AH35">
        <v>0</v>
      </c>
      <c r="AI35" s="1" t="e">
        <f t="shared" ca="1" si="21"/>
        <v>#NUM!</v>
      </c>
      <c r="AJ35">
        <f>0</f>
        <v>0</v>
      </c>
      <c r="AK35" s="1" t="e">
        <f t="shared" ca="1" si="22"/>
        <v>#NUM!</v>
      </c>
      <c r="AL35" s="16" t="e">
        <f t="shared" ca="1" si="23"/>
        <v>#NUM!</v>
      </c>
      <c r="AM35" s="16" t="e">
        <f t="shared" ca="1" si="24"/>
        <v>#NUM!</v>
      </c>
      <c r="AN35" s="13" t="e">
        <f t="shared" ca="1" si="25"/>
        <v>#NUM!</v>
      </c>
      <c r="AO35" s="16" t="e">
        <f t="shared" ca="1" si="26"/>
        <v>#NUM!</v>
      </c>
      <c r="AP35" s="16" t="e">
        <f t="shared" ca="1" si="27"/>
        <v>#NUM!</v>
      </c>
      <c r="AQ35" s="13">
        <f t="shared" si="28"/>
        <v>6.7608297539198143E-4</v>
      </c>
      <c r="AR35" s="13" t="e">
        <f t="shared" ca="1" si="29"/>
        <v>#NUM!</v>
      </c>
      <c r="AS35" s="1" t="e" cm="1">
        <f t="array" aca="1" ref="AS35:AU35" ca="1">TRANSPOSE(MMULT(MINVERSE(_xlfn.WRAPCOLS(AC35:AK35,3)),TRANSPOSE(T35:V35)))/$F$7:$H$7</f>
        <v>#NUM!</v>
      </c>
      <c r="AT35" s="1" t="e">
        <f ca="1"/>
        <v>#NUM!</v>
      </c>
      <c r="AU35" s="1" t="e">
        <f ca="1"/>
        <v>#NUM!</v>
      </c>
      <c r="AV35">
        <v>0</v>
      </c>
      <c r="AW35" t="e">
        <f t="shared" ca="1" si="30"/>
        <v>#NUM!</v>
      </c>
      <c r="AX35" t="e">
        <f t="shared" ca="1" si="37"/>
        <v>#NUM!</v>
      </c>
      <c r="AY35" t="e">
        <f t="shared" ca="1" si="31"/>
        <v>#NUM!</v>
      </c>
      <c r="AZ35" t="e">
        <f t="shared" ca="1" si="38"/>
        <v>#NUM!</v>
      </c>
      <c r="BA35" t="e">
        <f t="shared" ca="1" si="39"/>
        <v>#NUM!</v>
      </c>
      <c r="BB35" t="e">
        <f t="shared" ca="1" si="40"/>
        <v>#NUM!</v>
      </c>
      <c r="BC35" t="e">
        <f t="shared" ca="1" si="41"/>
        <v>#NUM!</v>
      </c>
      <c r="BD35" t="e">
        <f t="shared" ca="1" si="42"/>
        <v>#NUM!</v>
      </c>
      <c r="BE35" t="e">
        <f t="shared" ca="1" si="43"/>
        <v>#NUM!</v>
      </c>
      <c r="BF35" t="e">
        <f t="shared" ca="1" si="44"/>
        <v>#NUM!</v>
      </c>
      <c r="BG35" t="e">
        <f t="shared" ca="1" si="48"/>
        <v>#NUM!</v>
      </c>
      <c r="BH35" t="e">
        <f t="shared" ca="1" si="33"/>
        <v>#NUM!</v>
      </c>
      <c r="BI35" t="e">
        <f t="shared" ca="1" si="34"/>
        <v>#NUM!</v>
      </c>
      <c r="BJ35">
        <f t="shared" si="1"/>
        <v>0</v>
      </c>
    </row>
    <row r="36" spans="1:62" x14ac:dyDescent="0.25">
      <c r="A36">
        <f t="shared" si="46"/>
        <v>25</v>
      </c>
      <c r="B36" s="1">
        <f t="shared" si="35"/>
        <v>4.7209899999999998E-8</v>
      </c>
      <c r="C36" s="1">
        <f t="shared" si="35"/>
        <v>1.09987E-3</v>
      </c>
      <c r="D36" s="1">
        <f t="shared" si="35"/>
        <v>1.7799999999999999E-6</v>
      </c>
      <c r="E36" s="1" t="e">
        <f t="shared" ca="1" si="2"/>
        <v>#NUM!</v>
      </c>
      <c r="F36" s="1" t="e">
        <f t="shared" ca="1" si="36"/>
        <v>#NUM!</v>
      </c>
      <c r="G36" s="1" t="e">
        <f t="shared" ca="1" si="47"/>
        <v>#NUM!</v>
      </c>
      <c r="H36" s="1" t="e">
        <f t="shared" ca="1" si="3"/>
        <v>#NUM!</v>
      </c>
      <c r="I36" s="1">
        <f t="shared" si="4"/>
        <v>2.6915348039269097E-8</v>
      </c>
      <c r="J36" s="1" t="e">
        <f t="shared" ca="1" si="5"/>
        <v>#NUM!</v>
      </c>
      <c r="K36" s="1" t="e">
        <f t="shared" ca="1" si="6"/>
        <v>#NUM!</v>
      </c>
      <c r="L36" s="1">
        <f t="shared" si="7"/>
        <v>3.7411058827205313E-7</v>
      </c>
      <c r="M36" s="1" t="e">
        <f t="shared" ca="1" si="8"/>
        <v>#NUM!</v>
      </c>
      <c r="N36" s="1" t="e">
        <f t="shared" ca="1" si="9"/>
        <v>#NUM!</v>
      </c>
      <c r="O36" s="1" t="e">
        <f t="shared" ca="1" si="10"/>
        <v>#NUM!</v>
      </c>
      <c r="P36" s="1" t="e">
        <f t="shared" ca="1" si="11"/>
        <v>#NUM!</v>
      </c>
      <c r="Q36" s="1" t="e">
        <f t="shared" ca="1" si="12"/>
        <v>#NUM!</v>
      </c>
      <c r="R36" s="1" t="e">
        <f t="shared" ca="1" si="13"/>
        <v>#NUM!</v>
      </c>
      <c r="S36" s="1" t="e">
        <f t="shared" ca="1" si="14"/>
        <v>#NUM!</v>
      </c>
      <c r="T36" s="1" t="e">
        <f t="shared" ca="1" si="15"/>
        <v>#NUM!</v>
      </c>
      <c r="U36" s="1" t="e">
        <f t="shared" ca="1" si="15"/>
        <v>#NUM!</v>
      </c>
      <c r="V36" s="1" t="e">
        <f t="shared" ca="1" si="15"/>
        <v>#NUM!</v>
      </c>
      <c r="W36" s="1" t="e">
        <f t="shared" ca="1" si="15"/>
        <v>#NUM!</v>
      </c>
      <c r="X36" s="1" t="e" cm="1">
        <f t="array" aca="1" ref="X36:AA36" ca="1">ABS(T36:W36/B36:E36)</f>
        <v>#NUM!</v>
      </c>
      <c r="Y36" s="1" t="e">
        <f ca="1"/>
        <v>#NUM!</v>
      </c>
      <c r="Z36" s="1" t="e">
        <f ca="1"/>
        <v>#NUM!</v>
      </c>
      <c r="AA36" s="1" t="e">
        <f ca="1"/>
        <v>#NUM!</v>
      </c>
      <c r="AB36" s="1" t="e" cm="1">
        <f t="array" aca="1" ref="AB36" ca="1">MAX(ABS(T36:W36/B36:E36))</f>
        <v>#NUM!</v>
      </c>
      <c r="AC36" s="1" t="e">
        <f t="shared" ca="1" si="16"/>
        <v>#NUM!</v>
      </c>
      <c r="AD36" s="1" t="e">
        <f t="shared" ca="1" si="17"/>
        <v>#NUM!</v>
      </c>
      <c r="AE36" s="1" t="e">
        <f t="shared" ca="1" si="18"/>
        <v>#NUM!</v>
      </c>
      <c r="AF36" t="e">
        <f t="shared" ca="1" si="19"/>
        <v>#NUM!</v>
      </c>
      <c r="AG36" t="e">
        <f t="shared" ca="1" si="20"/>
        <v>#NUM!</v>
      </c>
      <c r="AH36">
        <v>0</v>
      </c>
      <c r="AI36" s="1" t="e">
        <f t="shared" ca="1" si="21"/>
        <v>#NUM!</v>
      </c>
      <c r="AJ36">
        <f>0</f>
        <v>0</v>
      </c>
      <c r="AK36" s="1" t="e">
        <f t="shared" ca="1" si="22"/>
        <v>#NUM!</v>
      </c>
      <c r="AL36" s="16" t="e">
        <f t="shared" ca="1" si="23"/>
        <v>#NUM!</v>
      </c>
      <c r="AM36" s="16" t="e">
        <f t="shared" ca="1" si="24"/>
        <v>#NUM!</v>
      </c>
      <c r="AN36" s="13" t="e">
        <f t="shared" ca="1" si="25"/>
        <v>#NUM!</v>
      </c>
      <c r="AO36" s="16" t="e">
        <f t="shared" ca="1" si="26"/>
        <v>#NUM!</v>
      </c>
      <c r="AP36" s="16" t="e">
        <f t="shared" ca="1" si="27"/>
        <v>#NUM!</v>
      </c>
      <c r="AQ36" s="13">
        <f t="shared" si="28"/>
        <v>6.7608297539198143E-4</v>
      </c>
      <c r="AR36" s="13" t="e">
        <f t="shared" ca="1" si="29"/>
        <v>#NUM!</v>
      </c>
      <c r="AS36" s="1" t="e" cm="1">
        <f t="array" aca="1" ref="AS36:AU36" ca="1">TRANSPOSE(MMULT(MINVERSE(_xlfn.WRAPCOLS(AC36:AK36,3)),TRANSPOSE(T36:V36)))/$F$7:$H$7</f>
        <v>#NUM!</v>
      </c>
      <c r="AT36" s="1" t="e">
        <f ca="1"/>
        <v>#NUM!</v>
      </c>
      <c r="AU36" s="1" t="e">
        <f ca="1"/>
        <v>#NUM!</v>
      </c>
      <c r="AV36">
        <v>0</v>
      </c>
      <c r="AW36" t="e">
        <f t="shared" ca="1" si="30"/>
        <v>#NUM!</v>
      </c>
      <c r="AX36" t="e">
        <f t="shared" ca="1" si="37"/>
        <v>#NUM!</v>
      </c>
      <c r="AY36" t="e">
        <f t="shared" ca="1" si="31"/>
        <v>#NUM!</v>
      </c>
      <c r="AZ36" t="e">
        <f t="shared" ca="1" si="38"/>
        <v>#NUM!</v>
      </c>
      <c r="BA36" t="e">
        <f t="shared" ca="1" si="39"/>
        <v>#NUM!</v>
      </c>
      <c r="BB36" t="e">
        <f t="shared" ca="1" si="40"/>
        <v>#NUM!</v>
      </c>
      <c r="BC36" t="e">
        <f t="shared" ca="1" si="41"/>
        <v>#NUM!</v>
      </c>
      <c r="BD36" t="e">
        <f t="shared" ca="1" si="42"/>
        <v>#NUM!</v>
      </c>
      <c r="BE36" t="e">
        <f t="shared" ca="1" si="43"/>
        <v>#NUM!</v>
      </c>
      <c r="BF36" t="e">
        <f t="shared" ca="1" si="44"/>
        <v>#NUM!</v>
      </c>
      <c r="BG36" t="e">
        <f t="shared" ca="1" si="48"/>
        <v>#NUM!</v>
      </c>
      <c r="BH36" t="e">
        <f t="shared" ca="1" si="33"/>
        <v>#NUM!</v>
      </c>
      <c r="BI36" t="e">
        <f t="shared" ca="1" si="34"/>
        <v>#NUM!</v>
      </c>
      <c r="BJ36">
        <f t="shared" si="1"/>
        <v>0</v>
      </c>
    </row>
    <row r="37" spans="1:62" x14ac:dyDescent="0.25">
      <c r="A37">
        <f t="shared" si="46"/>
        <v>26</v>
      </c>
      <c r="B37" s="1">
        <f t="shared" si="35"/>
        <v>4.7209899999999998E-8</v>
      </c>
      <c r="C37" s="1">
        <f t="shared" si="35"/>
        <v>1.09987E-3</v>
      </c>
      <c r="D37" s="1">
        <f t="shared" si="35"/>
        <v>1.7799999999999999E-6</v>
      </c>
      <c r="E37" s="1" t="e">
        <f t="shared" ca="1" si="2"/>
        <v>#NUM!</v>
      </c>
      <c r="F37" s="1" t="e">
        <f t="shared" ca="1" si="36"/>
        <v>#NUM!</v>
      </c>
      <c r="G37" s="1" t="e">
        <f t="shared" ca="1" si="47"/>
        <v>#NUM!</v>
      </c>
      <c r="H37" s="1" t="e">
        <f t="shared" ca="1" si="3"/>
        <v>#NUM!</v>
      </c>
      <c r="I37" s="1">
        <f t="shared" si="4"/>
        <v>2.6915348039269097E-8</v>
      </c>
      <c r="J37" s="1" t="e">
        <f t="shared" ca="1" si="5"/>
        <v>#NUM!</v>
      </c>
      <c r="K37" s="1" t="e">
        <f t="shared" ca="1" si="6"/>
        <v>#NUM!</v>
      </c>
      <c r="L37" s="1">
        <f t="shared" si="7"/>
        <v>3.7411058827205313E-7</v>
      </c>
      <c r="M37" s="1" t="e">
        <f t="shared" ca="1" si="8"/>
        <v>#NUM!</v>
      </c>
      <c r="N37" s="1" t="e">
        <f t="shared" ca="1" si="9"/>
        <v>#NUM!</v>
      </c>
      <c r="O37" s="1" t="e">
        <f t="shared" ca="1" si="10"/>
        <v>#NUM!</v>
      </c>
      <c r="P37" s="1" t="e">
        <f t="shared" ca="1" si="11"/>
        <v>#NUM!</v>
      </c>
      <c r="Q37" s="1" t="e">
        <f t="shared" ca="1" si="12"/>
        <v>#NUM!</v>
      </c>
      <c r="R37" s="1" t="e">
        <f t="shared" ca="1" si="13"/>
        <v>#NUM!</v>
      </c>
      <c r="S37" s="1" t="e">
        <f t="shared" ca="1" si="14"/>
        <v>#NUM!</v>
      </c>
      <c r="T37" s="1" t="e">
        <f t="shared" ca="1" si="15"/>
        <v>#NUM!</v>
      </c>
      <c r="U37" s="1" t="e">
        <f t="shared" ca="1" si="15"/>
        <v>#NUM!</v>
      </c>
      <c r="V37" s="1" t="e">
        <f t="shared" ca="1" si="15"/>
        <v>#NUM!</v>
      </c>
      <c r="W37" s="1" t="e">
        <f t="shared" ca="1" si="15"/>
        <v>#NUM!</v>
      </c>
      <c r="X37" s="1" t="e" cm="1">
        <f t="array" aca="1" ref="X37:AA37" ca="1">ABS(T37:W37/B37:E37)</f>
        <v>#NUM!</v>
      </c>
      <c r="Y37" s="1" t="e">
        <f ca="1"/>
        <v>#NUM!</v>
      </c>
      <c r="Z37" s="1" t="e">
        <f ca="1"/>
        <v>#NUM!</v>
      </c>
      <c r="AA37" s="1" t="e">
        <f ca="1"/>
        <v>#NUM!</v>
      </c>
      <c r="AB37" s="1" t="e" cm="1">
        <f t="array" aca="1" ref="AB37" ca="1">MAX(ABS(T37:W37/B37:E37))</f>
        <v>#NUM!</v>
      </c>
      <c r="AC37" s="1" t="e">
        <f t="shared" ca="1" si="16"/>
        <v>#NUM!</v>
      </c>
      <c r="AD37" s="1" t="e">
        <f t="shared" ca="1" si="17"/>
        <v>#NUM!</v>
      </c>
      <c r="AE37" s="1" t="e">
        <f t="shared" ca="1" si="18"/>
        <v>#NUM!</v>
      </c>
      <c r="AF37" t="e">
        <f t="shared" ca="1" si="19"/>
        <v>#NUM!</v>
      </c>
      <c r="AG37" t="e">
        <f t="shared" ca="1" si="20"/>
        <v>#NUM!</v>
      </c>
      <c r="AH37">
        <v>0</v>
      </c>
      <c r="AI37" s="1" t="e">
        <f t="shared" ca="1" si="21"/>
        <v>#NUM!</v>
      </c>
      <c r="AJ37">
        <f>0</f>
        <v>0</v>
      </c>
      <c r="AK37" s="1" t="e">
        <f t="shared" ca="1" si="22"/>
        <v>#NUM!</v>
      </c>
      <c r="AL37" s="16" t="e">
        <f t="shared" ca="1" si="23"/>
        <v>#NUM!</v>
      </c>
      <c r="AM37" s="16" t="e">
        <f t="shared" ca="1" si="24"/>
        <v>#NUM!</v>
      </c>
      <c r="AN37" s="13" t="e">
        <f t="shared" ca="1" si="25"/>
        <v>#NUM!</v>
      </c>
      <c r="AO37" s="16" t="e">
        <f t="shared" ca="1" si="26"/>
        <v>#NUM!</v>
      </c>
      <c r="AP37" s="16" t="e">
        <f t="shared" ca="1" si="27"/>
        <v>#NUM!</v>
      </c>
      <c r="AQ37" s="13">
        <f t="shared" si="28"/>
        <v>6.7608297539198143E-4</v>
      </c>
      <c r="AR37" s="13" t="e">
        <f t="shared" ca="1" si="29"/>
        <v>#NUM!</v>
      </c>
      <c r="AS37" s="1" t="e" cm="1">
        <f t="array" aca="1" ref="AS37:AU37" ca="1">TRANSPOSE(MMULT(MINVERSE(_xlfn.WRAPCOLS(AC37:AK37,3)),TRANSPOSE(T37:V37)))/$F$7:$H$7</f>
        <v>#NUM!</v>
      </c>
      <c r="AT37" s="1" t="e">
        <f ca="1"/>
        <v>#NUM!</v>
      </c>
      <c r="AU37" s="1" t="e">
        <f ca="1"/>
        <v>#NUM!</v>
      </c>
      <c r="AV37">
        <v>0</v>
      </c>
      <c r="AW37" t="e">
        <f t="shared" ca="1" si="30"/>
        <v>#NUM!</v>
      </c>
      <c r="AX37" t="e">
        <f t="shared" ca="1" si="37"/>
        <v>#NUM!</v>
      </c>
      <c r="AY37" t="e">
        <f t="shared" ca="1" si="31"/>
        <v>#NUM!</v>
      </c>
      <c r="AZ37" t="e">
        <f t="shared" ca="1" si="38"/>
        <v>#NUM!</v>
      </c>
      <c r="BA37" t="e">
        <f t="shared" ca="1" si="39"/>
        <v>#NUM!</v>
      </c>
      <c r="BB37" t="e">
        <f t="shared" ca="1" si="40"/>
        <v>#NUM!</v>
      </c>
      <c r="BC37" t="e">
        <f t="shared" ca="1" si="41"/>
        <v>#NUM!</v>
      </c>
      <c r="BD37" t="e">
        <f t="shared" ca="1" si="42"/>
        <v>#NUM!</v>
      </c>
      <c r="BE37" t="e">
        <f t="shared" ca="1" si="43"/>
        <v>#NUM!</v>
      </c>
      <c r="BF37" t="e">
        <f t="shared" ca="1" si="44"/>
        <v>#NUM!</v>
      </c>
      <c r="BG37" t="e">
        <f t="shared" ca="1" si="48"/>
        <v>#NUM!</v>
      </c>
      <c r="BH37" t="e">
        <f t="shared" ca="1" si="33"/>
        <v>#NUM!</v>
      </c>
      <c r="BI37" t="e">
        <f t="shared" ca="1" si="34"/>
        <v>#NUM!</v>
      </c>
      <c r="BJ37">
        <f t="shared" si="1"/>
        <v>0</v>
      </c>
    </row>
    <row r="38" spans="1:62" x14ac:dyDescent="0.25">
      <c r="A38">
        <f t="shared" si="46"/>
        <v>27</v>
      </c>
      <c r="B38" s="1">
        <f t="shared" si="35"/>
        <v>4.7209899999999998E-8</v>
      </c>
      <c r="C38" s="1">
        <f t="shared" si="35"/>
        <v>1.09987E-3</v>
      </c>
      <c r="D38" s="1">
        <f t="shared" si="35"/>
        <v>1.7799999999999999E-6</v>
      </c>
      <c r="E38" s="1" t="e">
        <f t="shared" ca="1" si="2"/>
        <v>#NUM!</v>
      </c>
      <c r="F38" s="1" t="e">
        <f t="shared" ca="1" si="36"/>
        <v>#NUM!</v>
      </c>
      <c r="G38" s="1" t="e">
        <f t="shared" ca="1" si="47"/>
        <v>#NUM!</v>
      </c>
      <c r="H38" s="1" t="e">
        <f t="shared" ca="1" si="3"/>
        <v>#NUM!</v>
      </c>
      <c r="I38" s="1">
        <f t="shared" si="4"/>
        <v>2.6915348039269097E-8</v>
      </c>
      <c r="J38" s="1" t="e">
        <f t="shared" ca="1" si="5"/>
        <v>#NUM!</v>
      </c>
      <c r="K38" s="1" t="e">
        <f t="shared" ca="1" si="6"/>
        <v>#NUM!</v>
      </c>
      <c r="L38" s="1">
        <f t="shared" si="7"/>
        <v>3.7411058827205313E-7</v>
      </c>
      <c r="M38" s="1" t="e">
        <f t="shared" ca="1" si="8"/>
        <v>#NUM!</v>
      </c>
      <c r="N38" s="1" t="e">
        <f t="shared" ca="1" si="9"/>
        <v>#NUM!</v>
      </c>
      <c r="O38" s="1" t="e">
        <f t="shared" ca="1" si="10"/>
        <v>#NUM!</v>
      </c>
      <c r="P38" s="1" t="e">
        <f t="shared" ca="1" si="11"/>
        <v>#NUM!</v>
      </c>
      <c r="Q38" s="1" t="e">
        <f t="shared" ca="1" si="12"/>
        <v>#NUM!</v>
      </c>
      <c r="R38" s="1" t="e">
        <f t="shared" ca="1" si="13"/>
        <v>#NUM!</v>
      </c>
      <c r="S38" s="1" t="e">
        <f t="shared" ca="1" si="14"/>
        <v>#NUM!</v>
      </c>
      <c r="T38" s="1" t="e">
        <f t="shared" ca="1" si="15"/>
        <v>#NUM!</v>
      </c>
      <c r="U38" s="1" t="e">
        <f t="shared" ca="1" si="15"/>
        <v>#NUM!</v>
      </c>
      <c r="V38" s="1" t="e">
        <f t="shared" ca="1" si="15"/>
        <v>#NUM!</v>
      </c>
      <c r="W38" s="1" t="e">
        <f t="shared" ca="1" si="15"/>
        <v>#NUM!</v>
      </c>
      <c r="X38" s="1" t="e" cm="1">
        <f t="array" aca="1" ref="X38:AA38" ca="1">ABS(T38:W38/B38:E38)</f>
        <v>#NUM!</v>
      </c>
      <c r="Y38" s="1" t="e">
        <f ca="1"/>
        <v>#NUM!</v>
      </c>
      <c r="Z38" s="1" t="e">
        <f ca="1"/>
        <v>#NUM!</v>
      </c>
      <c r="AA38" s="1" t="e">
        <f ca="1"/>
        <v>#NUM!</v>
      </c>
      <c r="AB38" s="1" t="e" cm="1">
        <f t="array" aca="1" ref="AB38" ca="1">MAX(ABS(T38:W38/B38:E38))</f>
        <v>#NUM!</v>
      </c>
      <c r="AC38" s="1" t="e">
        <f t="shared" ca="1" si="16"/>
        <v>#NUM!</v>
      </c>
      <c r="AD38" s="1" t="e">
        <f t="shared" ca="1" si="17"/>
        <v>#NUM!</v>
      </c>
      <c r="AE38" s="1" t="e">
        <f t="shared" ca="1" si="18"/>
        <v>#NUM!</v>
      </c>
      <c r="AF38" t="e">
        <f t="shared" ca="1" si="19"/>
        <v>#NUM!</v>
      </c>
      <c r="AG38" t="e">
        <f t="shared" ca="1" si="20"/>
        <v>#NUM!</v>
      </c>
      <c r="AH38">
        <v>0</v>
      </c>
      <c r="AI38" s="1" t="e">
        <f t="shared" ca="1" si="21"/>
        <v>#NUM!</v>
      </c>
      <c r="AJ38">
        <f>0</f>
        <v>0</v>
      </c>
      <c r="AK38" s="1" t="e">
        <f t="shared" ca="1" si="22"/>
        <v>#NUM!</v>
      </c>
      <c r="AL38" s="16" t="e">
        <f t="shared" ca="1" si="23"/>
        <v>#NUM!</v>
      </c>
      <c r="AM38" s="16" t="e">
        <f t="shared" ca="1" si="24"/>
        <v>#NUM!</v>
      </c>
      <c r="AN38" s="13" t="e">
        <f t="shared" ca="1" si="25"/>
        <v>#NUM!</v>
      </c>
      <c r="AO38" s="16" t="e">
        <f t="shared" ca="1" si="26"/>
        <v>#NUM!</v>
      </c>
      <c r="AP38" s="16" t="e">
        <f t="shared" ca="1" si="27"/>
        <v>#NUM!</v>
      </c>
      <c r="AQ38" s="13">
        <f t="shared" si="28"/>
        <v>6.7608297539198143E-4</v>
      </c>
      <c r="AR38" s="13" t="e">
        <f t="shared" ca="1" si="29"/>
        <v>#NUM!</v>
      </c>
      <c r="AS38" s="1" t="e" cm="1">
        <f t="array" aca="1" ref="AS38:AU38" ca="1">TRANSPOSE(MMULT(MINVERSE(_xlfn.WRAPCOLS(AC38:AK38,3)),TRANSPOSE(T38:V38)))/$F$7:$H$7</f>
        <v>#NUM!</v>
      </c>
      <c r="AT38" s="1" t="e">
        <f ca="1"/>
        <v>#NUM!</v>
      </c>
      <c r="AU38" s="1" t="e">
        <f ca="1"/>
        <v>#NUM!</v>
      </c>
      <c r="AV38">
        <v>0</v>
      </c>
      <c r="AW38" t="e">
        <f t="shared" ca="1" si="30"/>
        <v>#NUM!</v>
      </c>
      <c r="AX38" t="e">
        <f t="shared" ca="1" si="37"/>
        <v>#NUM!</v>
      </c>
      <c r="AY38" t="e">
        <f t="shared" ca="1" si="31"/>
        <v>#NUM!</v>
      </c>
      <c r="AZ38" t="e">
        <f t="shared" ca="1" si="38"/>
        <v>#NUM!</v>
      </c>
      <c r="BA38" t="e">
        <f t="shared" ca="1" si="39"/>
        <v>#NUM!</v>
      </c>
      <c r="BB38" t="e">
        <f t="shared" ca="1" si="40"/>
        <v>#NUM!</v>
      </c>
      <c r="BC38" t="e">
        <f t="shared" ca="1" si="41"/>
        <v>#NUM!</v>
      </c>
      <c r="BD38" t="e">
        <f t="shared" ca="1" si="42"/>
        <v>#NUM!</v>
      </c>
      <c r="BE38" t="e">
        <f t="shared" ca="1" si="43"/>
        <v>#NUM!</v>
      </c>
      <c r="BF38" t="e">
        <f t="shared" ca="1" si="44"/>
        <v>#NUM!</v>
      </c>
      <c r="BG38" t="e">
        <f t="shared" ca="1" si="48"/>
        <v>#NUM!</v>
      </c>
      <c r="BH38" t="e">
        <f t="shared" ca="1" si="33"/>
        <v>#NUM!</v>
      </c>
      <c r="BI38" t="e">
        <f t="shared" ca="1" si="34"/>
        <v>#NUM!</v>
      </c>
      <c r="BJ38">
        <f t="shared" si="1"/>
        <v>0</v>
      </c>
    </row>
    <row r="39" spans="1:62" x14ac:dyDescent="0.25">
      <c r="A39">
        <f t="shared" si="46"/>
        <v>28</v>
      </c>
      <c r="B39" s="1">
        <f t="shared" ref="B39:D73" si="49">B38</f>
        <v>4.7209899999999998E-8</v>
      </c>
      <c r="C39" s="1">
        <f t="shared" si="49"/>
        <v>1.09987E-3</v>
      </c>
      <c r="D39" s="1">
        <f t="shared" si="49"/>
        <v>1.7799999999999999E-6</v>
      </c>
      <c r="E39" s="1" t="e">
        <f t="shared" ca="1" si="2"/>
        <v>#NUM!</v>
      </c>
      <c r="F39" s="1" t="e">
        <f t="shared" ca="1" si="36"/>
        <v>#NUM!</v>
      </c>
      <c r="G39" s="1" t="e">
        <f t="shared" ca="1" si="47"/>
        <v>#NUM!</v>
      </c>
      <c r="H39" s="1" t="e">
        <f t="shared" ca="1" si="3"/>
        <v>#NUM!</v>
      </c>
      <c r="I39" s="1">
        <f t="shared" si="4"/>
        <v>2.6915348039269097E-8</v>
      </c>
      <c r="J39" s="1" t="e">
        <f t="shared" ca="1" si="5"/>
        <v>#NUM!</v>
      </c>
      <c r="K39" s="1" t="e">
        <f t="shared" ca="1" si="6"/>
        <v>#NUM!</v>
      </c>
      <c r="L39" s="1">
        <f t="shared" si="7"/>
        <v>3.7411058827205313E-7</v>
      </c>
      <c r="M39" s="1" t="e">
        <f t="shared" ca="1" si="8"/>
        <v>#NUM!</v>
      </c>
      <c r="N39" s="1" t="e">
        <f t="shared" ca="1" si="9"/>
        <v>#NUM!</v>
      </c>
      <c r="O39" s="1" t="e">
        <f t="shared" ca="1" si="10"/>
        <v>#NUM!</v>
      </c>
      <c r="P39" s="1" t="e">
        <f t="shared" ca="1" si="11"/>
        <v>#NUM!</v>
      </c>
      <c r="Q39" s="1" t="e">
        <f t="shared" ca="1" si="12"/>
        <v>#NUM!</v>
      </c>
      <c r="R39" s="1" t="e">
        <f t="shared" ca="1" si="13"/>
        <v>#NUM!</v>
      </c>
      <c r="S39" s="1" t="e">
        <f t="shared" ca="1" si="14"/>
        <v>#NUM!</v>
      </c>
      <c r="T39" s="1" t="e">
        <f t="shared" ref="T39:W73" ca="1" si="50">P39-B39</f>
        <v>#NUM!</v>
      </c>
      <c r="U39" s="1" t="e">
        <f t="shared" ca="1" si="50"/>
        <v>#NUM!</v>
      </c>
      <c r="V39" s="1" t="e">
        <f t="shared" ca="1" si="50"/>
        <v>#NUM!</v>
      </c>
      <c r="W39" s="1" t="e">
        <f t="shared" ca="1" si="50"/>
        <v>#NUM!</v>
      </c>
      <c r="X39" s="1" t="e" cm="1">
        <f t="array" aca="1" ref="X39:AA39" ca="1">ABS(T39:W39/B39:E39)</f>
        <v>#NUM!</v>
      </c>
      <c r="Y39" s="1" t="e">
        <f ca="1"/>
        <v>#NUM!</v>
      </c>
      <c r="Z39" s="1" t="e">
        <f ca="1"/>
        <v>#NUM!</v>
      </c>
      <c r="AA39" s="1" t="e">
        <f ca="1"/>
        <v>#NUM!</v>
      </c>
      <c r="AB39" s="1" t="e" cm="1">
        <f t="array" aca="1" ref="AB39" ca="1">MAX(ABS(T39:W39/B39:E39))</f>
        <v>#NUM!</v>
      </c>
      <c r="AC39" s="1" t="e">
        <f t="shared" ca="1" si="16"/>
        <v>#NUM!</v>
      </c>
      <c r="AD39" s="1" t="e">
        <f t="shared" ca="1" si="17"/>
        <v>#NUM!</v>
      </c>
      <c r="AE39" s="1" t="e">
        <f t="shared" ca="1" si="18"/>
        <v>#NUM!</v>
      </c>
      <c r="AF39" t="e">
        <f t="shared" ca="1" si="19"/>
        <v>#NUM!</v>
      </c>
      <c r="AG39" t="e">
        <f t="shared" ca="1" si="20"/>
        <v>#NUM!</v>
      </c>
      <c r="AH39">
        <v>0</v>
      </c>
      <c r="AI39" s="1" t="e">
        <f t="shared" ca="1" si="21"/>
        <v>#NUM!</v>
      </c>
      <c r="AJ39">
        <f>0</f>
        <v>0</v>
      </c>
      <c r="AK39" s="1" t="e">
        <f t="shared" ca="1" si="22"/>
        <v>#NUM!</v>
      </c>
      <c r="AL39" s="16" t="e">
        <f t="shared" ca="1" si="23"/>
        <v>#NUM!</v>
      </c>
      <c r="AM39" s="16" t="e">
        <f t="shared" ca="1" si="24"/>
        <v>#NUM!</v>
      </c>
      <c r="AN39" s="13" t="e">
        <f t="shared" ca="1" si="25"/>
        <v>#NUM!</v>
      </c>
      <c r="AO39" s="16" t="e">
        <f t="shared" ca="1" si="26"/>
        <v>#NUM!</v>
      </c>
      <c r="AP39" s="16" t="e">
        <f t="shared" ca="1" si="27"/>
        <v>#NUM!</v>
      </c>
      <c r="AQ39" s="13">
        <f t="shared" si="28"/>
        <v>6.7608297539198143E-4</v>
      </c>
      <c r="AR39" s="13" t="e">
        <f t="shared" ca="1" si="29"/>
        <v>#NUM!</v>
      </c>
      <c r="AS39" s="1" t="e" cm="1">
        <f t="array" aca="1" ref="AS39:AU39" ca="1">TRANSPOSE(MMULT(MINVERSE(_xlfn.WRAPCOLS(AC39:AK39,3)),TRANSPOSE(T39:V39)))/$F$7:$H$7</f>
        <v>#NUM!</v>
      </c>
      <c r="AT39" s="1" t="e">
        <f ca="1"/>
        <v>#NUM!</v>
      </c>
      <c r="AU39" s="1" t="e">
        <f ca="1"/>
        <v>#NUM!</v>
      </c>
      <c r="AV39">
        <v>0</v>
      </c>
      <c r="AW39" t="e">
        <f t="shared" ca="1" si="30"/>
        <v>#NUM!</v>
      </c>
      <c r="AX39" t="e">
        <f t="shared" ca="1" si="37"/>
        <v>#NUM!</v>
      </c>
      <c r="AY39" t="e">
        <f t="shared" ca="1" si="31"/>
        <v>#NUM!</v>
      </c>
      <c r="AZ39" t="e">
        <f t="shared" ca="1" si="38"/>
        <v>#NUM!</v>
      </c>
      <c r="BA39" t="e">
        <f t="shared" ca="1" si="39"/>
        <v>#NUM!</v>
      </c>
      <c r="BB39" t="e">
        <f t="shared" ca="1" si="40"/>
        <v>#NUM!</v>
      </c>
      <c r="BC39" t="e">
        <f t="shared" ca="1" si="41"/>
        <v>#NUM!</v>
      </c>
      <c r="BD39" t="e">
        <f t="shared" ca="1" si="42"/>
        <v>#NUM!</v>
      </c>
      <c r="BE39" t="e">
        <f t="shared" ca="1" si="43"/>
        <v>#NUM!</v>
      </c>
      <c r="BF39" t="e">
        <f t="shared" ca="1" si="44"/>
        <v>#NUM!</v>
      </c>
      <c r="BG39" t="e">
        <f t="shared" ca="1" si="48"/>
        <v>#NUM!</v>
      </c>
      <c r="BH39" t="e">
        <f t="shared" ca="1" si="33"/>
        <v>#NUM!</v>
      </c>
      <c r="BI39" t="e">
        <f t="shared" ca="1" si="34"/>
        <v>#NUM!</v>
      </c>
      <c r="BJ39">
        <f t="shared" si="1"/>
        <v>0</v>
      </c>
    </row>
    <row r="40" spans="1:62" x14ac:dyDescent="0.25">
      <c r="A40">
        <f t="shared" si="46"/>
        <v>29</v>
      </c>
      <c r="B40" s="1">
        <f t="shared" si="49"/>
        <v>4.7209899999999998E-8</v>
      </c>
      <c r="C40" s="1">
        <f t="shared" si="49"/>
        <v>1.09987E-3</v>
      </c>
      <c r="D40" s="1">
        <f t="shared" si="49"/>
        <v>1.7799999999999999E-6</v>
      </c>
      <c r="E40" s="1" t="e">
        <f t="shared" ca="1" si="2"/>
        <v>#NUM!</v>
      </c>
      <c r="F40" s="1" t="e">
        <f t="shared" ca="1" si="36"/>
        <v>#NUM!</v>
      </c>
      <c r="G40" s="1" t="e">
        <f t="shared" ca="1" si="47"/>
        <v>#NUM!</v>
      </c>
      <c r="H40" s="1" t="e">
        <f t="shared" ca="1" si="3"/>
        <v>#NUM!</v>
      </c>
      <c r="I40" s="1">
        <f t="shared" si="4"/>
        <v>2.6915348039269097E-8</v>
      </c>
      <c r="J40" s="1" t="e">
        <f t="shared" ca="1" si="5"/>
        <v>#NUM!</v>
      </c>
      <c r="K40" s="1" t="e">
        <f t="shared" ca="1" si="6"/>
        <v>#NUM!</v>
      </c>
      <c r="L40" s="1">
        <f t="shared" si="7"/>
        <v>3.7411058827205313E-7</v>
      </c>
      <c r="M40" s="1" t="e">
        <f t="shared" ca="1" si="8"/>
        <v>#NUM!</v>
      </c>
      <c r="N40" s="1" t="e">
        <f t="shared" ca="1" si="9"/>
        <v>#NUM!</v>
      </c>
      <c r="O40" s="1" t="e">
        <f t="shared" ca="1" si="10"/>
        <v>#NUM!</v>
      </c>
      <c r="P40" s="1" t="e">
        <f t="shared" ca="1" si="11"/>
        <v>#NUM!</v>
      </c>
      <c r="Q40" s="1" t="e">
        <f t="shared" ca="1" si="12"/>
        <v>#NUM!</v>
      </c>
      <c r="R40" s="1" t="e">
        <f t="shared" ca="1" si="13"/>
        <v>#NUM!</v>
      </c>
      <c r="S40" s="1" t="e">
        <f t="shared" ca="1" si="14"/>
        <v>#NUM!</v>
      </c>
      <c r="T40" s="1" t="e">
        <f t="shared" ca="1" si="50"/>
        <v>#NUM!</v>
      </c>
      <c r="U40" s="1" t="e">
        <f t="shared" ca="1" si="50"/>
        <v>#NUM!</v>
      </c>
      <c r="V40" s="1" t="e">
        <f t="shared" ca="1" si="50"/>
        <v>#NUM!</v>
      </c>
      <c r="W40" s="1" t="e">
        <f t="shared" ca="1" si="50"/>
        <v>#NUM!</v>
      </c>
      <c r="X40" s="1" t="e" cm="1">
        <f t="array" aca="1" ref="X40:AA40" ca="1">ABS(T40:W40/B40:E40)</f>
        <v>#NUM!</v>
      </c>
      <c r="Y40" s="1" t="e">
        <f ca="1"/>
        <v>#NUM!</v>
      </c>
      <c r="Z40" s="1" t="e">
        <f ca="1"/>
        <v>#NUM!</v>
      </c>
      <c r="AA40" s="1" t="e">
        <f ca="1"/>
        <v>#NUM!</v>
      </c>
      <c r="AB40" s="1" t="e" cm="1">
        <f t="array" aca="1" ref="AB40" ca="1">MAX(ABS(T40:W40/B40:E40))</f>
        <v>#NUM!</v>
      </c>
      <c r="AC40" s="1" t="e">
        <f t="shared" ca="1" si="16"/>
        <v>#NUM!</v>
      </c>
      <c r="AD40" s="1" t="e">
        <f t="shared" ca="1" si="17"/>
        <v>#NUM!</v>
      </c>
      <c r="AE40" s="1" t="e">
        <f t="shared" ca="1" si="18"/>
        <v>#NUM!</v>
      </c>
      <c r="AF40" t="e">
        <f t="shared" ca="1" si="19"/>
        <v>#NUM!</v>
      </c>
      <c r="AG40" t="e">
        <f t="shared" ca="1" si="20"/>
        <v>#NUM!</v>
      </c>
      <c r="AH40">
        <v>0</v>
      </c>
      <c r="AI40" s="1" t="e">
        <f t="shared" ca="1" si="21"/>
        <v>#NUM!</v>
      </c>
      <c r="AJ40">
        <f>0</f>
        <v>0</v>
      </c>
      <c r="AK40" s="1" t="e">
        <f t="shared" ca="1" si="22"/>
        <v>#NUM!</v>
      </c>
      <c r="AL40" s="16" t="e">
        <f t="shared" ca="1" si="23"/>
        <v>#NUM!</v>
      </c>
      <c r="AM40" s="16" t="e">
        <f t="shared" ca="1" si="24"/>
        <v>#NUM!</v>
      </c>
      <c r="AN40" s="13" t="e">
        <f t="shared" ca="1" si="25"/>
        <v>#NUM!</v>
      </c>
      <c r="AO40" s="16" t="e">
        <f t="shared" ca="1" si="26"/>
        <v>#NUM!</v>
      </c>
      <c r="AP40" s="16" t="e">
        <f t="shared" ca="1" si="27"/>
        <v>#NUM!</v>
      </c>
      <c r="AQ40" s="13">
        <f t="shared" si="28"/>
        <v>6.7608297539198143E-4</v>
      </c>
      <c r="AR40" s="13" t="e">
        <f t="shared" ca="1" si="29"/>
        <v>#NUM!</v>
      </c>
      <c r="AS40" s="1" t="e" cm="1">
        <f t="array" aca="1" ref="AS40:AU40" ca="1">TRANSPOSE(MMULT(MINVERSE(_xlfn.WRAPCOLS(AC40:AK40,3)),TRANSPOSE(T40:V40)))/$F$7:$H$7</f>
        <v>#NUM!</v>
      </c>
      <c r="AT40" s="1" t="e">
        <f ca="1"/>
        <v>#NUM!</v>
      </c>
      <c r="AU40" s="1" t="e">
        <f ca="1"/>
        <v>#NUM!</v>
      </c>
      <c r="AV40">
        <v>0</v>
      </c>
      <c r="AW40" t="e">
        <f t="shared" ca="1" si="30"/>
        <v>#NUM!</v>
      </c>
      <c r="AX40" t="e">
        <f t="shared" ca="1" si="37"/>
        <v>#NUM!</v>
      </c>
      <c r="AY40" t="e">
        <f t="shared" ca="1" si="31"/>
        <v>#NUM!</v>
      </c>
      <c r="AZ40" t="e">
        <f t="shared" ca="1" si="38"/>
        <v>#NUM!</v>
      </c>
      <c r="BA40" t="e">
        <f t="shared" ca="1" si="39"/>
        <v>#NUM!</v>
      </c>
      <c r="BB40" t="e">
        <f t="shared" ca="1" si="40"/>
        <v>#NUM!</v>
      </c>
      <c r="BC40" t="e">
        <f t="shared" ca="1" si="41"/>
        <v>#NUM!</v>
      </c>
      <c r="BD40" t="e">
        <f t="shared" ca="1" si="42"/>
        <v>#NUM!</v>
      </c>
      <c r="BE40" t="e">
        <f t="shared" ca="1" si="43"/>
        <v>#NUM!</v>
      </c>
      <c r="BF40" t="e">
        <f t="shared" ca="1" si="44"/>
        <v>#NUM!</v>
      </c>
      <c r="BG40" t="e">
        <f t="shared" ca="1" si="48"/>
        <v>#NUM!</v>
      </c>
      <c r="BH40" t="e">
        <f t="shared" ca="1" si="33"/>
        <v>#NUM!</v>
      </c>
      <c r="BI40" t="e">
        <f t="shared" ca="1" si="34"/>
        <v>#NUM!</v>
      </c>
      <c r="BJ40">
        <f t="shared" si="1"/>
        <v>0</v>
      </c>
    </row>
    <row r="41" spans="1:62" x14ac:dyDescent="0.25">
      <c r="A41">
        <f t="shared" si="46"/>
        <v>30</v>
      </c>
      <c r="B41" s="1">
        <f t="shared" si="49"/>
        <v>4.7209899999999998E-8</v>
      </c>
      <c r="C41" s="1">
        <f t="shared" si="49"/>
        <v>1.09987E-3</v>
      </c>
      <c r="D41" s="1">
        <f t="shared" si="49"/>
        <v>1.7799999999999999E-6</v>
      </c>
      <c r="E41" s="1" t="e">
        <f t="shared" ca="1" si="2"/>
        <v>#NUM!</v>
      </c>
      <c r="F41" s="1" t="e">
        <f t="shared" ca="1" si="36"/>
        <v>#NUM!</v>
      </c>
      <c r="G41" s="1" t="e">
        <f t="shared" ca="1" si="47"/>
        <v>#NUM!</v>
      </c>
      <c r="H41" s="1" t="e">
        <f t="shared" ca="1" si="3"/>
        <v>#NUM!</v>
      </c>
      <c r="I41" s="1">
        <f t="shared" si="4"/>
        <v>2.6915348039269097E-8</v>
      </c>
      <c r="J41" s="1" t="e">
        <f t="shared" ca="1" si="5"/>
        <v>#NUM!</v>
      </c>
      <c r="K41" s="1" t="e">
        <f t="shared" ca="1" si="6"/>
        <v>#NUM!</v>
      </c>
      <c r="L41" s="1">
        <f t="shared" si="7"/>
        <v>3.7411058827205313E-7</v>
      </c>
      <c r="M41" s="1" t="e">
        <f t="shared" ca="1" si="8"/>
        <v>#NUM!</v>
      </c>
      <c r="N41" s="1" t="e">
        <f t="shared" ca="1" si="9"/>
        <v>#NUM!</v>
      </c>
      <c r="O41" s="1" t="e">
        <f t="shared" ca="1" si="10"/>
        <v>#NUM!</v>
      </c>
      <c r="P41" s="1" t="e">
        <f t="shared" ca="1" si="11"/>
        <v>#NUM!</v>
      </c>
      <c r="Q41" s="1" t="e">
        <f t="shared" ca="1" si="12"/>
        <v>#NUM!</v>
      </c>
      <c r="R41" s="1" t="e">
        <f t="shared" ca="1" si="13"/>
        <v>#NUM!</v>
      </c>
      <c r="S41" s="1" t="e">
        <f t="shared" ca="1" si="14"/>
        <v>#NUM!</v>
      </c>
      <c r="T41" s="1" t="e">
        <f t="shared" ca="1" si="50"/>
        <v>#NUM!</v>
      </c>
      <c r="U41" s="1" t="e">
        <f t="shared" ca="1" si="50"/>
        <v>#NUM!</v>
      </c>
      <c r="V41" s="1" t="e">
        <f t="shared" ca="1" si="50"/>
        <v>#NUM!</v>
      </c>
      <c r="W41" s="1" t="e">
        <f t="shared" ca="1" si="50"/>
        <v>#NUM!</v>
      </c>
      <c r="X41" s="1" t="e" cm="1">
        <f t="array" aca="1" ref="X41:AA41" ca="1">ABS(T41:W41/B41:E41)</f>
        <v>#NUM!</v>
      </c>
      <c r="Y41" s="1" t="e">
        <f ca="1"/>
        <v>#NUM!</v>
      </c>
      <c r="Z41" s="1" t="e">
        <f ca="1"/>
        <v>#NUM!</v>
      </c>
      <c r="AA41" s="1" t="e">
        <f ca="1"/>
        <v>#NUM!</v>
      </c>
      <c r="AB41" s="1" t="e" cm="1">
        <f t="array" aca="1" ref="AB41" ca="1">MAX(ABS(T41:W41/B41:E41))</f>
        <v>#NUM!</v>
      </c>
      <c r="AC41" s="1" t="e">
        <f t="shared" ca="1" si="16"/>
        <v>#NUM!</v>
      </c>
      <c r="AD41" s="1" t="e">
        <f t="shared" ca="1" si="17"/>
        <v>#NUM!</v>
      </c>
      <c r="AE41" s="1" t="e">
        <f t="shared" ca="1" si="18"/>
        <v>#NUM!</v>
      </c>
      <c r="AF41" t="e">
        <f t="shared" ca="1" si="19"/>
        <v>#NUM!</v>
      </c>
      <c r="AG41" t="e">
        <f t="shared" ca="1" si="20"/>
        <v>#NUM!</v>
      </c>
      <c r="AH41">
        <v>0</v>
      </c>
      <c r="AI41" s="1" t="e">
        <f t="shared" ca="1" si="21"/>
        <v>#NUM!</v>
      </c>
      <c r="AJ41">
        <f>0</f>
        <v>0</v>
      </c>
      <c r="AK41" s="1" t="e">
        <f t="shared" ca="1" si="22"/>
        <v>#NUM!</v>
      </c>
      <c r="AL41" s="16" t="e">
        <f t="shared" ca="1" si="23"/>
        <v>#NUM!</v>
      </c>
      <c r="AM41" s="16" t="e">
        <f t="shared" ca="1" si="24"/>
        <v>#NUM!</v>
      </c>
      <c r="AN41" s="13" t="e">
        <f t="shared" ca="1" si="25"/>
        <v>#NUM!</v>
      </c>
      <c r="AO41" s="16" t="e">
        <f t="shared" ca="1" si="26"/>
        <v>#NUM!</v>
      </c>
      <c r="AP41" s="16" t="e">
        <f t="shared" ca="1" si="27"/>
        <v>#NUM!</v>
      </c>
      <c r="AQ41" s="13">
        <f t="shared" si="28"/>
        <v>6.7608297539198143E-4</v>
      </c>
      <c r="AR41" s="13" t="e">
        <f t="shared" ca="1" si="29"/>
        <v>#NUM!</v>
      </c>
      <c r="AS41" s="1" t="e" cm="1">
        <f t="array" aca="1" ref="AS41:AU41" ca="1">TRANSPOSE(MMULT(MINVERSE(_xlfn.WRAPCOLS(AC41:AK41,3)),TRANSPOSE(T41:V41)))/$F$7:$H$7</f>
        <v>#NUM!</v>
      </c>
      <c r="AT41" s="1" t="e">
        <f ca="1"/>
        <v>#NUM!</v>
      </c>
      <c r="AU41" s="1" t="e">
        <f ca="1"/>
        <v>#NUM!</v>
      </c>
      <c r="AV41">
        <v>0</v>
      </c>
      <c r="AW41" t="e">
        <f t="shared" ca="1" si="30"/>
        <v>#NUM!</v>
      </c>
      <c r="AX41" t="e">
        <f t="shared" ca="1" si="37"/>
        <v>#NUM!</v>
      </c>
      <c r="AY41" t="e">
        <f t="shared" ca="1" si="31"/>
        <v>#NUM!</v>
      </c>
      <c r="AZ41" t="e">
        <f t="shared" ca="1" si="38"/>
        <v>#NUM!</v>
      </c>
      <c r="BA41" t="e">
        <f t="shared" ca="1" si="39"/>
        <v>#NUM!</v>
      </c>
      <c r="BB41" t="e">
        <f t="shared" ca="1" si="40"/>
        <v>#NUM!</v>
      </c>
      <c r="BC41" t="e">
        <f t="shared" ca="1" si="41"/>
        <v>#NUM!</v>
      </c>
      <c r="BD41" t="e">
        <f t="shared" ca="1" si="42"/>
        <v>#NUM!</v>
      </c>
      <c r="BE41" t="e">
        <f t="shared" ca="1" si="43"/>
        <v>#NUM!</v>
      </c>
      <c r="BF41" t="e">
        <f t="shared" ca="1" si="44"/>
        <v>#NUM!</v>
      </c>
      <c r="BG41" t="e">
        <f t="shared" ca="1" si="48"/>
        <v>#NUM!</v>
      </c>
      <c r="BH41" t="e">
        <f t="shared" ca="1" si="33"/>
        <v>#NUM!</v>
      </c>
      <c r="BI41" t="e">
        <f t="shared" ca="1" si="34"/>
        <v>#NUM!</v>
      </c>
      <c r="BJ41">
        <f t="shared" si="1"/>
        <v>0</v>
      </c>
    </row>
    <row r="42" spans="1:62" x14ac:dyDescent="0.25">
      <c r="A42">
        <f t="shared" si="46"/>
        <v>31</v>
      </c>
      <c r="B42" s="1">
        <f t="shared" si="49"/>
        <v>4.7209899999999998E-8</v>
      </c>
      <c r="C42" s="1">
        <f t="shared" si="49"/>
        <v>1.09987E-3</v>
      </c>
      <c r="D42" s="1">
        <f t="shared" si="49"/>
        <v>1.7799999999999999E-6</v>
      </c>
      <c r="E42" s="1" t="e">
        <f t="shared" ca="1" si="2"/>
        <v>#NUM!</v>
      </c>
      <c r="F42" s="1" t="e">
        <f t="shared" ca="1" si="36"/>
        <v>#NUM!</v>
      </c>
      <c r="G42" s="1" t="e">
        <f t="shared" ca="1" si="47"/>
        <v>#NUM!</v>
      </c>
      <c r="H42" s="1" t="e">
        <f t="shared" ca="1" si="3"/>
        <v>#NUM!</v>
      </c>
      <c r="I42" s="1">
        <f t="shared" si="4"/>
        <v>2.6915348039269097E-8</v>
      </c>
      <c r="J42" s="1" t="e">
        <f t="shared" ca="1" si="5"/>
        <v>#NUM!</v>
      </c>
      <c r="K42" s="1" t="e">
        <f t="shared" ca="1" si="6"/>
        <v>#NUM!</v>
      </c>
      <c r="L42" s="1">
        <f t="shared" si="7"/>
        <v>3.7411058827205313E-7</v>
      </c>
      <c r="M42" s="1" t="e">
        <f t="shared" ca="1" si="8"/>
        <v>#NUM!</v>
      </c>
      <c r="N42" s="1" t="e">
        <f t="shared" ca="1" si="9"/>
        <v>#NUM!</v>
      </c>
      <c r="O42" s="1" t="e">
        <f t="shared" ca="1" si="10"/>
        <v>#NUM!</v>
      </c>
      <c r="P42" s="1" t="e">
        <f t="shared" ca="1" si="11"/>
        <v>#NUM!</v>
      </c>
      <c r="Q42" s="1" t="e">
        <f t="shared" ca="1" si="12"/>
        <v>#NUM!</v>
      </c>
      <c r="R42" s="1" t="e">
        <f t="shared" ca="1" si="13"/>
        <v>#NUM!</v>
      </c>
      <c r="S42" s="1" t="e">
        <f t="shared" ca="1" si="14"/>
        <v>#NUM!</v>
      </c>
      <c r="T42" s="1" t="e">
        <f t="shared" ca="1" si="50"/>
        <v>#NUM!</v>
      </c>
      <c r="U42" s="1" t="e">
        <f t="shared" ca="1" si="50"/>
        <v>#NUM!</v>
      </c>
      <c r="V42" s="1" t="e">
        <f t="shared" ca="1" si="50"/>
        <v>#NUM!</v>
      </c>
      <c r="W42" s="1" t="e">
        <f t="shared" ca="1" si="50"/>
        <v>#NUM!</v>
      </c>
      <c r="X42" s="1" t="e" cm="1">
        <f t="array" aca="1" ref="X42:AA42" ca="1">ABS(T42:W42/B42:E42)</f>
        <v>#NUM!</v>
      </c>
      <c r="Y42" s="1" t="e">
        <f ca="1"/>
        <v>#NUM!</v>
      </c>
      <c r="Z42" s="1" t="e">
        <f ca="1"/>
        <v>#NUM!</v>
      </c>
      <c r="AA42" s="1" t="e">
        <f ca="1"/>
        <v>#NUM!</v>
      </c>
      <c r="AB42" s="1" t="e" cm="1">
        <f t="array" aca="1" ref="AB42" ca="1">MAX(ABS(T42:W42/B42:E42))</f>
        <v>#NUM!</v>
      </c>
      <c r="AC42" s="1" t="e">
        <f t="shared" ca="1" si="16"/>
        <v>#NUM!</v>
      </c>
      <c r="AD42" s="1" t="e">
        <f t="shared" ca="1" si="17"/>
        <v>#NUM!</v>
      </c>
      <c r="AE42" s="1" t="e">
        <f t="shared" ca="1" si="18"/>
        <v>#NUM!</v>
      </c>
      <c r="AF42" t="e">
        <f t="shared" ca="1" si="19"/>
        <v>#NUM!</v>
      </c>
      <c r="AG42" t="e">
        <f t="shared" ca="1" si="20"/>
        <v>#NUM!</v>
      </c>
      <c r="AH42">
        <v>0</v>
      </c>
      <c r="AI42" s="1" t="e">
        <f t="shared" ca="1" si="21"/>
        <v>#NUM!</v>
      </c>
      <c r="AJ42">
        <f>0</f>
        <v>0</v>
      </c>
      <c r="AK42" s="1" t="e">
        <f t="shared" ca="1" si="22"/>
        <v>#NUM!</v>
      </c>
      <c r="AL42" s="16" t="e">
        <f t="shared" ca="1" si="23"/>
        <v>#NUM!</v>
      </c>
      <c r="AM42" s="16" t="e">
        <f t="shared" ca="1" si="24"/>
        <v>#NUM!</v>
      </c>
      <c r="AN42" s="13" t="e">
        <f t="shared" ca="1" si="25"/>
        <v>#NUM!</v>
      </c>
      <c r="AO42" s="16" t="e">
        <f t="shared" ca="1" si="26"/>
        <v>#NUM!</v>
      </c>
      <c r="AP42" s="16" t="e">
        <f t="shared" ca="1" si="27"/>
        <v>#NUM!</v>
      </c>
      <c r="AQ42" s="13">
        <f t="shared" si="28"/>
        <v>6.7608297539198143E-4</v>
      </c>
      <c r="AR42" s="13" t="e">
        <f t="shared" ca="1" si="29"/>
        <v>#NUM!</v>
      </c>
      <c r="AS42" s="1" t="e" cm="1">
        <f t="array" aca="1" ref="AS42:AU42" ca="1">TRANSPOSE(MMULT(MINVERSE(_xlfn.WRAPCOLS(AC42:AK42,3)),TRANSPOSE(T42:V42)))/$F$7:$H$7</f>
        <v>#NUM!</v>
      </c>
      <c r="AT42" s="1" t="e">
        <f ca="1"/>
        <v>#NUM!</v>
      </c>
      <c r="AU42" s="1" t="e">
        <f ca="1"/>
        <v>#NUM!</v>
      </c>
      <c r="AV42">
        <v>0</v>
      </c>
      <c r="AW42" t="e">
        <f t="shared" ca="1" si="30"/>
        <v>#NUM!</v>
      </c>
      <c r="AX42" t="e">
        <f t="shared" ca="1" si="37"/>
        <v>#NUM!</v>
      </c>
      <c r="AY42" t="e">
        <f t="shared" ca="1" si="31"/>
        <v>#NUM!</v>
      </c>
      <c r="AZ42" t="e">
        <f t="shared" ca="1" si="38"/>
        <v>#NUM!</v>
      </c>
      <c r="BA42" t="e">
        <f t="shared" ca="1" si="39"/>
        <v>#NUM!</v>
      </c>
      <c r="BB42" t="e">
        <f t="shared" ca="1" si="40"/>
        <v>#NUM!</v>
      </c>
      <c r="BC42" t="e">
        <f t="shared" ca="1" si="41"/>
        <v>#NUM!</v>
      </c>
      <c r="BD42" t="e">
        <f t="shared" ca="1" si="42"/>
        <v>#NUM!</v>
      </c>
      <c r="BE42" t="e">
        <f t="shared" ca="1" si="43"/>
        <v>#NUM!</v>
      </c>
      <c r="BF42" t="e">
        <f t="shared" ca="1" si="44"/>
        <v>#NUM!</v>
      </c>
      <c r="BG42" t="e">
        <f t="shared" ca="1" si="48"/>
        <v>#NUM!</v>
      </c>
      <c r="BH42" t="e">
        <f t="shared" ca="1" si="33"/>
        <v>#NUM!</v>
      </c>
      <c r="BI42" t="e">
        <f t="shared" ca="1" si="34"/>
        <v>#NUM!</v>
      </c>
      <c r="BJ42">
        <f t="shared" si="1"/>
        <v>0</v>
      </c>
    </row>
    <row r="43" spans="1:62" x14ac:dyDescent="0.25">
      <c r="A43">
        <f t="shared" si="46"/>
        <v>32</v>
      </c>
      <c r="B43" s="1">
        <f t="shared" si="49"/>
        <v>4.7209899999999998E-8</v>
      </c>
      <c r="C43" s="1">
        <f t="shared" si="49"/>
        <v>1.09987E-3</v>
      </c>
      <c r="D43" s="1">
        <f t="shared" si="49"/>
        <v>1.7799999999999999E-6</v>
      </c>
      <c r="E43" s="1" t="e">
        <f t="shared" ca="1" si="2"/>
        <v>#NUM!</v>
      </c>
      <c r="F43" s="1" t="e">
        <f t="shared" ca="1" si="36"/>
        <v>#NUM!</v>
      </c>
      <c r="G43" s="1" t="e">
        <f t="shared" ca="1" si="47"/>
        <v>#NUM!</v>
      </c>
      <c r="H43" s="1" t="e">
        <f t="shared" ca="1" si="3"/>
        <v>#NUM!</v>
      </c>
      <c r="I43" s="1">
        <f t="shared" si="4"/>
        <v>2.6915348039269097E-8</v>
      </c>
      <c r="J43" s="1" t="e">
        <f t="shared" ca="1" si="5"/>
        <v>#NUM!</v>
      </c>
      <c r="K43" s="1" t="e">
        <f t="shared" ca="1" si="6"/>
        <v>#NUM!</v>
      </c>
      <c r="L43" s="1">
        <f t="shared" si="7"/>
        <v>3.7411058827205313E-7</v>
      </c>
      <c r="M43" s="1" t="e">
        <f t="shared" ca="1" si="8"/>
        <v>#NUM!</v>
      </c>
      <c r="N43" s="1" t="e">
        <f t="shared" ca="1" si="9"/>
        <v>#NUM!</v>
      </c>
      <c r="O43" s="1" t="e">
        <f t="shared" ca="1" si="10"/>
        <v>#NUM!</v>
      </c>
      <c r="P43" s="1" t="e">
        <f t="shared" ca="1" si="11"/>
        <v>#NUM!</v>
      </c>
      <c r="Q43" s="1" t="e">
        <f t="shared" ca="1" si="12"/>
        <v>#NUM!</v>
      </c>
      <c r="R43" s="1" t="e">
        <f t="shared" ca="1" si="13"/>
        <v>#NUM!</v>
      </c>
      <c r="S43" s="1" t="e">
        <f t="shared" ca="1" si="14"/>
        <v>#NUM!</v>
      </c>
      <c r="T43" s="1" t="e">
        <f t="shared" ca="1" si="50"/>
        <v>#NUM!</v>
      </c>
      <c r="U43" s="1" t="e">
        <f t="shared" ca="1" si="50"/>
        <v>#NUM!</v>
      </c>
      <c r="V43" s="1" t="e">
        <f t="shared" ca="1" si="50"/>
        <v>#NUM!</v>
      </c>
      <c r="W43" s="1" t="e">
        <f t="shared" ca="1" si="50"/>
        <v>#NUM!</v>
      </c>
      <c r="X43" s="1" t="e" cm="1">
        <f t="array" aca="1" ref="X43:AA43" ca="1">ABS(T43:W43/B43:E43)</f>
        <v>#NUM!</v>
      </c>
      <c r="Y43" s="1" t="e">
        <f ca="1"/>
        <v>#NUM!</v>
      </c>
      <c r="Z43" s="1" t="e">
        <f ca="1"/>
        <v>#NUM!</v>
      </c>
      <c r="AA43" s="1" t="e">
        <f ca="1"/>
        <v>#NUM!</v>
      </c>
      <c r="AB43" s="1" t="e" cm="1">
        <f t="array" aca="1" ref="AB43" ca="1">MAX(ABS(T43:W43/B43:E43))</f>
        <v>#NUM!</v>
      </c>
      <c r="AC43" s="1" t="e">
        <f t="shared" ca="1" si="16"/>
        <v>#NUM!</v>
      </c>
      <c r="AD43" s="1" t="e">
        <f t="shared" ca="1" si="17"/>
        <v>#NUM!</v>
      </c>
      <c r="AE43" s="1" t="e">
        <f t="shared" ca="1" si="18"/>
        <v>#NUM!</v>
      </c>
      <c r="AF43" t="e">
        <f t="shared" ca="1" si="19"/>
        <v>#NUM!</v>
      </c>
      <c r="AG43" t="e">
        <f t="shared" ca="1" si="20"/>
        <v>#NUM!</v>
      </c>
      <c r="AH43">
        <v>0</v>
      </c>
      <c r="AI43" s="1" t="e">
        <f t="shared" ca="1" si="21"/>
        <v>#NUM!</v>
      </c>
      <c r="AJ43">
        <f>0</f>
        <v>0</v>
      </c>
      <c r="AK43" s="1" t="e">
        <f t="shared" ca="1" si="22"/>
        <v>#NUM!</v>
      </c>
      <c r="AL43" s="16" t="e">
        <f t="shared" ca="1" si="23"/>
        <v>#NUM!</v>
      </c>
      <c r="AM43" s="16" t="e">
        <f t="shared" ca="1" si="24"/>
        <v>#NUM!</v>
      </c>
      <c r="AN43" s="13" t="e">
        <f t="shared" ca="1" si="25"/>
        <v>#NUM!</v>
      </c>
      <c r="AO43" s="16" t="e">
        <f t="shared" ca="1" si="26"/>
        <v>#NUM!</v>
      </c>
      <c r="AP43" s="16" t="e">
        <f t="shared" ca="1" si="27"/>
        <v>#NUM!</v>
      </c>
      <c r="AQ43" s="13">
        <f t="shared" si="28"/>
        <v>6.7608297539198143E-4</v>
      </c>
      <c r="AR43" s="13" t="e">
        <f t="shared" ca="1" si="29"/>
        <v>#NUM!</v>
      </c>
      <c r="AS43" s="1" t="e" cm="1">
        <f t="array" aca="1" ref="AS43:AU43" ca="1">TRANSPOSE(MMULT(MINVERSE(_xlfn.WRAPCOLS(AC43:AK43,3)),TRANSPOSE(T43:V43)))/$F$7:$H$7</f>
        <v>#NUM!</v>
      </c>
      <c r="AT43" s="1" t="e">
        <f ca="1"/>
        <v>#NUM!</v>
      </c>
      <c r="AU43" s="1" t="e">
        <f ca="1"/>
        <v>#NUM!</v>
      </c>
      <c r="AV43">
        <v>0</v>
      </c>
      <c r="AW43" t="e">
        <f t="shared" ca="1" si="30"/>
        <v>#NUM!</v>
      </c>
      <c r="AX43" t="e">
        <f t="shared" ca="1" si="37"/>
        <v>#NUM!</v>
      </c>
      <c r="AY43" t="e">
        <f t="shared" ca="1" si="31"/>
        <v>#NUM!</v>
      </c>
      <c r="AZ43" t="e">
        <f t="shared" ca="1" si="38"/>
        <v>#NUM!</v>
      </c>
      <c r="BA43" t="e">
        <f t="shared" ca="1" si="39"/>
        <v>#NUM!</v>
      </c>
      <c r="BB43" t="e">
        <f t="shared" ca="1" si="40"/>
        <v>#NUM!</v>
      </c>
      <c r="BC43" t="e">
        <f t="shared" ca="1" si="41"/>
        <v>#NUM!</v>
      </c>
      <c r="BD43" t="e">
        <f t="shared" ca="1" si="42"/>
        <v>#NUM!</v>
      </c>
      <c r="BE43" t="e">
        <f t="shared" ca="1" si="43"/>
        <v>#NUM!</v>
      </c>
      <c r="BF43" t="e">
        <f t="shared" ca="1" si="44"/>
        <v>#NUM!</v>
      </c>
      <c r="BG43" t="e">
        <f t="shared" ca="1" si="48"/>
        <v>#NUM!</v>
      </c>
      <c r="BH43" t="e">
        <f t="shared" ca="1" si="33"/>
        <v>#NUM!</v>
      </c>
      <c r="BI43" t="e">
        <f t="shared" ca="1" si="34"/>
        <v>#NUM!</v>
      </c>
      <c r="BJ43">
        <f t="shared" ref="BJ43:BJ73" si="51">AV43</f>
        <v>0</v>
      </c>
    </row>
    <row r="44" spans="1:62" x14ac:dyDescent="0.25">
      <c r="A44">
        <f t="shared" si="46"/>
        <v>33</v>
      </c>
      <c r="B44" s="1">
        <f t="shared" si="49"/>
        <v>4.7209899999999998E-8</v>
      </c>
      <c r="C44" s="1">
        <f t="shared" si="49"/>
        <v>1.09987E-3</v>
      </c>
      <c r="D44" s="1">
        <f t="shared" si="49"/>
        <v>1.7799999999999999E-6</v>
      </c>
      <c r="E44" s="1" t="e">
        <f t="shared" ca="1" si="2"/>
        <v>#NUM!</v>
      </c>
      <c r="F44" s="1" t="e">
        <f t="shared" ca="1" si="36"/>
        <v>#NUM!</v>
      </c>
      <c r="G44" s="1" t="e">
        <f t="shared" ca="1" si="47"/>
        <v>#NUM!</v>
      </c>
      <c r="H44" s="1" t="e">
        <f t="shared" ca="1" si="3"/>
        <v>#NUM!</v>
      </c>
      <c r="I44" s="1">
        <f t="shared" ref="I44:I73" si="52">I43-BJ43/$H$7</f>
        <v>2.6915348039269097E-8</v>
      </c>
      <c r="J44" s="1" t="e">
        <f t="shared" ca="1" si="5"/>
        <v>#NUM!</v>
      </c>
      <c r="K44" s="1" t="e">
        <f t="shared" ca="1" si="6"/>
        <v>#NUM!</v>
      </c>
      <c r="L44" s="1">
        <f t="shared" si="7"/>
        <v>3.7411058827205313E-7</v>
      </c>
      <c r="M44" s="1" t="e">
        <f t="shared" ca="1" si="8"/>
        <v>#NUM!</v>
      </c>
      <c r="N44" s="1" t="e">
        <f t="shared" ca="1" si="9"/>
        <v>#NUM!</v>
      </c>
      <c r="O44" s="1" t="e">
        <f t="shared" ca="1" si="10"/>
        <v>#NUM!</v>
      </c>
      <c r="P44" s="1" t="e">
        <f t="shared" ca="1" si="11"/>
        <v>#NUM!</v>
      </c>
      <c r="Q44" s="1" t="e">
        <f t="shared" ca="1" si="12"/>
        <v>#NUM!</v>
      </c>
      <c r="R44" s="1" t="e">
        <f t="shared" ca="1" si="13"/>
        <v>#NUM!</v>
      </c>
      <c r="S44" s="1" t="e">
        <f t="shared" ca="1" si="14"/>
        <v>#NUM!</v>
      </c>
      <c r="T44" s="1" t="e">
        <f t="shared" ca="1" si="50"/>
        <v>#NUM!</v>
      </c>
      <c r="U44" s="1" t="e">
        <f t="shared" ca="1" si="50"/>
        <v>#NUM!</v>
      </c>
      <c r="V44" s="1" t="e">
        <f t="shared" ca="1" si="50"/>
        <v>#NUM!</v>
      </c>
      <c r="W44" s="1" t="e">
        <f t="shared" ca="1" si="50"/>
        <v>#NUM!</v>
      </c>
      <c r="X44" s="1" t="e" cm="1">
        <f t="array" aca="1" ref="X44:AA44" ca="1">ABS(T44:W44/B44:E44)</f>
        <v>#NUM!</v>
      </c>
      <c r="Y44" s="1" t="e">
        <f ca="1"/>
        <v>#NUM!</v>
      </c>
      <c r="Z44" s="1" t="e">
        <f ca="1"/>
        <v>#NUM!</v>
      </c>
      <c r="AA44" s="1" t="e">
        <f ca="1"/>
        <v>#NUM!</v>
      </c>
      <c r="AB44" s="1" t="e" cm="1">
        <f t="array" aca="1" ref="AB44" ca="1">MAX(ABS(T44:W44/B44:E44))</f>
        <v>#NUM!</v>
      </c>
      <c r="AC44" s="1" t="e">
        <f t="shared" ca="1" si="16"/>
        <v>#NUM!</v>
      </c>
      <c r="AD44" s="1" t="e">
        <f t="shared" ca="1" si="17"/>
        <v>#NUM!</v>
      </c>
      <c r="AE44" s="1" t="e">
        <f t="shared" ca="1" si="18"/>
        <v>#NUM!</v>
      </c>
      <c r="AF44" t="e">
        <f t="shared" ca="1" si="19"/>
        <v>#NUM!</v>
      </c>
      <c r="AG44" t="e">
        <f t="shared" ca="1" si="20"/>
        <v>#NUM!</v>
      </c>
      <c r="AH44">
        <v>0</v>
      </c>
      <c r="AI44" s="1" t="e">
        <f t="shared" ca="1" si="21"/>
        <v>#NUM!</v>
      </c>
      <c r="AJ44">
        <f>0</f>
        <v>0</v>
      </c>
      <c r="AK44" s="1" t="e">
        <f t="shared" ca="1" si="22"/>
        <v>#NUM!</v>
      </c>
      <c r="AL44" s="16" t="e">
        <f t="shared" ca="1" si="23"/>
        <v>#NUM!</v>
      </c>
      <c r="AM44" s="16" t="e">
        <f t="shared" ca="1" si="24"/>
        <v>#NUM!</v>
      </c>
      <c r="AN44" s="13" t="e">
        <f t="shared" ca="1" si="25"/>
        <v>#NUM!</v>
      </c>
      <c r="AO44" s="16" t="e">
        <f t="shared" ca="1" si="26"/>
        <v>#NUM!</v>
      </c>
      <c r="AP44" s="16" t="e">
        <f t="shared" ca="1" si="27"/>
        <v>#NUM!</v>
      </c>
      <c r="AQ44" s="13">
        <f t="shared" si="28"/>
        <v>6.7608297539198143E-4</v>
      </c>
      <c r="AR44" s="13" t="e">
        <f t="shared" ca="1" si="29"/>
        <v>#NUM!</v>
      </c>
      <c r="AS44" s="1" t="e" cm="1">
        <f t="array" aca="1" ref="AS44:AU44" ca="1">TRANSPOSE(MMULT(MINVERSE(_xlfn.WRAPCOLS(AC44:AK44,3)),TRANSPOSE(T44:V44)))/$F$7:$H$7</f>
        <v>#NUM!</v>
      </c>
      <c r="AT44" s="1" t="e">
        <f ca="1"/>
        <v>#NUM!</v>
      </c>
      <c r="AU44" s="1" t="e">
        <f ca="1"/>
        <v>#NUM!</v>
      </c>
      <c r="AV44">
        <v>0</v>
      </c>
      <c r="AW44" t="e">
        <f t="shared" ref="AW44:AW73" ca="1" si="53">OR($AB44&gt;(1.3*$AB43),$BB43&gt;10)</f>
        <v>#NUM!</v>
      </c>
      <c r="AX44" t="e">
        <f t="shared" ca="1" si="37"/>
        <v>#NUM!</v>
      </c>
      <c r="AY44" t="e">
        <f t="shared" ref="AY44:AY73" ca="1" si="54">AND(($AZ43 &gt; (3 + $A44 / 3)), ($AZ43 &gt; $BD43), ($BF43 &lt; 1))</f>
        <v>#NUM!</v>
      </c>
      <c r="AZ44" t="e">
        <f t="shared" ca="1" si="38"/>
        <v>#NUM!</v>
      </c>
      <c r="BA44" t="e">
        <f t="shared" ca="1" si="39"/>
        <v>#NUM!</v>
      </c>
      <c r="BB44" t="e">
        <f t="shared" ca="1" si="40"/>
        <v>#NUM!</v>
      </c>
      <c r="BC44" t="e">
        <f t="shared" ca="1" si="41"/>
        <v>#NUM!</v>
      </c>
      <c r="BD44" t="e">
        <f t="shared" ca="1" si="42"/>
        <v>#NUM!</v>
      </c>
      <c r="BE44" t="e">
        <f t="shared" ca="1" si="43"/>
        <v>#NUM!</v>
      </c>
      <c r="BF44" t="e">
        <f t="shared" ca="1" si="44"/>
        <v>#NUM!</v>
      </c>
      <c r="BG44" t="e">
        <f t="shared" ca="1" si="48"/>
        <v>#NUM!</v>
      </c>
      <c r="BH44" t="e">
        <f t="shared" ca="1" si="33"/>
        <v>#NUM!</v>
      </c>
      <c r="BI44" t="e">
        <f t="shared" ca="1" si="34"/>
        <v>#NUM!</v>
      </c>
      <c r="BJ44">
        <f t="shared" si="51"/>
        <v>0</v>
      </c>
    </row>
    <row r="45" spans="1:62" x14ac:dyDescent="0.25">
      <c r="A45">
        <f t="shared" si="46"/>
        <v>34</v>
      </c>
      <c r="B45" s="1">
        <f t="shared" si="49"/>
        <v>4.7209899999999998E-8</v>
      </c>
      <c r="C45" s="1">
        <f t="shared" si="49"/>
        <v>1.09987E-3</v>
      </c>
      <c r="D45" s="1">
        <f t="shared" si="49"/>
        <v>1.7799999999999999E-6</v>
      </c>
      <c r="E45" s="1" t="e">
        <f t="shared" ca="1" si="2"/>
        <v>#NUM!</v>
      </c>
      <c r="F45" s="1" t="e">
        <f t="shared" ca="1" si="36"/>
        <v>#NUM!</v>
      </c>
      <c r="G45" s="1" t="e">
        <f t="shared" ca="1" si="47"/>
        <v>#NUM!</v>
      </c>
      <c r="H45" s="1" t="e">
        <f t="shared" ca="1" si="3"/>
        <v>#NUM!</v>
      </c>
      <c r="I45" s="1">
        <f t="shared" si="52"/>
        <v>2.6915348039269097E-8</v>
      </c>
      <c r="J45" s="1" t="e">
        <f t="shared" ca="1" si="5"/>
        <v>#NUM!</v>
      </c>
      <c r="K45" s="1" t="e">
        <f t="shared" ca="1" si="6"/>
        <v>#NUM!</v>
      </c>
      <c r="L45" s="1">
        <f t="shared" si="7"/>
        <v>3.7411058827205313E-7</v>
      </c>
      <c r="M45" s="1" t="e">
        <f t="shared" ca="1" si="8"/>
        <v>#NUM!</v>
      </c>
      <c r="N45" s="1" t="e">
        <f t="shared" ca="1" si="9"/>
        <v>#NUM!</v>
      </c>
      <c r="O45" s="1" t="e">
        <f t="shared" ca="1" si="10"/>
        <v>#NUM!</v>
      </c>
      <c r="P45" s="1" t="e">
        <f t="shared" ca="1" si="11"/>
        <v>#NUM!</v>
      </c>
      <c r="Q45" s="1" t="e">
        <f t="shared" ca="1" si="12"/>
        <v>#NUM!</v>
      </c>
      <c r="R45" s="1" t="e">
        <f t="shared" ca="1" si="13"/>
        <v>#NUM!</v>
      </c>
      <c r="S45" s="1" t="e">
        <f t="shared" ca="1" si="14"/>
        <v>#NUM!</v>
      </c>
      <c r="T45" s="1" t="e">
        <f t="shared" ca="1" si="50"/>
        <v>#NUM!</v>
      </c>
      <c r="U45" s="1" t="e">
        <f t="shared" ca="1" si="50"/>
        <v>#NUM!</v>
      </c>
      <c r="V45" s="1" t="e">
        <f t="shared" ca="1" si="50"/>
        <v>#NUM!</v>
      </c>
      <c r="W45" s="1" t="e">
        <f t="shared" ca="1" si="50"/>
        <v>#NUM!</v>
      </c>
      <c r="X45" s="1" t="e" cm="1">
        <f t="array" aca="1" ref="X45:AA45" ca="1">ABS(T45:W45/B45:E45)</f>
        <v>#NUM!</v>
      </c>
      <c r="Y45" s="1" t="e">
        <f ca="1"/>
        <v>#NUM!</v>
      </c>
      <c r="Z45" s="1" t="e">
        <f ca="1"/>
        <v>#NUM!</v>
      </c>
      <c r="AA45" s="1" t="e">
        <f ca="1"/>
        <v>#NUM!</v>
      </c>
      <c r="AB45" s="1" t="e" cm="1">
        <f t="array" aca="1" ref="AB45" ca="1">MAX(ABS(T45:W45/B45:E45))</f>
        <v>#NUM!</v>
      </c>
      <c r="AC45" s="1" t="e">
        <f t="shared" ca="1" si="16"/>
        <v>#NUM!</v>
      </c>
      <c r="AD45" s="1" t="e">
        <f t="shared" ca="1" si="17"/>
        <v>#NUM!</v>
      </c>
      <c r="AE45" s="1" t="e">
        <f t="shared" ca="1" si="18"/>
        <v>#NUM!</v>
      </c>
      <c r="AF45" t="e">
        <f t="shared" ca="1" si="19"/>
        <v>#NUM!</v>
      </c>
      <c r="AG45" t="e">
        <f t="shared" ca="1" si="20"/>
        <v>#NUM!</v>
      </c>
      <c r="AH45">
        <v>0</v>
      </c>
      <c r="AI45" s="1" t="e">
        <f t="shared" ca="1" si="21"/>
        <v>#NUM!</v>
      </c>
      <c r="AJ45">
        <f>0</f>
        <v>0</v>
      </c>
      <c r="AK45" s="1" t="e">
        <f t="shared" ca="1" si="22"/>
        <v>#NUM!</v>
      </c>
      <c r="AL45" s="16" t="e">
        <f t="shared" ca="1" si="23"/>
        <v>#NUM!</v>
      </c>
      <c r="AM45" s="16" t="e">
        <f t="shared" ca="1" si="24"/>
        <v>#NUM!</v>
      </c>
      <c r="AN45" s="13" t="e">
        <f t="shared" ca="1" si="25"/>
        <v>#NUM!</v>
      </c>
      <c r="AO45" s="16" t="e">
        <f t="shared" ca="1" si="26"/>
        <v>#NUM!</v>
      </c>
      <c r="AP45" s="16" t="e">
        <f t="shared" ca="1" si="27"/>
        <v>#NUM!</v>
      </c>
      <c r="AQ45" s="13">
        <f t="shared" si="28"/>
        <v>6.7608297539198143E-4</v>
      </c>
      <c r="AR45" s="13" t="e">
        <f t="shared" ca="1" si="29"/>
        <v>#NUM!</v>
      </c>
      <c r="AS45" s="1" t="e" cm="1">
        <f t="array" aca="1" ref="AS45:AU45" ca="1">TRANSPOSE(MMULT(MINVERSE(_xlfn.WRAPCOLS(AC45:AK45,3)),TRANSPOSE(T45:V45)))/$F$7:$H$7</f>
        <v>#NUM!</v>
      </c>
      <c r="AT45" s="1" t="e">
        <f ca="1"/>
        <v>#NUM!</v>
      </c>
      <c r="AU45" s="1" t="e">
        <f ca="1"/>
        <v>#NUM!</v>
      </c>
      <c r="AV45">
        <v>0</v>
      </c>
      <c r="AW45" t="e">
        <f t="shared" ca="1" si="53"/>
        <v>#NUM!</v>
      </c>
      <c r="AX45" t="e">
        <f t="shared" ca="1" si="37"/>
        <v>#NUM!</v>
      </c>
      <c r="AY45" t="e">
        <f t="shared" ca="1" si="54"/>
        <v>#NUM!</v>
      </c>
      <c r="AZ45" t="e">
        <f t="shared" ca="1" si="38"/>
        <v>#NUM!</v>
      </c>
      <c r="BA45" t="e">
        <f t="shared" ca="1" si="39"/>
        <v>#NUM!</v>
      </c>
      <c r="BB45" t="e">
        <f t="shared" ca="1" si="40"/>
        <v>#NUM!</v>
      </c>
      <c r="BC45" t="e">
        <f t="shared" ca="1" si="41"/>
        <v>#NUM!</v>
      </c>
      <c r="BD45" t="e">
        <f t="shared" ca="1" si="42"/>
        <v>#NUM!</v>
      </c>
      <c r="BE45" t="e">
        <f t="shared" ca="1" si="43"/>
        <v>#NUM!</v>
      </c>
      <c r="BF45" t="e">
        <f t="shared" ca="1" si="44"/>
        <v>#NUM!</v>
      </c>
      <c r="BG45" t="e">
        <f t="shared" ca="1" si="48"/>
        <v>#NUM!</v>
      </c>
      <c r="BH45" t="e">
        <f t="shared" ca="1" si="33"/>
        <v>#NUM!</v>
      </c>
      <c r="BI45" t="e">
        <f t="shared" ca="1" si="34"/>
        <v>#NUM!</v>
      </c>
      <c r="BJ45">
        <f t="shared" si="51"/>
        <v>0</v>
      </c>
    </row>
    <row r="46" spans="1:62" x14ac:dyDescent="0.25">
      <c r="A46">
        <f t="shared" si="46"/>
        <v>35</v>
      </c>
      <c r="B46" s="1">
        <f t="shared" si="49"/>
        <v>4.7209899999999998E-8</v>
      </c>
      <c r="C46" s="1">
        <f t="shared" si="49"/>
        <v>1.09987E-3</v>
      </c>
      <c r="D46" s="1">
        <f t="shared" si="49"/>
        <v>1.7799999999999999E-6</v>
      </c>
      <c r="E46" s="1" t="e">
        <f t="shared" ca="1" si="2"/>
        <v>#NUM!</v>
      </c>
      <c r="F46" s="1" t="e">
        <f t="shared" ca="1" si="36"/>
        <v>#NUM!</v>
      </c>
      <c r="G46" s="1" t="e">
        <f t="shared" ca="1" si="47"/>
        <v>#NUM!</v>
      </c>
      <c r="H46" s="1" t="e">
        <f t="shared" ca="1" si="3"/>
        <v>#NUM!</v>
      </c>
      <c r="I46" s="1">
        <f t="shared" si="52"/>
        <v>2.6915348039269097E-8</v>
      </c>
      <c r="J46" s="1" t="e">
        <f t="shared" ca="1" si="5"/>
        <v>#NUM!</v>
      </c>
      <c r="K46" s="1" t="e">
        <f t="shared" ca="1" si="6"/>
        <v>#NUM!</v>
      </c>
      <c r="L46" s="1">
        <f t="shared" si="7"/>
        <v>3.7411058827205313E-7</v>
      </c>
      <c r="M46" s="1" t="e">
        <f t="shared" ca="1" si="8"/>
        <v>#NUM!</v>
      </c>
      <c r="N46" s="1" t="e">
        <f t="shared" ca="1" si="9"/>
        <v>#NUM!</v>
      </c>
      <c r="O46" s="1" t="e">
        <f t="shared" ca="1" si="10"/>
        <v>#NUM!</v>
      </c>
      <c r="P46" s="1" t="e">
        <f t="shared" ca="1" si="11"/>
        <v>#NUM!</v>
      </c>
      <c r="Q46" s="1" t="e">
        <f t="shared" ca="1" si="12"/>
        <v>#NUM!</v>
      </c>
      <c r="R46" s="1" t="e">
        <f t="shared" ca="1" si="13"/>
        <v>#NUM!</v>
      </c>
      <c r="S46" s="1" t="e">
        <f t="shared" ca="1" si="14"/>
        <v>#NUM!</v>
      </c>
      <c r="T46" s="1" t="e">
        <f t="shared" ca="1" si="50"/>
        <v>#NUM!</v>
      </c>
      <c r="U46" s="1" t="e">
        <f t="shared" ca="1" si="50"/>
        <v>#NUM!</v>
      </c>
      <c r="V46" s="1" t="e">
        <f t="shared" ca="1" si="50"/>
        <v>#NUM!</v>
      </c>
      <c r="W46" s="1" t="e">
        <f t="shared" ca="1" si="50"/>
        <v>#NUM!</v>
      </c>
      <c r="X46" s="1" t="e" cm="1">
        <f t="array" aca="1" ref="X46:AA46" ca="1">ABS(T46:W46/B46:E46)</f>
        <v>#NUM!</v>
      </c>
      <c r="Y46" s="1" t="e">
        <f ca="1"/>
        <v>#NUM!</v>
      </c>
      <c r="Z46" s="1" t="e">
        <f ca="1"/>
        <v>#NUM!</v>
      </c>
      <c r="AA46" s="1" t="e">
        <f ca="1"/>
        <v>#NUM!</v>
      </c>
      <c r="AB46" s="1" t="e" cm="1">
        <f t="array" aca="1" ref="AB46" ca="1">MAX(ABS(T46:W46/B46:E46))</f>
        <v>#NUM!</v>
      </c>
      <c r="AC46" s="1" t="e">
        <f t="shared" ca="1" si="16"/>
        <v>#NUM!</v>
      </c>
      <c r="AD46" s="1" t="e">
        <f t="shared" ca="1" si="17"/>
        <v>#NUM!</v>
      </c>
      <c r="AE46" s="1" t="e">
        <f t="shared" ca="1" si="18"/>
        <v>#NUM!</v>
      </c>
      <c r="AF46" t="e">
        <f t="shared" ca="1" si="19"/>
        <v>#NUM!</v>
      </c>
      <c r="AG46" t="e">
        <f t="shared" ca="1" si="20"/>
        <v>#NUM!</v>
      </c>
      <c r="AH46">
        <v>0</v>
      </c>
      <c r="AI46" s="1" t="e">
        <f t="shared" ca="1" si="21"/>
        <v>#NUM!</v>
      </c>
      <c r="AJ46">
        <f>0</f>
        <v>0</v>
      </c>
      <c r="AK46" s="1" t="e">
        <f t="shared" ca="1" si="22"/>
        <v>#NUM!</v>
      </c>
      <c r="AL46" s="16" t="e">
        <f t="shared" ca="1" si="23"/>
        <v>#NUM!</v>
      </c>
      <c r="AM46" s="16" t="e">
        <f t="shared" ca="1" si="24"/>
        <v>#NUM!</v>
      </c>
      <c r="AN46" s="13" t="e">
        <f t="shared" ca="1" si="25"/>
        <v>#NUM!</v>
      </c>
      <c r="AO46" s="16" t="e">
        <f t="shared" ca="1" si="26"/>
        <v>#NUM!</v>
      </c>
      <c r="AP46" s="16" t="e">
        <f t="shared" ca="1" si="27"/>
        <v>#NUM!</v>
      </c>
      <c r="AQ46" s="13">
        <f t="shared" si="28"/>
        <v>6.7608297539198143E-4</v>
      </c>
      <c r="AR46" s="13" t="e">
        <f t="shared" ca="1" si="29"/>
        <v>#NUM!</v>
      </c>
      <c r="AS46" s="1" t="e" cm="1">
        <f t="array" aca="1" ref="AS46:AU46" ca="1">TRANSPOSE(MMULT(MINVERSE(_xlfn.WRAPCOLS(AC46:AK46,3)),TRANSPOSE(T46:V46)))/$F$7:$H$7</f>
        <v>#NUM!</v>
      </c>
      <c r="AT46" s="1" t="e">
        <f ca="1"/>
        <v>#NUM!</v>
      </c>
      <c r="AU46" s="1" t="e">
        <f ca="1"/>
        <v>#NUM!</v>
      </c>
      <c r="AV46">
        <v>0</v>
      </c>
      <c r="AW46" t="e">
        <f t="shared" ca="1" si="53"/>
        <v>#NUM!</v>
      </c>
      <c r="AX46" t="e">
        <f t="shared" ca="1" si="37"/>
        <v>#NUM!</v>
      </c>
      <c r="AY46" t="e">
        <f t="shared" ca="1" si="54"/>
        <v>#NUM!</v>
      </c>
      <c r="AZ46" t="e">
        <f t="shared" ca="1" si="38"/>
        <v>#NUM!</v>
      </c>
      <c r="BA46" t="e">
        <f t="shared" ca="1" si="39"/>
        <v>#NUM!</v>
      </c>
      <c r="BB46" t="e">
        <f t="shared" ca="1" si="40"/>
        <v>#NUM!</v>
      </c>
      <c r="BC46" t="e">
        <f t="shared" ca="1" si="41"/>
        <v>#NUM!</v>
      </c>
      <c r="BD46" t="e">
        <f t="shared" ca="1" si="42"/>
        <v>#NUM!</v>
      </c>
      <c r="BE46" t="e">
        <f t="shared" ca="1" si="43"/>
        <v>#NUM!</v>
      </c>
      <c r="BF46" t="e">
        <f t="shared" ca="1" si="44"/>
        <v>#NUM!</v>
      </c>
      <c r="BG46" t="e">
        <f t="shared" ca="1" si="48"/>
        <v>#NUM!</v>
      </c>
      <c r="BH46" t="e">
        <f t="shared" ca="1" si="33"/>
        <v>#NUM!</v>
      </c>
      <c r="BI46" t="e">
        <f t="shared" ca="1" si="34"/>
        <v>#NUM!</v>
      </c>
      <c r="BJ46">
        <f t="shared" si="51"/>
        <v>0</v>
      </c>
    </row>
    <row r="47" spans="1:62" x14ac:dyDescent="0.25">
      <c r="A47">
        <f t="shared" si="46"/>
        <v>36</v>
      </c>
      <c r="B47" s="1">
        <f t="shared" si="49"/>
        <v>4.7209899999999998E-8</v>
      </c>
      <c r="C47" s="1">
        <f t="shared" si="49"/>
        <v>1.09987E-3</v>
      </c>
      <c r="D47" s="1">
        <f t="shared" si="49"/>
        <v>1.7799999999999999E-6</v>
      </c>
      <c r="E47" s="1" t="e">
        <f t="shared" ca="1" si="2"/>
        <v>#NUM!</v>
      </c>
      <c r="F47" s="1" t="e">
        <f t="shared" ca="1" si="36"/>
        <v>#NUM!</v>
      </c>
      <c r="G47" s="1" t="e">
        <f t="shared" ca="1" si="47"/>
        <v>#NUM!</v>
      </c>
      <c r="H47" s="1" t="e">
        <f t="shared" ca="1" si="3"/>
        <v>#NUM!</v>
      </c>
      <c r="I47" s="1">
        <f t="shared" si="52"/>
        <v>2.6915348039269097E-8</v>
      </c>
      <c r="J47" s="1" t="e">
        <f t="shared" ca="1" si="5"/>
        <v>#NUM!</v>
      </c>
      <c r="K47" s="1" t="e">
        <f t="shared" ca="1" si="6"/>
        <v>#NUM!</v>
      </c>
      <c r="L47" s="1">
        <f t="shared" si="7"/>
        <v>3.7411058827205313E-7</v>
      </c>
      <c r="M47" s="1" t="e">
        <f t="shared" ca="1" si="8"/>
        <v>#NUM!</v>
      </c>
      <c r="N47" s="1" t="e">
        <f t="shared" ca="1" si="9"/>
        <v>#NUM!</v>
      </c>
      <c r="O47" s="1" t="e">
        <f t="shared" ca="1" si="10"/>
        <v>#NUM!</v>
      </c>
      <c r="P47" s="1" t="e">
        <f t="shared" ca="1" si="11"/>
        <v>#NUM!</v>
      </c>
      <c r="Q47" s="1" t="e">
        <f t="shared" ca="1" si="12"/>
        <v>#NUM!</v>
      </c>
      <c r="R47" s="1" t="e">
        <f t="shared" ca="1" si="13"/>
        <v>#NUM!</v>
      </c>
      <c r="S47" s="1" t="e">
        <f t="shared" ca="1" si="14"/>
        <v>#NUM!</v>
      </c>
      <c r="T47" s="1" t="e">
        <f t="shared" ca="1" si="50"/>
        <v>#NUM!</v>
      </c>
      <c r="U47" s="1" t="e">
        <f t="shared" ca="1" si="50"/>
        <v>#NUM!</v>
      </c>
      <c r="V47" s="1" t="e">
        <f t="shared" ca="1" si="50"/>
        <v>#NUM!</v>
      </c>
      <c r="W47" s="1" t="e">
        <f t="shared" ca="1" si="50"/>
        <v>#NUM!</v>
      </c>
      <c r="X47" s="1" t="e" cm="1">
        <f t="array" aca="1" ref="X47:AA47" ca="1">ABS(T47:W47/B47:E47)</f>
        <v>#NUM!</v>
      </c>
      <c r="Y47" s="1" t="e">
        <f ca="1"/>
        <v>#NUM!</v>
      </c>
      <c r="Z47" s="1" t="e">
        <f ca="1"/>
        <v>#NUM!</v>
      </c>
      <c r="AA47" s="1" t="e">
        <f ca="1"/>
        <v>#NUM!</v>
      </c>
      <c r="AB47" s="1" t="e" cm="1">
        <f t="array" aca="1" ref="AB47" ca="1">MAX(ABS(T47:W47/B47:E47))</f>
        <v>#NUM!</v>
      </c>
      <c r="AC47" s="1" t="e">
        <f t="shared" ca="1" si="16"/>
        <v>#NUM!</v>
      </c>
      <c r="AD47" s="1" t="e">
        <f t="shared" ca="1" si="17"/>
        <v>#NUM!</v>
      </c>
      <c r="AE47" s="1" t="e">
        <f t="shared" ca="1" si="18"/>
        <v>#NUM!</v>
      </c>
      <c r="AF47" t="e">
        <f t="shared" ca="1" si="19"/>
        <v>#NUM!</v>
      </c>
      <c r="AG47" t="e">
        <f t="shared" ca="1" si="20"/>
        <v>#NUM!</v>
      </c>
      <c r="AH47">
        <v>0</v>
      </c>
      <c r="AI47" s="1" t="e">
        <f t="shared" ca="1" si="21"/>
        <v>#NUM!</v>
      </c>
      <c r="AJ47">
        <f>0</f>
        <v>0</v>
      </c>
      <c r="AK47" s="1" t="e">
        <f t="shared" ca="1" si="22"/>
        <v>#NUM!</v>
      </c>
      <c r="AL47" s="16" t="e">
        <f t="shared" ca="1" si="23"/>
        <v>#NUM!</v>
      </c>
      <c r="AM47" s="16" t="e">
        <f t="shared" ca="1" si="24"/>
        <v>#NUM!</v>
      </c>
      <c r="AN47" s="13" t="e">
        <f t="shared" ca="1" si="25"/>
        <v>#NUM!</v>
      </c>
      <c r="AO47" s="16" t="e">
        <f t="shared" ca="1" si="26"/>
        <v>#NUM!</v>
      </c>
      <c r="AP47" s="16" t="e">
        <f t="shared" ca="1" si="27"/>
        <v>#NUM!</v>
      </c>
      <c r="AQ47" s="13">
        <f t="shared" si="28"/>
        <v>6.7608297539198143E-4</v>
      </c>
      <c r="AR47" s="13" t="e">
        <f t="shared" ca="1" si="29"/>
        <v>#NUM!</v>
      </c>
      <c r="AS47" s="1" t="e" cm="1">
        <f t="array" aca="1" ref="AS47:AU47" ca="1">TRANSPOSE(MMULT(MINVERSE(_xlfn.WRAPCOLS(AC47:AK47,3)),TRANSPOSE(T47:V47)))/$F$7:$H$7</f>
        <v>#NUM!</v>
      </c>
      <c r="AT47" s="1" t="e">
        <f ca="1"/>
        <v>#NUM!</v>
      </c>
      <c r="AU47" s="1" t="e">
        <f ca="1"/>
        <v>#NUM!</v>
      </c>
      <c r="AV47">
        <v>0</v>
      </c>
      <c r="AW47" t="e">
        <f t="shared" ca="1" si="53"/>
        <v>#NUM!</v>
      </c>
      <c r="AX47" t="e">
        <f t="shared" ca="1" si="37"/>
        <v>#NUM!</v>
      </c>
      <c r="AY47" t="e">
        <f t="shared" ca="1" si="54"/>
        <v>#NUM!</v>
      </c>
      <c r="AZ47" t="e">
        <f t="shared" ca="1" si="38"/>
        <v>#NUM!</v>
      </c>
      <c r="BA47" t="e">
        <f t="shared" ca="1" si="39"/>
        <v>#NUM!</v>
      </c>
      <c r="BB47" t="e">
        <f t="shared" ca="1" si="40"/>
        <v>#NUM!</v>
      </c>
      <c r="BC47" t="e">
        <f t="shared" ca="1" si="41"/>
        <v>#NUM!</v>
      </c>
      <c r="BD47" t="e">
        <f t="shared" ca="1" si="42"/>
        <v>#NUM!</v>
      </c>
      <c r="BE47" t="e">
        <f t="shared" ca="1" si="43"/>
        <v>#NUM!</v>
      </c>
      <c r="BF47" t="e">
        <f t="shared" ca="1" si="44"/>
        <v>#NUM!</v>
      </c>
      <c r="BG47" t="e">
        <f t="shared" ca="1" si="48"/>
        <v>#NUM!</v>
      </c>
      <c r="BH47" t="e">
        <f t="shared" ca="1" si="33"/>
        <v>#NUM!</v>
      </c>
      <c r="BI47" t="e">
        <f t="shared" ca="1" si="34"/>
        <v>#NUM!</v>
      </c>
      <c r="BJ47">
        <f t="shared" si="51"/>
        <v>0</v>
      </c>
    </row>
    <row r="48" spans="1:62" x14ac:dyDescent="0.25">
      <c r="A48">
        <f t="shared" si="46"/>
        <v>37</v>
      </c>
      <c r="B48" s="1">
        <f t="shared" si="49"/>
        <v>4.7209899999999998E-8</v>
      </c>
      <c r="C48" s="1">
        <f t="shared" si="49"/>
        <v>1.09987E-3</v>
      </c>
      <c r="D48" s="1">
        <f t="shared" si="49"/>
        <v>1.7799999999999999E-6</v>
      </c>
      <c r="E48" s="1" t="e">
        <f t="shared" ca="1" si="2"/>
        <v>#NUM!</v>
      </c>
      <c r="F48" s="1" t="e">
        <f t="shared" ca="1" si="36"/>
        <v>#NUM!</v>
      </c>
      <c r="G48" s="1" t="e">
        <f t="shared" ca="1" si="47"/>
        <v>#NUM!</v>
      </c>
      <c r="H48" s="1" t="e">
        <f t="shared" ca="1" si="3"/>
        <v>#NUM!</v>
      </c>
      <c r="I48" s="1">
        <f t="shared" si="52"/>
        <v>2.6915348039269097E-8</v>
      </c>
      <c r="J48" s="1" t="e">
        <f t="shared" ca="1" si="5"/>
        <v>#NUM!</v>
      </c>
      <c r="K48" s="1" t="e">
        <f t="shared" ca="1" si="6"/>
        <v>#NUM!</v>
      </c>
      <c r="L48" s="1">
        <f t="shared" si="7"/>
        <v>3.7411058827205313E-7</v>
      </c>
      <c r="M48" s="1" t="e">
        <f t="shared" ca="1" si="8"/>
        <v>#NUM!</v>
      </c>
      <c r="N48" s="1" t="e">
        <f t="shared" ca="1" si="9"/>
        <v>#NUM!</v>
      </c>
      <c r="O48" s="1" t="e">
        <f t="shared" ca="1" si="10"/>
        <v>#NUM!</v>
      </c>
      <c r="P48" s="1" t="e">
        <f t="shared" ca="1" si="11"/>
        <v>#NUM!</v>
      </c>
      <c r="Q48" s="1" t="e">
        <f t="shared" ca="1" si="12"/>
        <v>#NUM!</v>
      </c>
      <c r="R48" s="1" t="e">
        <f t="shared" ca="1" si="13"/>
        <v>#NUM!</v>
      </c>
      <c r="S48" s="1" t="e">
        <f t="shared" ca="1" si="14"/>
        <v>#NUM!</v>
      </c>
      <c r="T48" s="1" t="e">
        <f t="shared" ca="1" si="50"/>
        <v>#NUM!</v>
      </c>
      <c r="U48" s="1" t="e">
        <f t="shared" ca="1" si="50"/>
        <v>#NUM!</v>
      </c>
      <c r="V48" s="1" t="e">
        <f t="shared" ca="1" si="50"/>
        <v>#NUM!</v>
      </c>
      <c r="W48" s="1" t="e">
        <f t="shared" ca="1" si="50"/>
        <v>#NUM!</v>
      </c>
      <c r="X48" s="1" t="e" cm="1">
        <f t="array" aca="1" ref="X48:AA48" ca="1">ABS(T48:W48/B48:E48)</f>
        <v>#NUM!</v>
      </c>
      <c r="Y48" s="1" t="e">
        <f ca="1"/>
        <v>#NUM!</v>
      </c>
      <c r="Z48" s="1" t="e">
        <f ca="1"/>
        <v>#NUM!</v>
      </c>
      <c r="AA48" s="1" t="e">
        <f ca="1"/>
        <v>#NUM!</v>
      </c>
      <c r="AB48" s="1" t="e" cm="1">
        <f t="array" aca="1" ref="AB48" ca="1">MAX(ABS(T48:W48/B48:E48))</f>
        <v>#NUM!</v>
      </c>
      <c r="AC48" s="1" t="e">
        <f t="shared" ca="1" si="16"/>
        <v>#NUM!</v>
      </c>
      <c r="AD48" s="1" t="e">
        <f t="shared" ca="1" si="17"/>
        <v>#NUM!</v>
      </c>
      <c r="AE48" s="1" t="e">
        <f t="shared" ca="1" si="18"/>
        <v>#NUM!</v>
      </c>
      <c r="AF48" t="e">
        <f t="shared" ca="1" si="19"/>
        <v>#NUM!</v>
      </c>
      <c r="AG48" t="e">
        <f t="shared" ca="1" si="20"/>
        <v>#NUM!</v>
      </c>
      <c r="AH48">
        <v>0</v>
      </c>
      <c r="AI48" s="1" t="e">
        <f t="shared" ca="1" si="21"/>
        <v>#NUM!</v>
      </c>
      <c r="AJ48">
        <f>0</f>
        <v>0</v>
      </c>
      <c r="AK48" s="1" t="e">
        <f t="shared" ca="1" si="22"/>
        <v>#NUM!</v>
      </c>
      <c r="AL48" s="16" t="e">
        <f t="shared" ca="1" si="23"/>
        <v>#NUM!</v>
      </c>
      <c r="AM48" s="16" t="e">
        <f t="shared" ca="1" si="24"/>
        <v>#NUM!</v>
      </c>
      <c r="AN48" s="13" t="e">
        <f t="shared" ca="1" si="25"/>
        <v>#NUM!</v>
      </c>
      <c r="AO48" s="16" t="e">
        <f t="shared" ca="1" si="26"/>
        <v>#NUM!</v>
      </c>
      <c r="AP48" s="16" t="e">
        <f t="shared" ca="1" si="27"/>
        <v>#NUM!</v>
      </c>
      <c r="AQ48" s="13">
        <f t="shared" si="28"/>
        <v>6.7608297539198143E-4</v>
      </c>
      <c r="AR48" s="13" t="e">
        <f t="shared" ca="1" si="29"/>
        <v>#NUM!</v>
      </c>
      <c r="AS48" s="1" t="e" cm="1">
        <f t="array" aca="1" ref="AS48:AU48" ca="1">TRANSPOSE(MMULT(MINVERSE(_xlfn.WRAPCOLS(AC48:AK48,3)),TRANSPOSE(T48:V48)))/$F$7:$H$7</f>
        <v>#NUM!</v>
      </c>
      <c r="AT48" s="1" t="e">
        <f ca="1"/>
        <v>#NUM!</v>
      </c>
      <c r="AU48" s="1" t="e">
        <f ca="1"/>
        <v>#NUM!</v>
      </c>
      <c r="AV48">
        <v>0</v>
      </c>
      <c r="AW48" t="e">
        <f t="shared" ca="1" si="53"/>
        <v>#NUM!</v>
      </c>
      <c r="AX48" t="e">
        <f t="shared" ca="1" si="37"/>
        <v>#NUM!</v>
      </c>
      <c r="AY48" t="e">
        <f t="shared" ca="1" si="54"/>
        <v>#NUM!</v>
      </c>
      <c r="AZ48" t="e">
        <f t="shared" ca="1" si="38"/>
        <v>#NUM!</v>
      </c>
      <c r="BA48" t="e">
        <f t="shared" ca="1" si="39"/>
        <v>#NUM!</v>
      </c>
      <c r="BB48" t="e">
        <f t="shared" ca="1" si="40"/>
        <v>#NUM!</v>
      </c>
      <c r="BC48" t="e">
        <f t="shared" ca="1" si="41"/>
        <v>#NUM!</v>
      </c>
      <c r="BD48" t="e">
        <f t="shared" ca="1" si="42"/>
        <v>#NUM!</v>
      </c>
      <c r="BE48" t="e">
        <f t="shared" ca="1" si="43"/>
        <v>#NUM!</v>
      </c>
      <c r="BF48" t="e">
        <f t="shared" ca="1" si="44"/>
        <v>#NUM!</v>
      </c>
      <c r="BG48" t="e">
        <f t="shared" ca="1" si="48"/>
        <v>#NUM!</v>
      </c>
      <c r="BH48" t="e">
        <f t="shared" ca="1" si="33"/>
        <v>#NUM!</v>
      </c>
      <c r="BI48" t="e">
        <f t="shared" ca="1" si="34"/>
        <v>#NUM!</v>
      </c>
      <c r="BJ48">
        <f t="shared" si="51"/>
        <v>0</v>
      </c>
    </row>
    <row r="49" spans="1:62" x14ac:dyDescent="0.25">
      <c r="A49">
        <f t="shared" si="46"/>
        <v>38</v>
      </c>
      <c r="B49" s="1">
        <f t="shared" si="49"/>
        <v>4.7209899999999998E-8</v>
      </c>
      <c r="C49" s="1">
        <f t="shared" si="49"/>
        <v>1.09987E-3</v>
      </c>
      <c r="D49" s="1">
        <f t="shared" si="49"/>
        <v>1.7799999999999999E-6</v>
      </c>
      <c r="E49" s="1" t="e">
        <f t="shared" ca="1" si="2"/>
        <v>#NUM!</v>
      </c>
      <c r="F49" s="1" t="e">
        <f t="shared" ca="1" si="36"/>
        <v>#NUM!</v>
      </c>
      <c r="G49" s="1" t="e">
        <f t="shared" ca="1" si="47"/>
        <v>#NUM!</v>
      </c>
      <c r="H49" s="1" t="e">
        <f t="shared" ca="1" si="3"/>
        <v>#NUM!</v>
      </c>
      <c r="I49" s="1">
        <f t="shared" si="52"/>
        <v>2.6915348039269097E-8</v>
      </c>
      <c r="J49" s="1" t="e">
        <f t="shared" ca="1" si="5"/>
        <v>#NUM!</v>
      </c>
      <c r="K49" s="1" t="e">
        <f t="shared" ca="1" si="6"/>
        <v>#NUM!</v>
      </c>
      <c r="L49" s="1">
        <f t="shared" si="7"/>
        <v>3.7411058827205313E-7</v>
      </c>
      <c r="M49" s="1" t="e">
        <f t="shared" ca="1" si="8"/>
        <v>#NUM!</v>
      </c>
      <c r="N49" s="1" t="e">
        <f t="shared" ca="1" si="9"/>
        <v>#NUM!</v>
      </c>
      <c r="O49" s="1" t="e">
        <f t="shared" ca="1" si="10"/>
        <v>#NUM!</v>
      </c>
      <c r="P49" s="1" t="e">
        <f t="shared" ca="1" si="11"/>
        <v>#NUM!</v>
      </c>
      <c r="Q49" s="1" t="e">
        <f t="shared" ca="1" si="12"/>
        <v>#NUM!</v>
      </c>
      <c r="R49" s="1" t="e">
        <f t="shared" ca="1" si="13"/>
        <v>#NUM!</v>
      </c>
      <c r="S49" s="1" t="e">
        <f t="shared" ca="1" si="14"/>
        <v>#NUM!</v>
      </c>
      <c r="T49" s="1" t="e">
        <f t="shared" ca="1" si="50"/>
        <v>#NUM!</v>
      </c>
      <c r="U49" s="1" t="e">
        <f t="shared" ca="1" si="50"/>
        <v>#NUM!</v>
      </c>
      <c r="V49" s="1" t="e">
        <f t="shared" ca="1" si="50"/>
        <v>#NUM!</v>
      </c>
      <c r="W49" s="1" t="e">
        <f t="shared" ca="1" si="50"/>
        <v>#NUM!</v>
      </c>
      <c r="X49" s="1" t="e" cm="1">
        <f t="array" aca="1" ref="X49:AA49" ca="1">ABS(T49:W49/B49:E49)</f>
        <v>#NUM!</v>
      </c>
      <c r="Y49" s="1" t="e">
        <f ca="1"/>
        <v>#NUM!</v>
      </c>
      <c r="Z49" s="1" t="e">
        <f ca="1"/>
        <v>#NUM!</v>
      </c>
      <c r="AA49" s="1" t="e">
        <f ca="1"/>
        <v>#NUM!</v>
      </c>
      <c r="AB49" s="1" t="e" cm="1">
        <f t="array" aca="1" ref="AB49" ca="1">MAX(ABS(T49:W49/B49:E49))</f>
        <v>#NUM!</v>
      </c>
      <c r="AC49" s="1" t="e">
        <f t="shared" ca="1" si="16"/>
        <v>#NUM!</v>
      </c>
      <c r="AD49" s="1" t="e">
        <f t="shared" ca="1" si="17"/>
        <v>#NUM!</v>
      </c>
      <c r="AE49" s="1" t="e">
        <f t="shared" ca="1" si="18"/>
        <v>#NUM!</v>
      </c>
      <c r="AF49" t="e">
        <f t="shared" ca="1" si="19"/>
        <v>#NUM!</v>
      </c>
      <c r="AG49" t="e">
        <f t="shared" ca="1" si="20"/>
        <v>#NUM!</v>
      </c>
      <c r="AH49">
        <v>0</v>
      </c>
      <c r="AI49" s="1" t="e">
        <f t="shared" ca="1" si="21"/>
        <v>#NUM!</v>
      </c>
      <c r="AJ49">
        <f>0</f>
        <v>0</v>
      </c>
      <c r="AK49" s="1" t="e">
        <f t="shared" ca="1" si="22"/>
        <v>#NUM!</v>
      </c>
      <c r="AL49" s="16" t="e">
        <f t="shared" ca="1" si="23"/>
        <v>#NUM!</v>
      </c>
      <c r="AM49" s="16" t="e">
        <f t="shared" ca="1" si="24"/>
        <v>#NUM!</v>
      </c>
      <c r="AN49" s="13" t="e">
        <f t="shared" ca="1" si="25"/>
        <v>#NUM!</v>
      </c>
      <c r="AO49" s="16" t="e">
        <f t="shared" ca="1" si="26"/>
        <v>#NUM!</v>
      </c>
      <c r="AP49" s="16" t="e">
        <f t="shared" ca="1" si="27"/>
        <v>#NUM!</v>
      </c>
      <c r="AQ49" s="13">
        <f t="shared" si="28"/>
        <v>6.7608297539198143E-4</v>
      </c>
      <c r="AR49" s="13" t="e">
        <f t="shared" ca="1" si="29"/>
        <v>#NUM!</v>
      </c>
      <c r="AS49" s="1" t="e" cm="1">
        <f t="array" aca="1" ref="AS49:AU49" ca="1">TRANSPOSE(MMULT(MINVERSE(_xlfn.WRAPCOLS(AC49:AK49,3)),TRANSPOSE(T49:V49)))/$F$7:$H$7</f>
        <v>#NUM!</v>
      </c>
      <c r="AT49" s="1" t="e">
        <f ca="1"/>
        <v>#NUM!</v>
      </c>
      <c r="AU49" s="1" t="e">
        <f ca="1"/>
        <v>#NUM!</v>
      </c>
      <c r="AV49">
        <v>0</v>
      </c>
      <c r="AW49" t="e">
        <f t="shared" ca="1" si="53"/>
        <v>#NUM!</v>
      </c>
      <c r="AX49" t="e">
        <f t="shared" ca="1" si="37"/>
        <v>#NUM!</v>
      </c>
      <c r="AY49" t="e">
        <f t="shared" ca="1" si="54"/>
        <v>#NUM!</v>
      </c>
      <c r="AZ49" t="e">
        <f t="shared" ca="1" si="38"/>
        <v>#NUM!</v>
      </c>
      <c r="BA49" t="e">
        <f t="shared" ca="1" si="39"/>
        <v>#NUM!</v>
      </c>
      <c r="BB49" t="e">
        <f t="shared" ca="1" si="40"/>
        <v>#NUM!</v>
      </c>
      <c r="BC49" t="e">
        <f t="shared" ca="1" si="41"/>
        <v>#NUM!</v>
      </c>
      <c r="BD49" t="e">
        <f t="shared" ca="1" si="42"/>
        <v>#NUM!</v>
      </c>
      <c r="BE49" t="e">
        <f t="shared" ca="1" si="43"/>
        <v>#NUM!</v>
      </c>
      <c r="BF49" t="e">
        <f t="shared" ca="1" si="44"/>
        <v>#NUM!</v>
      </c>
      <c r="BG49" t="e">
        <f t="shared" ca="1" si="48"/>
        <v>#NUM!</v>
      </c>
      <c r="BH49" t="e">
        <f t="shared" ca="1" si="33"/>
        <v>#NUM!</v>
      </c>
      <c r="BI49" t="e">
        <f t="shared" ca="1" si="34"/>
        <v>#NUM!</v>
      </c>
      <c r="BJ49">
        <f t="shared" si="51"/>
        <v>0</v>
      </c>
    </row>
    <row r="50" spans="1:62" x14ac:dyDescent="0.25">
      <c r="A50">
        <f t="shared" si="46"/>
        <v>39</v>
      </c>
      <c r="B50" s="1">
        <f t="shared" si="49"/>
        <v>4.7209899999999998E-8</v>
      </c>
      <c r="C50" s="1">
        <f t="shared" si="49"/>
        <v>1.09987E-3</v>
      </c>
      <c r="D50" s="1">
        <f t="shared" si="49"/>
        <v>1.7799999999999999E-6</v>
      </c>
      <c r="E50" s="1" t="e">
        <f t="shared" ca="1" si="2"/>
        <v>#NUM!</v>
      </c>
      <c r="F50" s="1" t="e">
        <f t="shared" ca="1" si="36"/>
        <v>#NUM!</v>
      </c>
      <c r="G50" s="1" t="e">
        <f t="shared" ca="1" si="47"/>
        <v>#NUM!</v>
      </c>
      <c r="H50" s="1" t="e">
        <f t="shared" ca="1" si="3"/>
        <v>#NUM!</v>
      </c>
      <c r="I50" s="1">
        <f t="shared" si="52"/>
        <v>2.6915348039269097E-8</v>
      </c>
      <c r="J50" s="1" t="e">
        <f t="shared" ca="1" si="5"/>
        <v>#NUM!</v>
      </c>
      <c r="K50" s="1" t="e">
        <f t="shared" ca="1" si="6"/>
        <v>#NUM!</v>
      </c>
      <c r="L50" s="1">
        <f t="shared" si="7"/>
        <v>3.7411058827205313E-7</v>
      </c>
      <c r="M50" s="1" t="e">
        <f t="shared" ca="1" si="8"/>
        <v>#NUM!</v>
      </c>
      <c r="N50" s="1" t="e">
        <f t="shared" ca="1" si="9"/>
        <v>#NUM!</v>
      </c>
      <c r="O50" s="1" t="e">
        <f t="shared" ca="1" si="10"/>
        <v>#NUM!</v>
      </c>
      <c r="P50" s="1" t="e">
        <f t="shared" ca="1" si="11"/>
        <v>#NUM!</v>
      </c>
      <c r="Q50" s="1" t="e">
        <f t="shared" ca="1" si="12"/>
        <v>#NUM!</v>
      </c>
      <c r="R50" s="1" t="e">
        <f t="shared" ca="1" si="13"/>
        <v>#NUM!</v>
      </c>
      <c r="S50" s="1" t="e">
        <f t="shared" ca="1" si="14"/>
        <v>#NUM!</v>
      </c>
      <c r="T50" s="1" t="e">
        <f t="shared" ca="1" si="50"/>
        <v>#NUM!</v>
      </c>
      <c r="U50" s="1" t="e">
        <f t="shared" ca="1" si="50"/>
        <v>#NUM!</v>
      </c>
      <c r="V50" s="1" t="e">
        <f t="shared" ca="1" si="50"/>
        <v>#NUM!</v>
      </c>
      <c r="W50" s="1" t="e">
        <f t="shared" ca="1" si="50"/>
        <v>#NUM!</v>
      </c>
      <c r="X50" s="1" t="e" cm="1">
        <f t="array" aca="1" ref="X50:AA50" ca="1">ABS(T50:W50/B50:E50)</f>
        <v>#NUM!</v>
      </c>
      <c r="Y50" s="1" t="e">
        <f ca="1"/>
        <v>#NUM!</v>
      </c>
      <c r="Z50" s="1" t="e">
        <f ca="1"/>
        <v>#NUM!</v>
      </c>
      <c r="AA50" s="1" t="e">
        <f ca="1"/>
        <v>#NUM!</v>
      </c>
      <c r="AB50" s="1" t="e" cm="1">
        <f t="array" aca="1" ref="AB50" ca="1">MAX(ABS(T50:W50/B50:E50))</f>
        <v>#NUM!</v>
      </c>
      <c r="AC50" s="1" t="e">
        <f t="shared" ca="1" si="16"/>
        <v>#NUM!</v>
      </c>
      <c r="AD50" s="1" t="e">
        <f t="shared" ca="1" si="17"/>
        <v>#NUM!</v>
      </c>
      <c r="AE50" s="1" t="e">
        <f t="shared" ca="1" si="18"/>
        <v>#NUM!</v>
      </c>
      <c r="AF50" t="e">
        <f t="shared" ca="1" si="19"/>
        <v>#NUM!</v>
      </c>
      <c r="AG50" t="e">
        <f t="shared" ca="1" si="20"/>
        <v>#NUM!</v>
      </c>
      <c r="AH50">
        <v>0</v>
      </c>
      <c r="AI50" s="1" t="e">
        <f t="shared" ca="1" si="21"/>
        <v>#NUM!</v>
      </c>
      <c r="AJ50">
        <f>0</f>
        <v>0</v>
      </c>
      <c r="AK50" s="1" t="e">
        <f t="shared" ca="1" si="22"/>
        <v>#NUM!</v>
      </c>
      <c r="AL50" s="16" t="e">
        <f t="shared" ca="1" si="23"/>
        <v>#NUM!</v>
      </c>
      <c r="AM50" s="16" t="e">
        <f t="shared" ca="1" si="24"/>
        <v>#NUM!</v>
      </c>
      <c r="AN50" s="13" t="e">
        <f t="shared" ca="1" si="25"/>
        <v>#NUM!</v>
      </c>
      <c r="AO50" s="16" t="e">
        <f t="shared" ca="1" si="26"/>
        <v>#NUM!</v>
      </c>
      <c r="AP50" s="16" t="e">
        <f t="shared" ca="1" si="27"/>
        <v>#NUM!</v>
      </c>
      <c r="AQ50" s="13">
        <f t="shared" si="28"/>
        <v>6.7608297539198143E-4</v>
      </c>
      <c r="AR50" s="13" t="e">
        <f t="shared" ca="1" si="29"/>
        <v>#NUM!</v>
      </c>
      <c r="AS50" s="1" t="e" cm="1">
        <f t="array" aca="1" ref="AS50:AU50" ca="1">TRANSPOSE(MMULT(MINVERSE(_xlfn.WRAPCOLS(AC50:AK50,3)),TRANSPOSE(T50:V50)))/$F$7:$H$7</f>
        <v>#NUM!</v>
      </c>
      <c r="AT50" s="1" t="e">
        <f ca="1"/>
        <v>#NUM!</v>
      </c>
      <c r="AU50" s="1" t="e">
        <f ca="1"/>
        <v>#NUM!</v>
      </c>
      <c r="AV50">
        <v>0</v>
      </c>
      <c r="AW50" t="e">
        <f t="shared" ca="1" si="53"/>
        <v>#NUM!</v>
      </c>
      <c r="AX50" t="e">
        <f t="shared" ca="1" si="37"/>
        <v>#NUM!</v>
      </c>
      <c r="AY50" t="e">
        <f t="shared" ca="1" si="54"/>
        <v>#NUM!</v>
      </c>
      <c r="AZ50" t="e">
        <f t="shared" ca="1" si="38"/>
        <v>#NUM!</v>
      </c>
      <c r="BA50" t="e">
        <f t="shared" ca="1" si="39"/>
        <v>#NUM!</v>
      </c>
      <c r="BB50" t="e">
        <f t="shared" ca="1" si="40"/>
        <v>#NUM!</v>
      </c>
      <c r="BC50" t="e">
        <f t="shared" ca="1" si="41"/>
        <v>#NUM!</v>
      </c>
      <c r="BD50" t="e">
        <f t="shared" ca="1" si="42"/>
        <v>#NUM!</v>
      </c>
      <c r="BE50" t="e">
        <f t="shared" ca="1" si="43"/>
        <v>#NUM!</v>
      </c>
      <c r="BF50" t="e">
        <f t="shared" ca="1" si="44"/>
        <v>#NUM!</v>
      </c>
      <c r="BG50" t="e">
        <f t="shared" ca="1" si="48"/>
        <v>#NUM!</v>
      </c>
      <c r="BH50" t="e">
        <f t="shared" ca="1" si="33"/>
        <v>#NUM!</v>
      </c>
      <c r="BI50" t="e">
        <f t="shared" ca="1" si="34"/>
        <v>#NUM!</v>
      </c>
      <c r="BJ50">
        <f t="shared" si="51"/>
        <v>0</v>
      </c>
    </row>
    <row r="51" spans="1:62" x14ac:dyDescent="0.25">
      <c r="A51">
        <f t="shared" si="46"/>
        <v>40</v>
      </c>
      <c r="B51" s="1">
        <f t="shared" si="49"/>
        <v>4.7209899999999998E-8</v>
      </c>
      <c r="C51" s="1">
        <f t="shared" si="49"/>
        <v>1.09987E-3</v>
      </c>
      <c r="D51" s="1">
        <f t="shared" si="49"/>
        <v>1.7799999999999999E-6</v>
      </c>
      <c r="E51" s="1" t="e">
        <f t="shared" ca="1" si="2"/>
        <v>#NUM!</v>
      </c>
      <c r="F51" s="1" t="e">
        <f t="shared" ca="1" si="36"/>
        <v>#NUM!</v>
      </c>
      <c r="G51" s="1" t="e">
        <f t="shared" ca="1" si="47"/>
        <v>#NUM!</v>
      </c>
      <c r="H51" s="1" t="e">
        <f t="shared" ca="1" si="3"/>
        <v>#NUM!</v>
      </c>
      <c r="I51" s="1">
        <f t="shared" si="52"/>
        <v>2.6915348039269097E-8</v>
      </c>
      <c r="J51" s="1" t="e">
        <f t="shared" ca="1" si="5"/>
        <v>#NUM!</v>
      </c>
      <c r="K51" s="1" t="e">
        <f t="shared" ca="1" si="6"/>
        <v>#NUM!</v>
      </c>
      <c r="L51" s="1">
        <f t="shared" si="7"/>
        <v>3.7411058827205313E-7</v>
      </c>
      <c r="M51" s="1" t="e">
        <f t="shared" ca="1" si="8"/>
        <v>#NUM!</v>
      </c>
      <c r="N51" s="1" t="e">
        <f t="shared" ca="1" si="9"/>
        <v>#NUM!</v>
      </c>
      <c r="O51" s="1" t="e">
        <f t="shared" ca="1" si="10"/>
        <v>#NUM!</v>
      </c>
      <c r="P51" s="1" t="e">
        <f t="shared" ca="1" si="11"/>
        <v>#NUM!</v>
      </c>
      <c r="Q51" s="1" t="e">
        <f t="shared" ca="1" si="12"/>
        <v>#NUM!</v>
      </c>
      <c r="R51" s="1" t="e">
        <f t="shared" ca="1" si="13"/>
        <v>#NUM!</v>
      </c>
      <c r="S51" s="1" t="e">
        <f t="shared" ca="1" si="14"/>
        <v>#NUM!</v>
      </c>
      <c r="T51" s="1" t="e">
        <f t="shared" ca="1" si="50"/>
        <v>#NUM!</v>
      </c>
      <c r="U51" s="1" t="e">
        <f t="shared" ca="1" si="50"/>
        <v>#NUM!</v>
      </c>
      <c r="V51" s="1" t="e">
        <f t="shared" ca="1" si="50"/>
        <v>#NUM!</v>
      </c>
      <c r="W51" s="1" t="e">
        <f t="shared" ca="1" si="50"/>
        <v>#NUM!</v>
      </c>
      <c r="X51" s="1" t="e" cm="1">
        <f t="array" aca="1" ref="X51:AA51" ca="1">ABS(T51:W51/B51:E51)</f>
        <v>#NUM!</v>
      </c>
      <c r="Y51" s="1" t="e">
        <f ca="1"/>
        <v>#NUM!</v>
      </c>
      <c r="Z51" s="1" t="e">
        <f ca="1"/>
        <v>#NUM!</v>
      </c>
      <c r="AA51" s="1" t="e">
        <f ca="1"/>
        <v>#NUM!</v>
      </c>
      <c r="AB51" s="1" t="e" cm="1">
        <f t="array" aca="1" ref="AB51" ca="1">MAX(ABS(T51:W51/B51:E51))</f>
        <v>#NUM!</v>
      </c>
      <c r="AC51" s="1" t="e">
        <f t="shared" ca="1" si="16"/>
        <v>#NUM!</v>
      </c>
      <c r="AD51" s="1" t="e">
        <f t="shared" ca="1" si="17"/>
        <v>#NUM!</v>
      </c>
      <c r="AE51" s="1" t="e">
        <f t="shared" ca="1" si="18"/>
        <v>#NUM!</v>
      </c>
      <c r="AF51" t="e">
        <f t="shared" ca="1" si="19"/>
        <v>#NUM!</v>
      </c>
      <c r="AG51" t="e">
        <f t="shared" ca="1" si="20"/>
        <v>#NUM!</v>
      </c>
      <c r="AH51">
        <v>0</v>
      </c>
      <c r="AI51" s="1" t="e">
        <f t="shared" ca="1" si="21"/>
        <v>#NUM!</v>
      </c>
      <c r="AJ51">
        <f>0</f>
        <v>0</v>
      </c>
      <c r="AK51" s="1" t="e">
        <f t="shared" ca="1" si="22"/>
        <v>#NUM!</v>
      </c>
      <c r="AL51" s="16" t="e">
        <f t="shared" ca="1" si="23"/>
        <v>#NUM!</v>
      </c>
      <c r="AM51" s="16" t="e">
        <f t="shared" ca="1" si="24"/>
        <v>#NUM!</v>
      </c>
      <c r="AN51" s="13" t="e">
        <f t="shared" ca="1" si="25"/>
        <v>#NUM!</v>
      </c>
      <c r="AO51" s="16" t="e">
        <f t="shared" ca="1" si="26"/>
        <v>#NUM!</v>
      </c>
      <c r="AP51" s="16" t="e">
        <f t="shared" ca="1" si="27"/>
        <v>#NUM!</v>
      </c>
      <c r="AQ51" s="13">
        <f t="shared" si="28"/>
        <v>6.7608297539198143E-4</v>
      </c>
      <c r="AR51" s="13" t="e">
        <f t="shared" ca="1" si="29"/>
        <v>#NUM!</v>
      </c>
      <c r="AS51" s="1" t="e" cm="1">
        <f t="array" aca="1" ref="AS51:AU51" ca="1">TRANSPOSE(MMULT(MINVERSE(_xlfn.WRAPCOLS(AC51:AK51,3)),TRANSPOSE(T51:V51)))/$F$7:$H$7</f>
        <v>#NUM!</v>
      </c>
      <c r="AT51" s="1" t="e">
        <f ca="1"/>
        <v>#NUM!</v>
      </c>
      <c r="AU51" s="1" t="e">
        <f ca="1"/>
        <v>#NUM!</v>
      </c>
      <c r="AV51">
        <v>0</v>
      </c>
      <c r="AW51" t="e">
        <f t="shared" ca="1" si="53"/>
        <v>#NUM!</v>
      </c>
      <c r="AX51" t="e">
        <f t="shared" ca="1" si="37"/>
        <v>#NUM!</v>
      </c>
      <c r="AY51" t="e">
        <f t="shared" ca="1" si="54"/>
        <v>#NUM!</v>
      </c>
      <c r="AZ51" t="e">
        <f t="shared" ca="1" si="38"/>
        <v>#NUM!</v>
      </c>
      <c r="BA51" t="e">
        <f t="shared" ca="1" si="39"/>
        <v>#NUM!</v>
      </c>
      <c r="BB51" t="e">
        <f t="shared" ca="1" si="40"/>
        <v>#NUM!</v>
      </c>
      <c r="BC51" t="e">
        <f t="shared" ca="1" si="41"/>
        <v>#NUM!</v>
      </c>
      <c r="BD51" t="e">
        <f t="shared" ca="1" si="42"/>
        <v>#NUM!</v>
      </c>
      <c r="BE51" t="e">
        <f t="shared" ca="1" si="43"/>
        <v>#NUM!</v>
      </c>
      <c r="BF51" t="e">
        <f t="shared" ca="1" si="44"/>
        <v>#NUM!</v>
      </c>
      <c r="BG51" t="e">
        <f t="shared" ca="1" si="48"/>
        <v>#NUM!</v>
      </c>
      <c r="BH51" t="e">
        <f t="shared" ca="1" si="33"/>
        <v>#NUM!</v>
      </c>
      <c r="BI51" t="e">
        <f t="shared" ca="1" si="34"/>
        <v>#NUM!</v>
      </c>
      <c r="BJ51">
        <f t="shared" si="51"/>
        <v>0</v>
      </c>
    </row>
    <row r="52" spans="1:62" x14ac:dyDescent="0.25">
      <c r="A52">
        <f t="shared" si="46"/>
        <v>41</v>
      </c>
      <c r="B52" s="1">
        <f t="shared" si="49"/>
        <v>4.7209899999999998E-8</v>
      </c>
      <c r="C52" s="1">
        <f t="shared" si="49"/>
        <v>1.09987E-3</v>
      </c>
      <c r="D52" s="1">
        <f t="shared" si="49"/>
        <v>1.7799999999999999E-6</v>
      </c>
      <c r="E52" s="1" t="e">
        <f t="shared" ca="1" si="2"/>
        <v>#NUM!</v>
      </c>
      <c r="F52" s="1" t="e">
        <f t="shared" ca="1" si="36"/>
        <v>#NUM!</v>
      </c>
      <c r="G52" s="1" t="e">
        <f t="shared" ca="1" si="47"/>
        <v>#NUM!</v>
      </c>
      <c r="H52" s="1" t="e">
        <f t="shared" ca="1" si="3"/>
        <v>#NUM!</v>
      </c>
      <c r="I52" s="1">
        <f t="shared" si="52"/>
        <v>2.6915348039269097E-8</v>
      </c>
      <c r="J52" s="1" t="e">
        <f t="shared" ca="1" si="5"/>
        <v>#NUM!</v>
      </c>
      <c r="K52" s="1" t="e">
        <f t="shared" ca="1" si="6"/>
        <v>#NUM!</v>
      </c>
      <c r="L52" s="1">
        <f t="shared" si="7"/>
        <v>3.7411058827205313E-7</v>
      </c>
      <c r="M52" s="1" t="e">
        <f t="shared" ca="1" si="8"/>
        <v>#NUM!</v>
      </c>
      <c r="N52" s="1" t="e">
        <f t="shared" ca="1" si="9"/>
        <v>#NUM!</v>
      </c>
      <c r="O52" s="1" t="e">
        <f t="shared" ca="1" si="10"/>
        <v>#NUM!</v>
      </c>
      <c r="P52" s="1" t="e">
        <f t="shared" ca="1" si="11"/>
        <v>#NUM!</v>
      </c>
      <c r="Q52" s="1" t="e">
        <f t="shared" ca="1" si="12"/>
        <v>#NUM!</v>
      </c>
      <c r="R52" s="1" t="e">
        <f t="shared" ca="1" si="13"/>
        <v>#NUM!</v>
      </c>
      <c r="S52" s="1" t="e">
        <f t="shared" ca="1" si="14"/>
        <v>#NUM!</v>
      </c>
      <c r="T52" s="1" t="e">
        <f t="shared" ca="1" si="50"/>
        <v>#NUM!</v>
      </c>
      <c r="U52" s="1" t="e">
        <f t="shared" ca="1" si="50"/>
        <v>#NUM!</v>
      </c>
      <c r="V52" s="1" t="e">
        <f t="shared" ca="1" si="50"/>
        <v>#NUM!</v>
      </c>
      <c r="W52" s="1" t="e">
        <f t="shared" ca="1" si="50"/>
        <v>#NUM!</v>
      </c>
      <c r="X52" s="1" t="e" cm="1">
        <f t="array" aca="1" ref="X52:AA52" ca="1">ABS(T52:W52/B52:E52)</f>
        <v>#NUM!</v>
      </c>
      <c r="Y52" s="1" t="e">
        <f ca="1"/>
        <v>#NUM!</v>
      </c>
      <c r="Z52" s="1" t="e">
        <f ca="1"/>
        <v>#NUM!</v>
      </c>
      <c r="AA52" s="1" t="e">
        <f ca="1"/>
        <v>#NUM!</v>
      </c>
      <c r="AB52" s="1" t="e" cm="1">
        <f t="array" aca="1" ref="AB52" ca="1">MAX(ABS(T52:W52/B52:E52))</f>
        <v>#NUM!</v>
      </c>
      <c r="AC52" s="1" t="e">
        <f t="shared" ca="1" si="16"/>
        <v>#NUM!</v>
      </c>
      <c r="AD52" s="1" t="e">
        <f t="shared" ca="1" si="17"/>
        <v>#NUM!</v>
      </c>
      <c r="AE52" s="1" t="e">
        <f t="shared" ca="1" si="18"/>
        <v>#NUM!</v>
      </c>
      <c r="AF52" t="e">
        <f t="shared" ca="1" si="19"/>
        <v>#NUM!</v>
      </c>
      <c r="AG52" t="e">
        <f t="shared" ca="1" si="20"/>
        <v>#NUM!</v>
      </c>
      <c r="AH52">
        <v>0</v>
      </c>
      <c r="AI52" s="1" t="e">
        <f t="shared" ca="1" si="21"/>
        <v>#NUM!</v>
      </c>
      <c r="AJ52">
        <f>0</f>
        <v>0</v>
      </c>
      <c r="AK52" s="1" t="e">
        <f t="shared" ca="1" si="22"/>
        <v>#NUM!</v>
      </c>
      <c r="AL52" s="16" t="e">
        <f t="shared" ca="1" si="23"/>
        <v>#NUM!</v>
      </c>
      <c r="AM52" s="16" t="e">
        <f t="shared" ca="1" si="24"/>
        <v>#NUM!</v>
      </c>
      <c r="AN52" s="13" t="e">
        <f t="shared" ca="1" si="25"/>
        <v>#NUM!</v>
      </c>
      <c r="AO52" s="16" t="e">
        <f t="shared" ca="1" si="26"/>
        <v>#NUM!</v>
      </c>
      <c r="AP52" s="16" t="e">
        <f t="shared" ca="1" si="27"/>
        <v>#NUM!</v>
      </c>
      <c r="AQ52" s="13">
        <f t="shared" si="28"/>
        <v>6.7608297539198143E-4</v>
      </c>
      <c r="AR52" s="13" t="e">
        <f t="shared" ca="1" si="29"/>
        <v>#NUM!</v>
      </c>
      <c r="AS52" s="1" t="e" cm="1">
        <f t="array" aca="1" ref="AS52:AU52" ca="1">TRANSPOSE(MMULT(MINVERSE(_xlfn.WRAPCOLS(AC52:AK52,3)),TRANSPOSE(T52:V52)))/$F$7:$H$7</f>
        <v>#NUM!</v>
      </c>
      <c r="AT52" s="1" t="e">
        <f ca="1"/>
        <v>#NUM!</v>
      </c>
      <c r="AU52" s="1" t="e">
        <f ca="1"/>
        <v>#NUM!</v>
      </c>
      <c r="AV52">
        <v>0</v>
      </c>
      <c r="AW52" t="e">
        <f t="shared" ca="1" si="53"/>
        <v>#NUM!</v>
      </c>
      <c r="AX52" t="e">
        <f t="shared" ca="1" si="37"/>
        <v>#NUM!</v>
      </c>
      <c r="AY52" t="e">
        <f t="shared" ca="1" si="54"/>
        <v>#NUM!</v>
      </c>
      <c r="AZ52" t="e">
        <f t="shared" ca="1" si="38"/>
        <v>#NUM!</v>
      </c>
      <c r="BA52" t="e">
        <f t="shared" ca="1" si="39"/>
        <v>#NUM!</v>
      </c>
      <c r="BB52" t="e">
        <f t="shared" ca="1" si="40"/>
        <v>#NUM!</v>
      </c>
      <c r="BC52" t="e">
        <f t="shared" ca="1" si="41"/>
        <v>#NUM!</v>
      </c>
      <c r="BD52" t="e">
        <f t="shared" ca="1" si="42"/>
        <v>#NUM!</v>
      </c>
      <c r="BE52" t="e">
        <f t="shared" ca="1" si="43"/>
        <v>#NUM!</v>
      </c>
      <c r="BF52" t="e">
        <f t="shared" ca="1" si="44"/>
        <v>#NUM!</v>
      </c>
      <c r="BG52" t="e">
        <f t="shared" ca="1" si="48"/>
        <v>#NUM!</v>
      </c>
      <c r="BH52" t="e">
        <f t="shared" ca="1" si="33"/>
        <v>#NUM!</v>
      </c>
      <c r="BI52" t="e">
        <f t="shared" ca="1" si="34"/>
        <v>#NUM!</v>
      </c>
      <c r="BJ52">
        <f t="shared" si="51"/>
        <v>0</v>
      </c>
    </row>
    <row r="53" spans="1:62" x14ac:dyDescent="0.25">
      <c r="A53">
        <f t="shared" si="46"/>
        <v>42</v>
      </c>
      <c r="B53" s="1">
        <f t="shared" si="49"/>
        <v>4.7209899999999998E-8</v>
      </c>
      <c r="C53" s="1">
        <f t="shared" si="49"/>
        <v>1.09987E-3</v>
      </c>
      <c r="D53" s="1">
        <f t="shared" si="49"/>
        <v>1.7799999999999999E-6</v>
      </c>
      <c r="E53" s="1" t="e">
        <f t="shared" ca="1" si="2"/>
        <v>#NUM!</v>
      </c>
      <c r="F53" s="1" t="e">
        <f t="shared" ca="1" si="36"/>
        <v>#NUM!</v>
      </c>
      <c r="G53" s="1" t="e">
        <f t="shared" ca="1" si="47"/>
        <v>#NUM!</v>
      </c>
      <c r="H53" s="1" t="e">
        <f t="shared" ca="1" si="3"/>
        <v>#NUM!</v>
      </c>
      <c r="I53" s="1">
        <f t="shared" si="52"/>
        <v>2.6915348039269097E-8</v>
      </c>
      <c r="J53" s="1" t="e">
        <f t="shared" ca="1" si="5"/>
        <v>#NUM!</v>
      </c>
      <c r="K53" s="1" t="e">
        <f t="shared" ca="1" si="6"/>
        <v>#NUM!</v>
      </c>
      <c r="L53" s="1">
        <f t="shared" si="7"/>
        <v>3.7411058827205313E-7</v>
      </c>
      <c r="M53" s="1" t="e">
        <f t="shared" ca="1" si="8"/>
        <v>#NUM!</v>
      </c>
      <c r="N53" s="1" t="e">
        <f t="shared" ca="1" si="9"/>
        <v>#NUM!</v>
      </c>
      <c r="O53" s="1" t="e">
        <f t="shared" ca="1" si="10"/>
        <v>#NUM!</v>
      </c>
      <c r="P53" s="1" t="e">
        <f t="shared" ca="1" si="11"/>
        <v>#NUM!</v>
      </c>
      <c r="Q53" s="1" t="e">
        <f t="shared" ca="1" si="12"/>
        <v>#NUM!</v>
      </c>
      <c r="R53" s="1" t="e">
        <f t="shared" ca="1" si="13"/>
        <v>#NUM!</v>
      </c>
      <c r="S53" s="1" t="e">
        <f t="shared" ca="1" si="14"/>
        <v>#NUM!</v>
      </c>
      <c r="T53" s="1" t="e">
        <f t="shared" ca="1" si="50"/>
        <v>#NUM!</v>
      </c>
      <c r="U53" s="1" t="e">
        <f t="shared" ca="1" si="50"/>
        <v>#NUM!</v>
      </c>
      <c r="V53" s="1" t="e">
        <f t="shared" ca="1" si="50"/>
        <v>#NUM!</v>
      </c>
      <c r="W53" s="1" t="e">
        <f t="shared" ca="1" si="50"/>
        <v>#NUM!</v>
      </c>
      <c r="X53" s="1" t="e" cm="1">
        <f t="array" aca="1" ref="X53:AA53" ca="1">ABS(T53:W53/B53:E53)</f>
        <v>#NUM!</v>
      </c>
      <c r="Y53" s="1" t="e">
        <f ca="1"/>
        <v>#NUM!</v>
      </c>
      <c r="Z53" s="1" t="e">
        <f ca="1"/>
        <v>#NUM!</v>
      </c>
      <c r="AA53" s="1" t="e">
        <f ca="1"/>
        <v>#NUM!</v>
      </c>
      <c r="AB53" s="1" t="e" cm="1">
        <f t="array" aca="1" ref="AB53" ca="1">MAX(ABS(T53:W53/B53:E53))</f>
        <v>#NUM!</v>
      </c>
      <c r="AC53" s="1" t="e">
        <f t="shared" ca="1" si="16"/>
        <v>#NUM!</v>
      </c>
      <c r="AD53" s="1" t="e">
        <f t="shared" ca="1" si="17"/>
        <v>#NUM!</v>
      </c>
      <c r="AE53" s="1" t="e">
        <f t="shared" ca="1" si="18"/>
        <v>#NUM!</v>
      </c>
      <c r="AF53" t="e">
        <f t="shared" ca="1" si="19"/>
        <v>#NUM!</v>
      </c>
      <c r="AG53" t="e">
        <f t="shared" ca="1" si="20"/>
        <v>#NUM!</v>
      </c>
      <c r="AH53">
        <v>0</v>
      </c>
      <c r="AI53" s="1" t="e">
        <f t="shared" ca="1" si="21"/>
        <v>#NUM!</v>
      </c>
      <c r="AJ53">
        <f>0</f>
        <v>0</v>
      </c>
      <c r="AK53" s="1" t="e">
        <f t="shared" ca="1" si="22"/>
        <v>#NUM!</v>
      </c>
      <c r="AL53" s="16" t="e">
        <f t="shared" ca="1" si="23"/>
        <v>#NUM!</v>
      </c>
      <c r="AM53" s="16" t="e">
        <f t="shared" ca="1" si="24"/>
        <v>#NUM!</v>
      </c>
      <c r="AN53" s="13" t="e">
        <f t="shared" ca="1" si="25"/>
        <v>#NUM!</v>
      </c>
      <c r="AO53" s="16" t="e">
        <f t="shared" ca="1" si="26"/>
        <v>#NUM!</v>
      </c>
      <c r="AP53" s="16" t="e">
        <f t="shared" ca="1" si="27"/>
        <v>#NUM!</v>
      </c>
      <c r="AQ53" s="13">
        <f t="shared" si="28"/>
        <v>6.7608297539198143E-4</v>
      </c>
      <c r="AR53" s="13" t="e">
        <f t="shared" ca="1" si="29"/>
        <v>#NUM!</v>
      </c>
      <c r="AS53" s="1" t="e" cm="1">
        <f t="array" aca="1" ref="AS53:AU53" ca="1">TRANSPOSE(MMULT(MINVERSE(_xlfn.WRAPCOLS(AC53:AK53,3)),TRANSPOSE(T53:V53)))/$F$7:$H$7</f>
        <v>#NUM!</v>
      </c>
      <c r="AT53" s="1" t="e">
        <f ca="1"/>
        <v>#NUM!</v>
      </c>
      <c r="AU53" s="1" t="e">
        <f ca="1"/>
        <v>#NUM!</v>
      </c>
      <c r="AV53">
        <v>0</v>
      </c>
      <c r="AW53" t="e">
        <f t="shared" ca="1" si="53"/>
        <v>#NUM!</v>
      </c>
      <c r="AX53" t="e">
        <f t="shared" ca="1" si="37"/>
        <v>#NUM!</v>
      </c>
      <c r="AY53" t="e">
        <f t="shared" ca="1" si="54"/>
        <v>#NUM!</v>
      </c>
      <c r="AZ53" t="e">
        <f t="shared" ca="1" si="38"/>
        <v>#NUM!</v>
      </c>
      <c r="BA53" t="e">
        <f t="shared" ca="1" si="39"/>
        <v>#NUM!</v>
      </c>
      <c r="BB53" t="e">
        <f t="shared" ca="1" si="40"/>
        <v>#NUM!</v>
      </c>
      <c r="BC53" t="e">
        <f t="shared" ca="1" si="41"/>
        <v>#NUM!</v>
      </c>
      <c r="BD53" t="e">
        <f t="shared" ca="1" si="42"/>
        <v>#NUM!</v>
      </c>
      <c r="BE53" t="e">
        <f t="shared" ca="1" si="43"/>
        <v>#NUM!</v>
      </c>
      <c r="BF53" t="e">
        <f t="shared" ca="1" si="44"/>
        <v>#NUM!</v>
      </c>
      <c r="BG53" t="e">
        <f t="shared" ca="1" si="48"/>
        <v>#NUM!</v>
      </c>
      <c r="BH53" t="e">
        <f t="shared" ca="1" si="33"/>
        <v>#NUM!</v>
      </c>
      <c r="BI53" t="e">
        <f t="shared" ca="1" si="34"/>
        <v>#NUM!</v>
      </c>
      <c r="BJ53">
        <f t="shared" si="51"/>
        <v>0</v>
      </c>
    </row>
    <row r="54" spans="1:62" x14ac:dyDescent="0.25">
      <c r="A54">
        <f t="shared" si="46"/>
        <v>43</v>
      </c>
      <c r="B54" s="1">
        <f t="shared" si="49"/>
        <v>4.7209899999999998E-8</v>
      </c>
      <c r="C54" s="1">
        <f t="shared" si="49"/>
        <v>1.09987E-3</v>
      </c>
      <c r="D54" s="1">
        <f t="shared" si="49"/>
        <v>1.7799999999999999E-6</v>
      </c>
      <c r="E54" s="1" t="e">
        <f t="shared" ca="1" si="2"/>
        <v>#NUM!</v>
      </c>
      <c r="F54" s="1" t="e">
        <f t="shared" ca="1" si="36"/>
        <v>#NUM!</v>
      </c>
      <c r="G54" s="1" t="e">
        <f t="shared" ca="1" si="47"/>
        <v>#NUM!</v>
      </c>
      <c r="H54" s="1" t="e">
        <f t="shared" ca="1" si="3"/>
        <v>#NUM!</v>
      </c>
      <c r="I54" s="1">
        <f t="shared" si="52"/>
        <v>2.6915348039269097E-8</v>
      </c>
      <c r="J54" s="1" t="e">
        <f t="shared" ca="1" si="5"/>
        <v>#NUM!</v>
      </c>
      <c r="K54" s="1" t="e">
        <f t="shared" ca="1" si="6"/>
        <v>#NUM!</v>
      </c>
      <c r="L54" s="1">
        <f t="shared" si="7"/>
        <v>3.7411058827205313E-7</v>
      </c>
      <c r="M54" s="1" t="e">
        <f t="shared" ca="1" si="8"/>
        <v>#NUM!</v>
      </c>
      <c r="N54" s="1" t="e">
        <f t="shared" ca="1" si="9"/>
        <v>#NUM!</v>
      </c>
      <c r="O54" s="1" t="e">
        <f t="shared" ca="1" si="10"/>
        <v>#NUM!</v>
      </c>
      <c r="P54" s="1" t="e">
        <f t="shared" ca="1" si="11"/>
        <v>#NUM!</v>
      </c>
      <c r="Q54" s="1" t="e">
        <f t="shared" ca="1" si="12"/>
        <v>#NUM!</v>
      </c>
      <c r="R54" s="1" t="e">
        <f t="shared" ca="1" si="13"/>
        <v>#NUM!</v>
      </c>
      <c r="S54" s="1" t="e">
        <f t="shared" ca="1" si="14"/>
        <v>#NUM!</v>
      </c>
      <c r="T54" s="1" t="e">
        <f t="shared" ca="1" si="50"/>
        <v>#NUM!</v>
      </c>
      <c r="U54" s="1" t="e">
        <f t="shared" ca="1" si="50"/>
        <v>#NUM!</v>
      </c>
      <c r="V54" s="1" t="e">
        <f t="shared" ca="1" si="50"/>
        <v>#NUM!</v>
      </c>
      <c r="W54" s="1" t="e">
        <f t="shared" ca="1" si="50"/>
        <v>#NUM!</v>
      </c>
      <c r="X54" s="1" t="e" cm="1">
        <f t="array" aca="1" ref="X54:AA54" ca="1">ABS(T54:W54/B54:E54)</f>
        <v>#NUM!</v>
      </c>
      <c r="Y54" s="1" t="e">
        <f ca="1"/>
        <v>#NUM!</v>
      </c>
      <c r="Z54" s="1" t="e">
        <f ca="1"/>
        <v>#NUM!</v>
      </c>
      <c r="AA54" s="1" t="e">
        <f ca="1"/>
        <v>#NUM!</v>
      </c>
      <c r="AB54" s="1" t="e" cm="1">
        <f t="array" aca="1" ref="AB54" ca="1">MAX(ABS(T54:W54/B54:E54))</f>
        <v>#NUM!</v>
      </c>
      <c r="AC54" s="1" t="e">
        <f t="shared" ca="1" si="16"/>
        <v>#NUM!</v>
      </c>
      <c r="AD54" s="1" t="e">
        <f t="shared" ca="1" si="17"/>
        <v>#NUM!</v>
      </c>
      <c r="AE54" s="1" t="e">
        <f t="shared" ca="1" si="18"/>
        <v>#NUM!</v>
      </c>
      <c r="AF54" t="e">
        <f t="shared" ca="1" si="19"/>
        <v>#NUM!</v>
      </c>
      <c r="AG54" t="e">
        <f t="shared" ca="1" si="20"/>
        <v>#NUM!</v>
      </c>
      <c r="AH54">
        <v>0</v>
      </c>
      <c r="AI54" s="1" t="e">
        <f t="shared" ca="1" si="21"/>
        <v>#NUM!</v>
      </c>
      <c r="AJ54">
        <f>0</f>
        <v>0</v>
      </c>
      <c r="AK54" s="1" t="e">
        <f t="shared" ca="1" si="22"/>
        <v>#NUM!</v>
      </c>
      <c r="AL54" s="16" t="e">
        <f t="shared" ca="1" si="23"/>
        <v>#NUM!</v>
      </c>
      <c r="AM54" s="16" t="e">
        <f t="shared" ca="1" si="24"/>
        <v>#NUM!</v>
      </c>
      <c r="AN54" s="13" t="e">
        <f t="shared" ca="1" si="25"/>
        <v>#NUM!</v>
      </c>
      <c r="AO54" s="16" t="e">
        <f t="shared" ca="1" si="26"/>
        <v>#NUM!</v>
      </c>
      <c r="AP54" s="16" t="e">
        <f t="shared" ca="1" si="27"/>
        <v>#NUM!</v>
      </c>
      <c r="AQ54" s="13">
        <f t="shared" si="28"/>
        <v>6.7608297539198143E-4</v>
      </c>
      <c r="AR54" s="13" t="e">
        <f t="shared" ca="1" si="29"/>
        <v>#NUM!</v>
      </c>
      <c r="AS54" s="1" t="e" cm="1">
        <f t="array" aca="1" ref="AS54:AU54" ca="1">TRANSPOSE(MMULT(MINVERSE(_xlfn.WRAPCOLS(AC54:AK54,3)),TRANSPOSE(T54:V54)))/$F$7:$H$7</f>
        <v>#NUM!</v>
      </c>
      <c r="AT54" s="1" t="e">
        <f ca="1"/>
        <v>#NUM!</v>
      </c>
      <c r="AU54" s="1" t="e">
        <f ca="1"/>
        <v>#NUM!</v>
      </c>
      <c r="AV54">
        <v>0</v>
      </c>
      <c r="AW54" t="e">
        <f t="shared" ca="1" si="53"/>
        <v>#NUM!</v>
      </c>
      <c r="AX54" t="e">
        <f t="shared" ca="1" si="37"/>
        <v>#NUM!</v>
      </c>
      <c r="AY54" t="e">
        <f t="shared" ca="1" si="54"/>
        <v>#NUM!</v>
      </c>
      <c r="AZ54" t="e">
        <f t="shared" ca="1" si="38"/>
        <v>#NUM!</v>
      </c>
      <c r="BA54" t="e">
        <f t="shared" ca="1" si="39"/>
        <v>#NUM!</v>
      </c>
      <c r="BB54" t="e">
        <f t="shared" ca="1" si="40"/>
        <v>#NUM!</v>
      </c>
      <c r="BC54" t="e">
        <f t="shared" ca="1" si="41"/>
        <v>#NUM!</v>
      </c>
      <c r="BD54" t="e">
        <f t="shared" ca="1" si="42"/>
        <v>#NUM!</v>
      </c>
      <c r="BE54" t="e">
        <f t="shared" ca="1" si="43"/>
        <v>#NUM!</v>
      </c>
      <c r="BF54" t="e">
        <f t="shared" ca="1" si="44"/>
        <v>#NUM!</v>
      </c>
      <c r="BG54" t="e">
        <f t="shared" ca="1" si="48"/>
        <v>#NUM!</v>
      </c>
      <c r="BH54" t="e">
        <f t="shared" ca="1" si="33"/>
        <v>#NUM!</v>
      </c>
      <c r="BI54" t="e">
        <f t="shared" ca="1" si="34"/>
        <v>#NUM!</v>
      </c>
      <c r="BJ54">
        <f t="shared" si="51"/>
        <v>0</v>
      </c>
    </row>
    <row r="55" spans="1:62" x14ac:dyDescent="0.25">
      <c r="A55">
        <f t="shared" si="46"/>
        <v>44</v>
      </c>
      <c r="B55" s="1">
        <f t="shared" si="49"/>
        <v>4.7209899999999998E-8</v>
      </c>
      <c r="C55" s="1">
        <f t="shared" si="49"/>
        <v>1.09987E-3</v>
      </c>
      <c r="D55" s="1">
        <f t="shared" si="49"/>
        <v>1.7799999999999999E-6</v>
      </c>
      <c r="E55" s="1" t="e">
        <f t="shared" ca="1" si="2"/>
        <v>#NUM!</v>
      </c>
      <c r="F55" s="1" t="e">
        <f t="shared" ca="1" si="36"/>
        <v>#NUM!</v>
      </c>
      <c r="G55" s="1" t="e">
        <f t="shared" ca="1" si="47"/>
        <v>#NUM!</v>
      </c>
      <c r="H55" s="1" t="e">
        <f t="shared" ca="1" si="3"/>
        <v>#NUM!</v>
      </c>
      <c r="I55" s="1">
        <f t="shared" si="52"/>
        <v>2.6915348039269097E-8</v>
      </c>
      <c r="J55" s="1" t="e">
        <f t="shared" ca="1" si="5"/>
        <v>#NUM!</v>
      </c>
      <c r="K55" s="1" t="e">
        <f t="shared" ca="1" si="6"/>
        <v>#NUM!</v>
      </c>
      <c r="L55" s="1">
        <f t="shared" si="7"/>
        <v>3.7411058827205313E-7</v>
      </c>
      <c r="M55" s="1" t="e">
        <f t="shared" ca="1" si="8"/>
        <v>#NUM!</v>
      </c>
      <c r="N55" s="1" t="e">
        <f t="shared" ca="1" si="9"/>
        <v>#NUM!</v>
      </c>
      <c r="O55" s="1" t="e">
        <f t="shared" ca="1" si="10"/>
        <v>#NUM!</v>
      </c>
      <c r="P55" s="1" t="e">
        <f t="shared" ca="1" si="11"/>
        <v>#NUM!</v>
      </c>
      <c r="Q55" s="1" t="e">
        <f t="shared" ca="1" si="12"/>
        <v>#NUM!</v>
      </c>
      <c r="R55" s="1" t="e">
        <f t="shared" ca="1" si="13"/>
        <v>#NUM!</v>
      </c>
      <c r="S55" s="1" t="e">
        <f t="shared" ca="1" si="14"/>
        <v>#NUM!</v>
      </c>
      <c r="T55" s="1" t="e">
        <f t="shared" ca="1" si="50"/>
        <v>#NUM!</v>
      </c>
      <c r="U55" s="1" t="e">
        <f t="shared" ca="1" si="50"/>
        <v>#NUM!</v>
      </c>
      <c r="V55" s="1" t="e">
        <f t="shared" ca="1" si="50"/>
        <v>#NUM!</v>
      </c>
      <c r="W55" s="1" t="e">
        <f t="shared" ca="1" si="50"/>
        <v>#NUM!</v>
      </c>
      <c r="X55" s="1" t="e" cm="1">
        <f t="array" aca="1" ref="X55:AA55" ca="1">ABS(T55:W55/B55:E55)</f>
        <v>#NUM!</v>
      </c>
      <c r="Y55" s="1" t="e">
        <f ca="1"/>
        <v>#NUM!</v>
      </c>
      <c r="Z55" s="1" t="e">
        <f ca="1"/>
        <v>#NUM!</v>
      </c>
      <c r="AA55" s="1" t="e">
        <f ca="1"/>
        <v>#NUM!</v>
      </c>
      <c r="AB55" s="1" t="e" cm="1">
        <f t="array" aca="1" ref="AB55" ca="1">MAX(ABS(T55:W55/B55:E55))</f>
        <v>#NUM!</v>
      </c>
      <c r="AC55" s="1" t="e">
        <f t="shared" ca="1" si="16"/>
        <v>#NUM!</v>
      </c>
      <c r="AD55" s="1" t="e">
        <f t="shared" ca="1" si="17"/>
        <v>#NUM!</v>
      </c>
      <c r="AE55" s="1" t="e">
        <f t="shared" ca="1" si="18"/>
        <v>#NUM!</v>
      </c>
      <c r="AF55" t="e">
        <f t="shared" ca="1" si="19"/>
        <v>#NUM!</v>
      </c>
      <c r="AG55" t="e">
        <f t="shared" ca="1" si="20"/>
        <v>#NUM!</v>
      </c>
      <c r="AH55">
        <v>0</v>
      </c>
      <c r="AI55" s="1" t="e">
        <f t="shared" ca="1" si="21"/>
        <v>#NUM!</v>
      </c>
      <c r="AJ55">
        <f>0</f>
        <v>0</v>
      </c>
      <c r="AK55" s="1" t="e">
        <f t="shared" ca="1" si="22"/>
        <v>#NUM!</v>
      </c>
      <c r="AL55" s="16" t="e">
        <f t="shared" ca="1" si="23"/>
        <v>#NUM!</v>
      </c>
      <c r="AM55" s="16" t="e">
        <f t="shared" ca="1" si="24"/>
        <v>#NUM!</v>
      </c>
      <c r="AN55" s="13" t="e">
        <f t="shared" ca="1" si="25"/>
        <v>#NUM!</v>
      </c>
      <c r="AO55" s="16" t="e">
        <f t="shared" ca="1" si="26"/>
        <v>#NUM!</v>
      </c>
      <c r="AP55" s="16" t="e">
        <f t="shared" ca="1" si="27"/>
        <v>#NUM!</v>
      </c>
      <c r="AQ55" s="13">
        <f t="shared" si="28"/>
        <v>6.7608297539198143E-4</v>
      </c>
      <c r="AR55" s="13" t="e">
        <f t="shared" ca="1" si="29"/>
        <v>#NUM!</v>
      </c>
      <c r="AS55" s="1" t="e" cm="1">
        <f t="array" aca="1" ref="AS55:AU55" ca="1">TRANSPOSE(MMULT(MINVERSE(_xlfn.WRAPCOLS(AC55:AK55,3)),TRANSPOSE(T55:V55)))/$F$7:$H$7</f>
        <v>#NUM!</v>
      </c>
      <c r="AT55" s="1" t="e">
        <f ca="1"/>
        <v>#NUM!</v>
      </c>
      <c r="AU55" s="1" t="e">
        <f ca="1"/>
        <v>#NUM!</v>
      </c>
      <c r="AV55">
        <v>0</v>
      </c>
      <c r="AW55" t="e">
        <f t="shared" ca="1" si="53"/>
        <v>#NUM!</v>
      </c>
      <c r="AX55" t="e">
        <f t="shared" ca="1" si="37"/>
        <v>#NUM!</v>
      </c>
      <c r="AY55" t="e">
        <f t="shared" ca="1" si="54"/>
        <v>#NUM!</v>
      </c>
      <c r="AZ55" t="e">
        <f t="shared" ca="1" si="38"/>
        <v>#NUM!</v>
      </c>
      <c r="BA55" t="e">
        <f t="shared" ca="1" si="39"/>
        <v>#NUM!</v>
      </c>
      <c r="BB55" t="e">
        <f t="shared" ca="1" si="40"/>
        <v>#NUM!</v>
      </c>
      <c r="BC55" t="e">
        <f t="shared" ca="1" si="41"/>
        <v>#NUM!</v>
      </c>
      <c r="BD55" t="e">
        <f t="shared" ca="1" si="42"/>
        <v>#NUM!</v>
      </c>
      <c r="BE55" t="e">
        <f t="shared" ca="1" si="43"/>
        <v>#NUM!</v>
      </c>
      <c r="BF55" t="e">
        <f t="shared" ca="1" si="44"/>
        <v>#NUM!</v>
      </c>
      <c r="BG55" t="e">
        <f t="shared" ca="1" si="48"/>
        <v>#NUM!</v>
      </c>
      <c r="BH55" t="e">
        <f t="shared" ca="1" si="33"/>
        <v>#NUM!</v>
      </c>
      <c r="BI55" t="e">
        <f t="shared" ca="1" si="34"/>
        <v>#NUM!</v>
      </c>
      <c r="BJ55">
        <f t="shared" si="51"/>
        <v>0</v>
      </c>
    </row>
    <row r="56" spans="1:62" x14ac:dyDescent="0.25">
      <c r="A56">
        <f t="shared" si="46"/>
        <v>45</v>
      </c>
      <c r="B56" s="1">
        <f t="shared" si="49"/>
        <v>4.7209899999999998E-8</v>
      </c>
      <c r="C56" s="1">
        <f t="shared" si="49"/>
        <v>1.09987E-3</v>
      </c>
      <c r="D56" s="1">
        <f t="shared" si="49"/>
        <v>1.7799999999999999E-6</v>
      </c>
      <c r="E56" s="1" t="e">
        <f t="shared" ca="1" si="2"/>
        <v>#NUM!</v>
      </c>
      <c r="F56" s="1" t="e">
        <f t="shared" ca="1" si="36"/>
        <v>#NUM!</v>
      </c>
      <c r="G56" s="1" t="e">
        <f t="shared" ca="1" si="47"/>
        <v>#NUM!</v>
      </c>
      <c r="H56" s="1" t="e">
        <f t="shared" ca="1" si="3"/>
        <v>#NUM!</v>
      </c>
      <c r="I56" s="1">
        <f t="shared" si="52"/>
        <v>2.6915348039269097E-8</v>
      </c>
      <c r="J56" s="1" t="e">
        <f t="shared" ca="1" si="5"/>
        <v>#NUM!</v>
      </c>
      <c r="K56" s="1" t="e">
        <f t="shared" ca="1" si="6"/>
        <v>#NUM!</v>
      </c>
      <c r="L56" s="1">
        <f t="shared" si="7"/>
        <v>3.7411058827205313E-7</v>
      </c>
      <c r="M56" s="1" t="e">
        <f t="shared" ca="1" si="8"/>
        <v>#NUM!</v>
      </c>
      <c r="N56" s="1" t="e">
        <f t="shared" ca="1" si="9"/>
        <v>#NUM!</v>
      </c>
      <c r="O56" s="1" t="e">
        <f t="shared" ca="1" si="10"/>
        <v>#NUM!</v>
      </c>
      <c r="P56" s="1" t="e">
        <f t="shared" ca="1" si="11"/>
        <v>#NUM!</v>
      </c>
      <c r="Q56" s="1" t="e">
        <f t="shared" ca="1" si="12"/>
        <v>#NUM!</v>
      </c>
      <c r="R56" s="1" t="e">
        <f t="shared" ca="1" si="13"/>
        <v>#NUM!</v>
      </c>
      <c r="S56" s="1" t="e">
        <f t="shared" ca="1" si="14"/>
        <v>#NUM!</v>
      </c>
      <c r="T56" s="1" t="e">
        <f t="shared" ca="1" si="50"/>
        <v>#NUM!</v>
      </c>
      <c r="U56" s="1" t="e">
        <f t="shared" ca="1" si="50"/>
        <v>#NUM!</v>
      </c>
      <c r="V56" s="1" t="e">
        <f t="shared" ca="1" si="50"/>
        <v>#NUM!</v>
      </c>
      <c r="W56" s="1" t="e">
        <f t="shared" ca="1" si="50"/>
        <v>#NUM!</v>
      </c>
      <c r="X56" s="1" t="e" cm="1">
        <f t="array" aca="1" ref="X56:AA56" ca="1">ABS(T56:W56/B56:E56)</f>
        <v>#NUM!</v>
      </c>
      <c r="Y56" s="1" t="e">
        <f ca="1"/>
        <v>#NUM!</v>
      </c>
      <c r="Z56" s="1" t="e">
        <f ca="1"/>
        <v>#NUM!</v>
      </c>
      <c r="AA56" s="1" t="e">
        <f ca="1"/>
        <v>#NUM!</v>
      </c>
      <c r="AB56" s="1" t="e" cm="1">
        <f t="array" aca="1" ref="AB56" ca="1">MAX(ABS(T56:W56/B56:E56))</f>
        <v>#NUM!</v>
      </c>
      <c r="AC56" s="1" t="e">
        <f t="shared" ca="1" si="16"/>
        <v>#NUM!</v>
      </c>
      <c r="AD56" s="1" t="e">
        <f t="shared" ca="1" si="17"/>
        <v>#NUM!</v>
      </c>
      <c r="AE56" s="1" t="e">
        <f t="shared" ca="1" si="18"/>
        <v>#NUM!</v>
      </c>
      <c r="AF56" t="e">
        <f t="shared" ca="1" si="19"/>
        <v>#NUM!</v>
      </c>
      <c r="AG56" t="e">
        <f t="shared" ca="1" si="20"/>
        <v>#NUM!</v>
      </c>
      <c r="AH56">
        <v>0</v>
      </c>
      <c r="AI56" s="1" t="e">
        <f t="shared" ca="1" si="21"/>
        <v>#NUM!</v>
      </c>
      <c r="AJ56">
        <f>0</f>
        <v>0</v>
      </c>
      <c r="AK56" s="1" t="e">
        <f t="shared" ca="1" si="22"/>
        <v>#NUM!</v>
      </c>
      <c r="AL56" s="16" t="e">
        <f t="shared" ca="1" si="23"/>
        <v>#NUM!</v>
      </c>
      <c r="AM56" s="16" t="e">
        <f t="shared" ca="1" si="24"/>
        <v>#NUM!</v>
      </c>
      <c r="AN56" s="13" t="e">
        <f t="shared" ca="1" si="25"/>
        <v>#NUM!</v>
      </c>
      <c r="AO56" s="16" t="e">
        <f t="shared" ca="1" si="26"/>
        <v>#NUM!</v>
      </c>
      <c r="AP56" s="16" t="e">
        <f t="shared" ca="1" si="27"/>
        <v>#NUM!</v>
      </c>
      <c r="AQ56" s="13">
        <f t="shared" si="28"/>
        <v>6.7608297539198143E-4</v>
      </c>
      <c r="AR56" s="13" t="e">
        <f t="shared" ca="1" si="29"/>
        <v>#NUM!</v>
      </c>
      <c r="AS56" s="1" t="e" cm="1">
        <f t="array" aca="1" ref="AS56:AU56" ca="1">TRANSPOSE(MMULT(MINVERSE(_xlfn.WRAPCOLS(AC56:AK56,3)),TRANSPOSE(T56:V56)))/$F$7:$H$7</f>
        <v>#NUM!</v>
      </c>
      <c r="AT56" s="1" t="e">
        <f ca="1"/>
        <v>#NUM!</v>
      </c>
      <c r="AU56" s="1" t="e">
        <f ca="1"/>
        <v>#NUM!</v>
      </c>
      <c r="AV56">
        <v>0</v>
      </c>
      <c r="AW56" t="e">
        <f t="shared" ca="1" si="53"/>
        <v>#NUM!</v>
      </c>
      <c r="AX56" t="e">
        <f t="shared" ca="1" si="37"/>
        <v>#NUM!</v>
      </c>
      <c r="AY56" t="e">
        <f t="shared" ca="1" si="54"/>
        <v>#NUM!</v>
      </c>
      <c r="AZ56" t="e">
        <f t="shared" ca="1" si="38"/>
        <v>#NUM!</v>
      </c>
      <c r="BA56" t="e">
        <f t="shared" ca="1" si="39"/>
        <v>#NUM!</v>
      </c>
      <c r="BB56" t="e">
        <f t="shared" ca="1" si="40"/>
        <v>#NUM!</v>
      </c>
      <c r="BC56" t="e">
        <f t="shared" ca="1" si="41"/>
        <v>#NUM!</v>
      </c>
      <c r="BD56" t="e">
        <f t="shared" ca="1" si="42"/>
        <v>#NUM!</v>
      </c>
      <c r="BE56" t="e">
        <f t="shared" ca="1" si="43"/>
        <v>#NUM!</v>
      </c>
      <c r="BF56" t="e">
        <f t="shared" ca="1" si="44"/>
        <v>#NUM!</v>
      </c>
      <c r="BG56" t="e">
        <f t="shared" ca="1" si="48"/>
        <v>#NUM!</v>
      </c>
      <c r="BH56" t="e">
        <f t="shared" ca="1" si="33"/>
        <v>#NUM!</v>
      </c>
      <c r="BI56" t="e">
        <f t="shared" ca="1" si="34"/>
        <v>#NUM!</v>
      </c>
      <c r="BJ56">
        <f t="shared" si="51"/>
        <v>0</v>
      </c>
    </row>
    <row r="57" spans="1:62" x14ac:dyDescent="0.25">
      <c r="A57">
        <f t="shared" si="46"/>
        <v>46</v>
      </c>
      <c r="B57" s="1">
        <f t="shared" si="49"/>
        <v>4.7209899999999998E-8</v>
      </c>
      <c r="C57" s="1">
        <f t="shared" si="49"/>
        <v>1.09987E-3</v>
      </c>
      <c r="D57" s="1">
        <f t="shared" si="49"/>
        <v>1.7799999999999999E-6</v>
      </c>
      <c r="E57" s="1" t="e">
        <f t="shared" ca="1" si="2"/>
        <v>#NUM!</v>
      </c>
      <c r="F57" s="1" t="e">
        <f t="shared" ca="1" si="36"/>
        <v>#NUM!</v>
      </c>
      <c r="G57" s="1" t="e">
        <f t="shared" ca="1" si="47"/>
        <v>#NUM!</v>
      </c>
      <c r="H57" s="1" t="e">
        <f t="shared" ca="1" si="3"/>
        <v>#NUM!</v>
      </c>
      <c r="I57" s="1">
        <f t="shared" si="52"/>
        <v>2.6915348039269097E-8</v>
      </c>
      <c r="J57" s="1" t="e">
        <f t="shared" ca="1" si="5"/>
        <v>#NUM!</v>
      </c>
      <c r="K57" s="1" t="e">
        <f t="shared" ca="1" si="6"/>
        <v>#NUM!</v>
      </c>
      <c r="L57" s="1">
        <f t="shared" si="7"/>
        <v>3.7411058827205313E-7</v>
      </c>
      <c r="M57" s="1" t="e">
        <f t="shared" ca="1" si="8"/>
        <v>#NUM!</v>
      </c>
      <c r="N57" s="1" t="e">
        <f t="shared" ca="1" si="9"/>
        <v>#NUM!</v>
      </c>
      <c r="O57" s="1" t="e">
        <f t="shared" ca="1" si="10"/>
        <v>#NUM!</v>
      </c>
      <c r="P57" s="1" t="e">
        <f t="shared" ca="1" si="11"/>
        <v>#NUM!</v>
      </c>
      <c r="Q57" s="1" t="e">
        <f t="shared" ca="1" si="12"/>
        <v>#NUM!</v>
      </c>
      <c r="R57" s="1" t="e">
        <f t="shared" ca="1" si="13"/>
        <v>#NUM!</v>
      </c>
      <c r="S57" s="1" t="e">
        <f t="shared" ca="1" si="14"/>
        <v>#NUM!</v>
      </c>
      <c r="T57" s="1" t="e">
        <f t="shared" ca="1" si="50"/>
        <v>#NUM!</v>
      </c>
      <c r="U57" s="1" t="e">
        <f t="shared" ca="1" si="50"/>
        <v>#NUM!</v>
      </c>
      <c r="V57" s="1" t="e">
        <f t="shared" ca="1" si="50"/>
        <v>#NUM!</v>
      </c>
      <c r="W57" s="1" t="e">
        <f t="shared" ca="1" si="50"/>
        <v>#NUM!</v>
      </c>
      <c r="X57" s="1" t="e" cm="1">
        <f t="array" aca="1" ref="X57:AA57" ca="1">ABS(T57:W57/B57:E57)</f>
        <v>#NUM!</v>
      </c>
      <c r="Y57" s="1" t="e">
        <f ca="1"/>
        <v>#NUM!</v>
      </c>
      <c r="Z57" s="1" t="e">
        <f ca="1"/>
        <v>#NUM!</v>
      </c>
      <c r="AA57" s="1" t="e">
        <f ca="1"/>
        <v>#NUM!</v>
      </c>
      <c r="AB57" s="1" t="e" cm="1">
        <f t="array" aca="1" ref="AB57" ca="1">MAX(ABS(T57:W57/B57:E57))</f>
        <v>#NUM!</v>
      </c>
      <c r="AC57" s="1" t="e">
        <f t="shared" ca="1" si="16"/>
        <v>#NUM!</v>
      </c>
      <c r="AD57" s="1" t="e">
        <f t="shared" ca="1" si="17"/>
        <v>#NUM!</v>
      </c>
      <c r="AE57" s="1" t="e">
        <f t="shared" ca="1" si="18"/>
        <v>#NUM!</v>
      </c>
      <c r="AF57" t="e">
        <f t="shared" ca="1" si="19"/>
        <v>#NUM!</v>
      </c>
      <c r="AG57" t="e">
        <f t="shared" ca="1" si="20"/>
        <v>#NUM!</v>
      </c>
      <c r="AH57">
        <v>0</v>
      </c>
      <c r="AI57" s="1" t="e">
        <f t="shared" ca="1" si="21"/>
        <v>#NUM!</v>
      </c>
      <c r="AJ57">
        <f>0</f>
        <v>0</v>
      </c>
      <c r="AK57" s="1" t="e">
        <f t="shared" ca="1" si="22"/>
        <v>#NUM!</v>
      </c>
      <c r="AL57" s="16" t="e">
        <f t="shared" ca="1" si="23"/>
        <v>#NUM!</v>
      </c>
      <c r="AM57" s="16" t="e">
        <f t="shared" ca="1" si="24"/>
        <v>#NUM!</v>
      </c>
      <c r="AN57" s="13" t="e">
        <f t="shared" ca="1" si="25"/>
        <v>#NUM!</v>
      </c>
      <c r="AO57" s="16" t="e">
        <f t="shared" ca="1" si="26"/>
        <v>#NUM!</v>
      </c>
      <c r="AP57" s="16" t="e">
        <f t="shared" ca="1" si="27"/>
        <v>#NUM!</v>
      </c>
      <c r="AQ57" s="13">
        <f t="shared" si="28"/>
        <v>6.7608297539198143E-4</v>
      </c>
      <c r="AR57" s="13" t="e">
        <f t="shared" ca="1" si="29"/>
        <v>#NUM!</v>
      </c>
      <c r="AS57" s="1" t="e" cm="1">
        <f t="array" aca="1" ref="AS57:AU57" ca="1">TRANSPOSE(MMULT(MINVERSE(_xlfn.WRAPCOLS(AC57:AK57,3)),TRANSPOSE(T57:V57)))/$F$7:$H$7</f>
        <v>#NUM!</v>
      </c>
      <c r="AT57" s="1" t="e">
        <f ca="1"/>
        <v>#NUM!</v>
      </c>
      <c r="AU57" s="1" t="e">
        <f ca="1"/>
        <v>#NUM!</v>
      </c>
      <c r="AV57">
        <v>0</v>
      </c>
      <c r="AW57" t="e">
        <f t="shared" ca="1" si="53"/>
        <v>#NUM!</v>
      </c>
      <c r="AX57" t="e">
        <f t="shared" ca="1" si="37"/>
        <v>#NUM!</v>
      </c>
      <c r="AY57" t="e">
        <f t="shared" ca="1" si="54"/>
        <v>#NUM!</v>
      </c>
      <c r="AZ57" t="e">
        <f t="shared" ca="1" si="38"/>
        <v>#NUM!</v>
      </c>
      <c r="BA57" t="e">
        <f t="shared" ca="1" si="39"/>
        <v>#NUM!</v>
      </c>
      <c r="BB57" t="e">
        <f t="shared" ca="1" si="40"/>
        <v>#NUM!</v>
      </c>
      <c r="BC57" t="e">
        <f t="shared" ca="1" si="41"/>
        <v>#NUM!</v>
      </c>
      <c r="BD57" t="e">
        <f t="shared" ca="1" si="42"/>
        <v>#NUM!</v>
      </c>
      <c r="BE57" t="e">
        <f t="shared" ca="1" si="43"/>
        <v>#NUM!</v>
      </c>
      <c r="BF57" t="e">
        <f t="shared" ca="1" si="44"/>
        <v>#NUM!</v>
      </c>
      <c r="BG57" t="e">
        <f t="shared" ca="1" si="48"/>
        <v>#NUM!</v>
      </c>
      <c r="BH57" t="e">
        <f t="shared" ca="1" si="33"/>
        <v>#NUM!</v>
      </c>
      <c r="BI57" t="e">
        <f t="shared" ca="1" si="34"/>
        <v>#NUM!</v>
      </c>
      <c r="BJ57">
        <f t="shared" si="51"/>
        <v>0</v>
      </c>
    </row>
    <row r="58" spans="1:62" x14ac:dyDescent="0.25">
      <c r="A58">
        <f t="shared" si="46"/>
        <v>47</v>
      </c>
      <c r="B58" s="1">
        <f t="shared" si="49"/>
        <v>4.7209899999999998E-8</v>
      </c>
      <c r="C58" s="1">
        <f t="shared" si="49"/>
        <v>1.09987E-3</v>
      </c>
      <c r="D58" s="1">
        <f t="shared" si="49"/>
        <v>1.7799999999999999E-6</v>
      </c>
      <c r="E58" s="1" t="e">
        <f t="shared" ca="1" si="2"/>
        <v>#NUM!</v>
      </c>
      <c r="F58" s="1" t="e">
        <f t="shared" ca="1" si="36"/>
        <v>#NUM!</v>
      </c>
      <c r="G58" s="1" t="e">
        <f t="shared" ca="1" si="47"/>
        <v>#NUM!</v>
      </c>
      <c r="H58" s="1" t="e">
        <f t="shared" ca="1" si="3"/>
        <v>#NUM!</v>
      </c>
      <c r="I58" s="1">
        <f t="shared" si="52"/>
        <v>2.6915348039269097E-8</v>
      </c>
      <c r="J58" s="1" t="e">
        <f t="shared" ca="1" si="5"/>
        <v>#NUM!</v>
      </c>
      <c r="K58" s="1" t="e">
        <f t="shared" ca="1" si="6"/>
        <v>#NUM!</v>
      </c>
      <c r="L58" s="1">
        <f t="shared" si="7"/>
        <v>3.7411058827205313E-7</v>
      </c>
      <c r="M58" s="1" t="e">
        <f t="shared" ca="1" si="8"/>
        <v>#NUM!</v>
      </c>
      <c r="N58" s="1" t="e">
        <f t="shared" ca="1" si="9"/>
        <v>#NUM!</v>
      </c>
      <c r="O58" s="1" t="e">
        <f t="shared" ca="1" si="10"/>
        <v>#NUM!</v>
      </c>
      <c r="P58" s="1" t="e">
        <f t="shared" ca="1" si="11"/>
        <v>#NUM!</v>
      </c>
      <c r="Q58" s="1" t="e">
        <f t="shared" ca="1" si="12"/>
        <v>#NUM!</v>
      </c>
      <c r="R58" s="1" t="e">
        <f t="shared" ca="1" si="13"/>
        <v>#NUM!</v>
      </c>
      <c r="S58" s="1" t="e">
        <f t="shared" ca="1" si="14"/>
        <v>#NUM!</v>
      </c>
      <c r="T58" s="1" t="e">
        <f t="shared" ca="1" si="50"/>
        <v>#NUM!</v>
      </c>
      <c r="U58" s="1" t="e">
        <f t="shared" ca="1" si="50"/>
        <v>#NUM!</v>
      </c>
      <c r="V58" s="1" t="e">
        <f t="shared" ca="1" si="50"/>
        <v>#NUM!</v>
      </c>
      <c r="W58" s="1" t="e">
        <f t="shared" ca="1" si="50"/>
        <v>#NUM!</v>
      </c>
      <c r="X58" s="1" t="e" cm="1">
        <f t="array" aca="1" ref="X58:AA58" ca="1">ABS(T58:W58/B58:E58)</f>
        <v>#NUM!</v>
      </c>
      <c r="Y58" s="1" t="e">
        <f ca="1"/>
        <v>#NUM!</v>
      </c>
      <c r="Z58" s="1" t="e">
        <f ca="1"/>
        <v>#NUM!</v>
      </c>
      <c r="AA58" s="1" t="e">
        <f ca="1"/>
        <v>#NUM!</v>
      </c>
      <c r="AB58" s="1" t="e" cm="1">
        <f t="array" aca="1" ref="AB58" ca="1">MAX(ABS(T58:W58/B58:E58))</f>
        <v>#NUM!</v>
      </c>
      <c r="AC58" s="1" t="e">
        <f t="shared" ca="1" si="16"/>
        <v>#NUM!</v>
      </c>
      <c r="AD58" s="1" t="e">
        <f t="shared" ca="1" si="17"/>
        <v>#NUM!</v>
      </c>
      <c r="AE58" s="1" t="e">
        <f t="shared" ca="1" si="18"/>
        <v>#NUM!</v>
      </c>
      <c r="AF58" t="e">
        <f t="shared" ca="1" si="19"/>
        <v>#NUM!</v>
      </c>
      <c r="AG58" t="e">
        <f t="shared" ca="1" si="20"/>
        <v>#NUM!</v>
      </c>
      <c r="AH58">
        <v>0</v>
      </c>
      <c r="AI58" s="1" t="e">
        <f t="shared" ca="1" si="21"/>
        <v>#NUM!</v>
      </c>
      <c r="AJ58">
        <f>0</f>
        <v>0</v>
      </c>
      <c r="AK58" s="1" t="e">
        <f t="shared" ca="1" si="22"/>
        <v>#NUM!</v>
      </c>
      <c r="AL58" s="16" t="e">
        <f t="shared" ca="1" si="23"/>
        <v>#NUM!</v>
      </c>
      <c r="AM58" s="16" t="e">
        <f t="shared" ca="1" si="24"/>
        <v>#NUM!</v>
      </c>
      <c r="AN58" s="13" t="e">
        <f t="shared" ca="1" si="25"/>
        <v>#NUM!</v>
      </c>
      <c r="AO58" s="16" t="e">
        <f t="shared" ca="1" si="26"/>
        <v>#NUM!</v>
      </c>
      <c r="AP58" s="16" t="e">
        <f t="shared" ca="1" si="27"/>
        <v>#NUM!</v>
      </c>
      <c r="AQ58" s="13">
        <f t="shared" si="28"/>
        <v>6.7608297539198143E-4</v>
      </c>
      <c r="AR58" s="13" t="e">
        <f t="shared" ca="1" si="29"/>
        <v>#NUM!</v>
      </c>
      <c r="AS58" s="1" t="e" cm="1">
        <f t="array" aca="1" ref="AS58:AU58" ca="1">TRANSPOSE(MMULT(MINVERSE(_xlfn.WRAPCOLS(AC58:AK58,3)),TRANSPOSE(T58:V58)))/$F$7:$H$7</f>
        <v>#NUM!</v>
      </c>
      <c r="AT58" s="1" t="e">
        <f ca="1"/>
        <v>#NUM!</v>
      </c>
      <c r="AU58" s="1" t="e">
        <f ca="1"/>
        <v>#NUM!</v>
      </c>
      <c r="AV58">
        <v>0</v>
      </c>
      <c r="AW58" t="e">
        <f t="shared" ca="1" si="53"/>
        <v>#NUM!</v>
      </c>
      <c r="AX58" t="e">
        <f t="shared" ca="1" si="37"/>
        <v>#NUM!</v>
      </c>
      <c r="AY58" t="e">
        <f t="shared" ca="1" si="54"/>
        <v>#NUM!</v>
      </c>
      <c r="AZ58" t="e">
        <f t="shared" ca="1" si="38"/>
        <v>#NUM!</v>
      </c>
      <c r="BA58" t="e">
        <f t="shared" ca="1" si="39"/>
        <v>#NUM!</v>
      </c>
      <c r="BB58" t="e">
        <f t="shared" ca="1" si="40"/>
        <v>#NUM!</v>
      </c>
      <c r="BC58" t="e">
        <f t="shared" ca="1" si="41"/>
        <v>#NUM!</v>
      </c>
      <c r="BD58" t="e">
        <f t="shared" ca="1" si="42"/>
        <v>#NUM!</v>
      </c>
      <c r="BE58" t="e">
        <f t="shared" ca="1" si="43"/>
        <v>#NUM!</v>
      </c>
      <c r="BF58" t="e">
        <f t="shared" ca="1" si="44"/>
        <v>#NUM!</v>
      </c>
      <c r="BG58" t="e">
        <f t="shared" ca="1" si="48"/>
        <v>#NUM!</v>
      </c>
      <c r="BH58" t="e">
        <f t="shared" ca="1" si="33"/>
        <v>#NUM!</v>
      </c>
      <c r="BI58" t="e">
        <f t="shared" ca="1" si="34"/>
        <v>#NUM!</v>
      </c>
      <c r="BJ58">
        <f t="shared" si="51"/>
        <v>0</v>
      </c>
    </row>
    <row r="59" spans="1:62" x14ac:dyDescent="0.25">
      <c r="A59">
        <f t="shared" si="46"/>
        <v>48</v>
      </c>
      <c r="B59" s="1">
        <f t="shared" si="49"/>
        <v>4.7209899999999998E-8</v>
      </c>
      <c r="C59" s="1">
        <f t="shared" si="49"/>
        <v>1.09987E-3</v>
      </c>
      <c r="D59" s="1">
        <f t="shared" si="49"/>
        <v>1.7799999999999999E-6</v>
      </c>
      <c r="E59" s="1" t="e">
        <f t="shared" ca="1" si="2"/>
        <v>#NUM!</v>
      </c>
      <c r="F59" s="1" t="e">
        <f t="shared" ca="1" si="36"/>
        <v>#NUM!</v>
      </c>
      <c r="G59" s="1" t="e">
        <f t="shared" ca="1" si="47"/>
        <v>#NUM!</v>
      </c>
      <c r="H59" s="1" t="e">
        <f t="shared" ca="1" si="3"/>
        <v>#NUM!</v>
      </c>
      <c r="I59" s="1">
        <f t="shared" si="52"/>
        <v>2.6915348039269097E-8</v>
      </c>
      <c r="J59" s="1" t="e">
        <f t="shared" ca="1" si="5"/>
        <v>#NUM!</v>
      </c>
      <c r="K59" s="1" t="e">
        <f t="shared" ca="1" si="6"/>
        <v>#NUM!</v>
      </c>
      <c r="L59" s="1">
        <f t="shared" si="7"/>
        <v>3.7411058827205313E-7</v>
      </c>
      <c r="M59" s="1" t="e">
        <f t="shared" ca="1" si="8"/>
        <v>#NUM!</v>
      </c>
      <c r="N59" s="1" t="e">
        <f t="shared" ca="1" si="9"/>
        <v>#NUM!</v>
      </c>
      <c r="O59" s="1" t="e">
        <f t="shared" ca="1" si="10"/>
        <v>#NUM!</v>
      </c>
      <c r="P59" s="1" t="e">
        <f t="shared" ca="1" si="11"/>
        <v>#NUM!</v>
      </c>
      <c r="Q59" s="1" t="e">
        <f t="shared" ca="1" si="12"/>
        <v>#NUM!</v>
      </c>
      <c r="R59" s="1" t="e">
        <f t="shared" ca="1" si="13"/>
        <v>#NUM!</v>
      </c>
      <c r="S59" s="1" t="e">
        <f t="shared" ca="1" si="14"/>
        <v>#NUM!</v>
      </c>
      <c r="T59" s="1" t="e">
        <f t="shared" ca="1" si="50"/>
        <v>#NUM!</v>
      </c>
      <c r="U59" s="1" t="e">
        <f t="shared" ca="1" si="50"/>
        <v>#NUM!</v>
      </c>
      <c r="V59" s="1" t="e">
        <f t="shared" ca="1" si="50"/>
        <v>#NUM!</v>
      </c>
      <c r="W59" s="1" t="e">
        <f t="shared" ca="1" si="50"/>
        <v>#NUM!</v>
      </c>
      <c r="X59" s="1" t="e" cm="1">
        <f t="array" aca="1" ref="X59:AA59" ca="1">ABS(T59:W59/B59:E59)</f>
        <v>#NUM!</v>
      </c>
      <c r="Y59" s="1" t="e">
        <f ca="1"/>
        <v>#NUM!</v>
      </c>
      <c r="Z59" s="1" t="e">
        <f ca="1"/>
        <v>#NUM!</v>
      </c>
      <c r="AA59" s="1" t="e">
        <f ca="1"/>
        <v>#NUM!</v>
      </c>
      <c r="AB59" s="1" t="e" cm="1">
        <f t="array" aca="1" ref="AB59" ca="1">MAX(ABS(T59:W59/B59:E59))</f>
        <v>#NUM!</v>
      </c>
      <c r="AC59" s="1" t="e">
        <f t="shared" ca="1" si="16"/>
        <v>#NUM!</v>
      </c>
      <c r="AD59" s="1" t="e">
        <f t="shared" ca="1" si="17"/>
        <v>#NUM!</v>
      </c>
      <c r="AE59" s="1" t="e">
        <f t="shared" ca="1" si="18"/>
        <v>#NUM!</v>
      </c>
      <c r="AF59" t="e">
        <f t="shared" ca="1" si="19"/>
        <v>#NUM!</v>
      </c>
      <c r="AG59" t="e">
        <f t="shared" ca="1" si="20"/>
        <v>#NUM!</v>
      </c>
      <c r="AH59">
        <v>0</v>
      </c>
      <c r="AI59" s="1" t="e">
        <f t="shared" ca="1" si="21"/>
        <v>#NUM!</v>
      </c>
      <c r="AJ59">
        <f>0</f>
        <v>0</v>
      </c>
      <c r="AK59" s="1" t="e">
        <f t="shared" ca="1" si="22"/>
        <v>#NUM!</v>
      </c>
      <c r="AL59" s="16" t="e">
        <f t="shared" ca="1" si="23"/>
        <v>#NUM!</v>
      </c>
      <c r="AM59" s="16" t="e">
        <f t="shared" ca="1" si="24"/>
        <v>#NUM!</v>
      </c>
      <c r="AN59" s="13" t="e">
        <f t="shared" ca="1" si="25"/>
        <v>#NUM!</v>
      </c>
      <c r="AO59" s="16" t="e">
        <f t="shared" ca="1" si="26"/>
        <v>#NUM!</v>
      </c>
      <c r="AP59" s="16" t="e">
        <f t="shared" ca="1" si="27"/>
        <v>#NUM!</v>
      </c>
      <c r="AQ59" s="13">
        <f t="shared" si="28"/>
        <v>6.7608297539198143E-4</v>
      </c>
      <c r="AR59" s="13" t="e">
        <f t="shared" ca="1" si="29"/>
        <v>#NUM!</v>
      </c>
      <c r="AS59" s="1" t="e" cm="1">
        <f t="array" aca="1" ref="AS59:AU59" ca="1">TRANSPOSE(MMULT(MINVERSE(_xlfn.WRAPCOLS(AC59:AK59,3)),TRANSPOSE(T59:V59)))/$F$7:$H$7</f>
        <v>#NUM!</v>
      </c>
      <c r="AT59" s="1" t="e">
        <f ca="1"/>
        <v>#NUM!</v>
      </c>
      <c r="AU59" s="1" t="e">
        <f ca="1"/>
        <v>#NUM!</v>
      </c>
      <c r="AV59">
        <v>0</v>
      </c>
      <c r="AW59" t="e">
        <f t="shared" ca="1" si="53"/>
        <v>#NUM!</v>
      </c>
      <c r="AX59" t="e">
        <f t="shared" ca="1" si="37"/>
        <v>#NUM!</v>
      </c>
      <c r="AY59" t="e">
        <f t="shared" ca="1" si="54"/>
        <v>#NUM!</v>
      </c>
      <c r="AZ59" t="e">
        <f t="shared" ca="1" si="38"/>
        <v>#NUM!</v>
      </c>
      <c r="BA59" t="e">
        <f t="shared" ca="1" si="39"/>
        <v>#NUM!</v>
      </c>
      <c r="BB59" t="e">
        <f t="shared" ca="1" si="40"/>
        <v>#NUM!</v>
      </c>
      <c r="BC59" t="e">
        <f t="shared" ca="1" si="41"/>
        <v>#NUM!</v>
      </c>
      <c r="BD59" t="e">
        <f t="shared" ca="1" si="42"/>
        <v>#NUM!</v>
      </c>
      <c r="BE59" t="e">
        <f t="shared" ca="1" si="43"/>
        <v>#NUM!</v>
      </c>
      <c r="BF59" t="e">
        <f t="shared" ca="1" si="44"/>
        <v>#NUM!</v>
      </c>
      <c r="BG59" t="e">
        <f t="shared" ca="1" si="48"/>
        <v>#NUM!</v>
      </c>
      <c r="BH59" t="e">
        <f t="shared" ca="1" si="33"/>
        <v>#NUM!</v>
      </c>
      <c r="BI59" t="e">
        <f t="shared" ca="1" si="34"/>
        <v>#NUM!</v>
      </c>
      <c r="BJ59">
        <f t="shared" si="51"/>
        <v>0</v>
      </c>
    </row>
    <row r="60" spans="1:62" x14ac:dyDescent="0.25">
      <c r="A60">
        <f t="shared" si="46"/>
        <v>49</v>
      </c>
      <c r="B60" s="1">
        <f t="shared" si="49"/>
        <v>4.7209899999999998E-8</v>
      </c>
      <c r="C60" s="1">
        <f t="shared" si="49"/>
        <v>1.09987E-3</v>
      </c>
      <c r="D60" s="1">
        <f t="shared" si="49"/>
        <v>1.7799999999999999E-6</v>
      </c>
      <c r="E60" s="1" t="e">
        <f t="shared" ca="1" si="2"/>
        <v>#NUM!</v>
      </c>
      <c r="F60" s="1" t="e">
        <f t="shared" ca="1" si="36"/>
        <v>#NUM!</v>
      </c>
      <c r="G60" s="1" t="e">
        <f t="shared" ca="1" si="47"/>
        <v>#NUM!</v>
      </c>
      <c r="H60" s="1" t="e">
        <f t="shared" ca="1" si="3"/>
        <v>#NUM!</v>
      </c>
      <c r="I60" s="1">
        <f t="shared" si="52"/>
        <v>2.6915348039269097E-8</v>
      </c>
      <c r="J60" s="1" t="e">
        <f t="shared" ca="1" si="5"/>
        <v>#NUM!</v>
      </c>
      <c r="K60" s="1" t="e">
        <f t="shared" ca="1" si="6"/>
        <v>#NUM!</v>
      </c>
      <c r="L60" s="1">
        <f t="shared" si="7"/>
        <v>3.7411058827205313E-7</v>
      </c>
      <c r="M60" s="1" t="e">
        <f t="shared" ca="1" si="8"/>
        <v>#NUM!</v>
      </c>
      <c r="N60" s="1" t="e">
        <f t="shared" ca="1" si="9"/>
        <v>#NUM!</v>
      </c>
      <c r="O60" s="1" t="e">
        <f t="shared" ca="1" si="10"/>
        <v>#NUM!</v>
      </c>
      <c r="P60" s="1" t="e">
        <f t="shared" ca="1" si="11"/>
        <v>#NUM!</v>
      </c>
      <c r="Q60" s="1" t="e">
        <f t="shared" ca="1" si="12"/>
        <v>#NUM!</v>
      </c>
      <c r="R60" s="1" t="e">
        <f t="shared" ca="1" si="13"/>
        <v>#NUM!</v>
      </c>
      <c r="S60" s="1" t="e">
        <f t="shared" ca="1" si="14"/>
        <v>#NUM!</v>
      </c>
      <c r="T60" s="1" t="e">
        <f t="shared" ca="1" si="50"/>
        <v>#NUM!</v>
      </c>
      <c r="U60" s="1" t="e">
        <f t="shared" ca="1" si="50"/>
        <v>#NUM!</v>
      </c>
      <c r="V60" s="1" t="e">
        <f t="shared" ca="1" si="50"/>
        <v>#NUM!</v>
      </c>
      <c r="W60" s="1" t="e">
        <f t="shared" ca="1" si="50"/>
        <v>#NUM!</v>
      </c>
      <c r="X60" s="1" t="e" cm="1">
        <f t="array" aca="1" ref="X60:AA60" ca="1">ABS(T60:W60/B60:E60)</f>
        <v>#NUM!</v>
      </c>
      <c r="Y60" s="1" t="e">
        <f ca="1"/>
        <v>#NUM!</v>
      </c>
      <c r="Z60" s="1" t="e">
        <f ca="1"/>
        <v>#NUM!</v>
      </c>
      <c r="AA60" s="1" t="e">
        <f ca="1"/>
        <v>#NUM!</v>
      </c>
      <c r="AB60" s="1" t="e" cm="1">
        <f t="array" aca="1" ref="AB60" ca="1">MAX(ABS(T60:W60/B60:E60))</f>
        <v>#NUM!</v>
      </c>
      <c r="AC60" s="1" t="e">
        <f t="shared" ca="1" si="16"/>
        <v>#NUM!</v>
      </c>
      <c r="AD60" s="1" t="e">
        <f t="shared" ca="1" si="17"/>
        <v>#NUM!</v>
      </c>
      <c r="AE60" s="1" t="e">
        <f t="shared" ca="1" si="18"/>
        <v>#NUM!</v>
      </c>
      <c r="AF60" t="e">
        <f t="shared" ca="1" si="19"/>
        <v>#NUM!</v>
      </c>
      <c r="AG60" t="e">
        <f t="shared" ca="1" si="20"/>
        <v>#NUM!</v>
      </c>
      <c r="AH60">
        <v>0</v>
      </c>
      <c r="AI60" s="1" t="e">
        <f t="shared" ca="1" si="21"/>
        <v>#NUM!</v>
      </c>
      <c r="AJ60">
        <f>0</f>
        <v>0</v>
      </c>
      <c r="AK60" s="1" t="e">
        <f t="shared" ca="1" si="22"/>
        <v>#NUM!</v>
      </c>
      <c r="AL60" s="16" t="e">
        <f t="shared" ca="1" si="23"/>
        <v>#NUM!</v>
      </c>
      <c r="AM60" s="16" t="e">
        <f t="shared" ca="1" si="24"/>
        <v>#NUM!</v>
      </c>
      <c r="AN60" s="13" t="e">
        <f t="shared" ca="1" si="25"/>
        <v>#NUM!</v>
      </c>
      <c r="AO60" s="16" t="e">
        <f t="shared" ca="1" si="26"/>
        <v>#NUM!</v>
      </c>
      <c r="AP60" s="16" t="e">
        <f t="shared" ca="1" si="27"/>
        <v>#NUM!</v>
      </c>
      <c r="AQ60" s="13">
        <f t="shared" si="28"/>
        <v>6.7608297539198143E-4</v>
      </c>
      <c r="AR60" s="13" t="e">
        <f t="shared" ca="1" si="29"/>
        <v>#NUM!</v>
      </c>
      <c r="AS60" s="1" t="e" cm="1">
        <f t="array" aca="1" ref="AS60:AU60" ca="1">TRANSPOSE(MMULT(MINVERSE(_xlfn.WRAPCOLS(AC60:AK60,3)),TRANSPOSE(T60:V60)))/$F$7:$H$7</f>
        <v>#NUM!</v>
      </c>
      <c r="AT60" s="1" t="e">
        <f ca="1"/>
        <v>#NUM!</v>
      </c>
      <c r="AU60" s="1" t="e">
        <f ca="1"/>
        <v>#NUM!</v>
      </c>
      <c r="AV60">
        <v>0</v>
      </c>
      <c r="AW60" t="e">
        <f t="shared" ca="1" si="53"/>
        <v>#NUM!</v>
      </c>
      <c r="AX60" t="e">
        <f t="shared" ca="1" si="37"/>
        <v>#NUM!</v>
      </c>
      <c r="AY60" t="e">
        <f t="shared" ca="1" si="54"/>
        <v>#NUM!</v>
      </c>
      <c r="AZ60" t="e">
        <f t="shared" ca="1" si="38"/>
        <v>#NUM!</v>
      </c>
      <c r="BA60" t="e">
        <f t="shared" ca="1" si="39"/>
        <v>#NUM!</v>
      </c>
      <c r="BB60" t="e">
        <f t="shared" ca="1" si="40"/>
        <v>#NUM!</v>
      </c>
      <c r="BC60" t="e">
        <f t="shared" ca="1" si="41"/>
        <v>#NUM!</v>
      </c>
      <c r="BD60" t="e">
        <f t="shared" ca="1" si="42"/>
        <v>#NUM!</v>
      </c>
      <c r="BE60" t="e">
        <f t="shared" ca="1" si="43"/>
        <v>#NUM!</v>
      </c>
      <c r="BF60" t="e">
        <f t="shared" ca="1" si="44"/>
        <v>#NUM!</v>
      </c>
      <c r="BG60" t="e">
        <f t="shared" ca="1" si="48"/>
        <v>#NUM!</v>
      </c>
      <c r="BH60" t="e">
        <f t="shared" ca="1" si="33"/>
        <v>#NUM!</v>
      </c>
      <c r="BI60" t="e">
        <f t="shared" ca="1" si="34"/>
        <v>#NUM!</v>
      </c>
      <c r="BJ60">
        <f t="shared" si="51"/>
        <v>0</v>
      </c>
    </row>
    <row r="61" spans="1:62" x14ac:dyDescent="0.25">
      <c r="A61">
        <f t="shared" si="46"/>
        <v>50</v>
      </c>
      <c r="B61" s="1">
        <f t="shared" si="49"/>
        <v>4.7209899999999998E-8</v>
      </c>
      <c r="C61" s="1">
        <f t="shared" si="49"/>
        <v>1.09987E-3</v>
      </c>
      <c r="D61" s="1">
        <f t="shared" si="49"/>
        <v>1.7799999999999999E-6</v>
      </c>
      <c r="E61" s="1" t="e">
        <f t="shared" ca="1" si="2"/>
        <v>#NUM!</v>
      </c>
      <c r="F61" s="1" t="e">
        <f t="shared" ca="1" si="36"/>
        <v>#NUM!</v>
      </c>
      <c r="G61" s="1" t="e">
        <f t="shared" ca="1" si="47"/>
        <v>#NUM!</v>
      </c>
      <c r="H61" s="1" t="e">
        <f t="shared" ca="1" si="3"/>
        <v>#NUM!</v>
      </c>
      <c r="I61" s="1">
        <f t="shared" si="52"/>
        <v>2.6915348039269097E-8</v>
      </c>
      <c r="J61" s="1" t="e">
        <f t="shared" ca="1" si="5"/>
        <v>#NUM!</v>
      </c>
      <c r="K61" s="1" t="e">
        <f t="shared" ca="1" si="6"/>
        <v>#NUM!</v>
      </c>
      <c r="L61" s="1">
        <f t="shared" si="7"/>
        <v>3.7411058827205313E-7</v>
      </c>
      <c r="M61" s="1" t="e">
        <f t="shared" ca="1" si="8"/>
        <v>#NUM!</v>
      </c>
      <c r="N61" s="1" t="e">
        <f t="shared" ca="1" si="9"/>
        <v>#NUM!</v>
      </c>
      <c r="O61" s="1" t="e">
        <f t="shared" ca="1" si="10"/>
        <v>#NUM!</v>
      </c>
      <c r="P61" s="1" t="e">
        <f t="shared" ca="1" si="11"/>
        <v>#NUM!</v>
      </c>
      <c r="Q61" s="1" t="e">
        <f t="shared" ca="1" si="12"/>
        <v>#NUM!</v>
      </c>
      <c r="R61" s="1" t="e">
        <f t="shared" ca="1" si="13"/>
        <v>#NUM!</v>
      </c>
      <c r="S61" s="1" t="e">
        <f t="shared" ca="1" si="14"/>
        <v>#NUM!</v>
      </c>
      <c r="T61" s="1" t="e">
        <f t="shared" ca="1" si="50"/>
        <v>#NUM!</v>
      </c>
      <c r="U61" s="1" t="e">
        <f t="shared" ca="1" si="50"/>
        <v>#NUM!</v>
      </c>
      <c r="V61" s="1" t="e">
        <f t="shared" ca="1" si="50"/>
        <v>#NUM!</v>
      </c>
      <c r="W61" s="1" t="e">
        <f t="shared" ca="1" si="50"/>
        <v>#NUM!</v>
      </c>
      <c r="X61" s="1" t="e" cm="1">
        <f t="array" aca="1" ref="X61:AA61" ca="1">ABS(T61:W61/B61:E61)</f>
        <v>#NUM!</v>
      </c>
      <c r="Y61" s="1" t="e">
        <f ca="1"/>
        <v>#NUM!</v>
      </c>
      <c r="Z61" s="1" t="e">
        <f ca="1"/>
        <v>#NUM!</v>
      </c>
      <c r="AA61" s="1" t="e">
        <f ca="1"/>
        <v>#NUM!</v>
      </c>
      <c r="AB61" s="1" t="e" cm="1">
        <f t="array" aca="1" ref="AB61" ca="1">MAX(ABS(T61:W61/B61:E61))</f>
        <v>#NUM!</v>
      </c>
      <c r="AC61" s="1" t="e">
        <f t="shared" ca="1" si="16"/>
        <v>#NUM!</v>
      </c>
      <c r="AD61" s="1" t="e">
        <f t="shared" ca="1" si="17"/>
        <v>#NUM!</v>
      </c>
      <c r="AE61" s="1" t="e">
        <f t="shared" ca="1" si="18"/>
        <v>#NUM!</v>
      </c>
      <c r="AF61" t="e">
        <f t="shared" ca="1" si="19"/>
        <v>#NUM!</v>
      </c>
      <c r="AG61" t="e">
        <f t="shared" ca="1" si="20"/>
        <v>#NUM!</v>
      </c>
      <c r="AH61">
        <v>0</v>
      </c>
      <c r="AI61" s="1" t="e">
        <f t="shared" ca="1" si="21"/>
        <v>#NUM!</v>
      </c>
      <c r="AJ61">
        <f>0</f>
        <v>0</v>
      </c>
      <c r="AK61" s="1" t="e">
        <f t="shared" ca="1" si="22"/>
        <v>#NUM!</v>
      </c>
      <c r="AL61" s="16" t="e">
        <f t="shared" ca="1" si="23"/>
        <v>#NUM!</v>
      </c>
      <c r="AM61" s="16" t="e">
        <f t="shared" ca="1" si="24"/>
        <v>#NUM!</v>
      </c>
      <c r="AN61" s="13" t="e">
        <f t="shared" ca="1" si="25"/>
        <v>#NUM!</v>
      </c>
      <c r="AO61" s="16" t="e">
        <f t="shared" ca="1" si="26"/>
        <v>#NUM!</v>
      </c>
      <c r="AP61" s="16" t="e">
        <f t="shared" ca="1" si="27"/>
        <v>#NUM!</v>
      </c>
      <c r="AQ61" s="13">
        <f t="shared" si="28"/>
        <v>6.7608297539198143E-4</v>
      </c>
      <c r="AR61" s="13" t="e">
        <f t="shared" ca="1" si="29"/>
        <v>#NUM!</v>
      </c>
      <c r="AS61" s="1" t="e" cm="1">
        <f t="array" aca="1" ref="AS61:AU61" ca="1">TRANSPOSE(MMULT(MINVERSE(_xlfn.WRAPCOLS(AC61:AK61,3)),TRANSPOSE(T61:V61)))/$F$7:$H$7</f>
        <v>#NUM!</v>
      </c>
      <c r="AT61" s="1" t="e">
        <f ca="1"/>
        <v>#NUM!</v>
      </c>
      <c r="AU61" s="1" t="e">
        <f ca="1"/>
        <v>#NUM!</v>
      </c>
      <c r="AV61">
        <v>0</v>
      </c>
      <c r="AW61" t="e">
        <f t="shared" ca="1" si="53"/>
        <v>#NUM!</v>
      </c>
      <c r="AX61" t="e">
        <f t="shared" ca="1" si="37"/>
        <v>#NUM!</v>
      </c>
      <c r="AY61" t="e">
        <f t="shared" ca="1" si="54"/>
        <v>#NUM!</v>
      </c>
      <c r="AZ61" t="e">
        <f t="shared" ca="1" si="38"/>
        <v>#NUM!</v>
      </c>
      <c r="BA61" t="e">
        <f t="shared" ca="1" si="39"/>
        <v>#NUM!</v>
      </c>
      <c r="BB61" t="e">
        <f t="shared" ca="1" si="40"/>
        <v>#NUM!</v>
      </c>
      <c r="BC61" t="e">
        <f t="shared" ca="1" si="41"/>
        <v>#NUM!</v>
      </c>
      <c r="BD61" t="e">
        <f t="shared" ca="1" si="42"/>
        <v>#NUM!</v>
      </c>
      <c r="BE61" t="e">
        <f t="shared" ca="1" si="43"/>
        <v>#NUM!</v>
      </c>
      <c r="BF61" t="e">
        <f t="shared" ca="1" si="44"/>
        <v>#NUM!</v>
      </c>
      <c r="BG61" t="e">
        <f t="shared" ca="1" si="48"/>
        <v>#NUM!</v>
      </c>
      <c r="BH61" t="e">
        <f t="shared" ca="1" si="33"/>
        <v>#NUM!</v>
      </c>
      <c r="BI61" t="e">
        <f t="shared" ca="1" si="34"/>
        <v>#NUM!</v>
      </c>
      <c r="BJ61">
        <f t="shared" si="51"/>
        <v>0</v>
      </c>
    </row>
    <row r="62" spans="1:62" x14ac:dyDescent="0.25">
      <c r="A62">
        <f t="shared" si="46"/>
        <v>51</v>
      </c>
      <c r="B62" s="1">
        <f t="shared" si="49"/>
        <v>4.7209899999999998E-8</v>
      </c>
      <c r="C62" s="1">
        <f t="shared" si="49"/>
        <v>1.09987E-3</v>
      </c>
      <c r="D62" s="1">
        <f t="shared" si="49"/>
        <v>1.7799999999999999E-6</v>
      </c>
      <c r="E62" s="1" t="e">
        <f t="shared" ca="1" si="2"/>
        <v>#NUM!</v>
      </c>
      <c r="F62" s="1" t="e">
        <f t="shared" ca="1" si="36"/>
        <v>#NUM!</v>
      </c>
      <c r="G62" s="1" t="e">
        <f t="shared" ca="1" si="47"/>
        <v>#NUM!</v>
      </c>
      <c r="H62" s="1" t="e">
        <f t="shared" ca="1" si="3"/>
        <v>#NUM!</v>
      </c>
      <c r="I62" s="1">
        <f t="shared" si="52"/>
        <v>2.6915348039269097E-8</v>
      </c>
      <c r="J62" s="1" t="e">
        <f t="shared" ca="1" si="5"/>
        <v>#NUM!</v>
      </c>
      <c r="K62" s="1" t="e">
        <f t="shared" ca="1" si="6"/>
        <v>#NUM!</v>
      </c>
      <c r="L62" s="1">
        <f t="shared" si="7"/>
        <v>3.7411058827205313E-7</v>
      </c>
      <c r="M62" s="1" t="e">
        <f t="shared" ca="1" si="8"/>
        <v>#NUM!</v>
      </c>
      <c r="N62" s="1" t="e">
        <f t="shared" ca="1" si="9"/>
        <v>#NUM!</v>
      </c>
      <c r="O62" s="1" t="e">
        <f t="shared" ca="1" si="10"/>
        <v>#NUM!</v>
      </c>
      <c r="P62" s="1" t="e">
        <f t="shared" ca="1" si="11"/>
        <v>#NUM!</v>
      </c>
      <c r="Q62" s="1" t="e">
        <f t="shared" ca="1" si="12"/>
        <v>#NUM!</v>
      </c>
      <c r="R62" s="1" t="e">
        <f t="shared" ca="1" si="13"/>
        <v>#NUM!</v>
      </c>
      <c r="S62" s="1" t="e">
        <f t="shared" ca="1" si="14"/>
        <v>#NUM!</v>
      </c>
      <c r="T62" s="1" t="e">
        <f t="shared" ca="1" si="50"/>
        <v>#NUM!</v>
      </c>
      <c r="U62" s="1" t="e">
        <f t="shared" ca="1" si="50"/>
        <v>#NUM!</v>
      </c>
      <c r="V62" s="1" t="e">
        <f t="shared" ca="1" si="50"/>
        <v>#NUM!</v>
      </c>
      <c r="W62" s="1" t="e">
        <f t="shared" ca="1" si="50"/>
        <v>#NUM!</v>
      </c>
      <c r="X62" s="1" t="e" cm="1">
        <f t="array" aca="1" ref="X62:AA62" ca="1">ABS(T62:W62/B62:E62)</f>
        <v>#NUM!</v>
      </c>
      <c r="Y62" s="1" t="e">
        <f ca="1"/>
        <v>#NUM!</v>
      </c>
      <c r="Z62" s="1" t="e">
        <f ca="1"/>
        <v>#NUM!</v>
      </c>
      <c r="AA62" s="1" t="e">
        <f ca="1"/>
        <v>#NUM!</v>
      </c>
      <c r="AB62" s="1" t="e" cm="1">
        <f t="array" aca="1" ref="AB62" ca="1">MAX(ABS(T62:W62/B62:E62))</f>
        <v>#NUM!</v>
      </c>
      <c r="AC62" s="1" t="e">
        <f t="shared" ca="1" si="16"/>
        <v>#NUM!</v>
      </c>
      <c r="AD62" s="1" t="e">
        <f t="shared" ca="1" si="17"/>
        <v>#NUM!</v>
      </c>
      <c r="AE62" s="1" t="e">
        <f t="shared" ca="1" si="18"/>
        <v>#NUM!</v>
      </c>
      <c r="AF62" t="e">
        <f t="shared" ca="1" si="19"/>
        <v>#NUM!</v>
      </c>
      <c r="AG62" t="e">
        <f t="shared" ca="1" si="20"/>
        <v>#NUM!</v>
      </c>
      <c r="AH62">
        <v>0</v>
      </c>
      <c r="AI62" s="1" t="e">
        <f t="shared" ca="1" si="21"/>
        <v>#NUM!</v>
      </c>
      <c r="AJ62">
        <f>0</f>
        <v>0</v>
      </c>
      <c r="AK62" s="1" t="e">
        <f t="shared" ca="1" si="22"/>
        <v>#NUM!</v>
      </c>
      <c r="AL62" s="16" t="e">
        <f t="shared" ca="1" si="23"/>
        <v>#NUM!</v>
      </c>
      <c r="AM62" s="16" t="e">
        <f t="shared" ca="1" si="24"/>
        <v>#NUM!</v>
      </c>
      <c r="AN62" s="13" t="e">
        <f t="shared" ca="1" si="25"/>
        <v>#NUM!</v>
      </c>
      <c r="AO62" s="16" t="e">
        <f t="shared" ca="1" si="26"/>
        <v>#NUM!</v>
      </c>
      <c r="AP62" s="16" t="e">
        <f t="shared" ca="1" si="27"/>
        <v>#NUM!</v>
      </c>
      <c r="AQ62" s="13">
        <f t="shared" si="28"/>
        <v>6.7608297539198143E-4</v>
      </c>
      <c r="AR62" s="13" t="e">
        <f t="shared" ca="1" si="29"/>
        <v>#NUM!</v>
      </c>
      <c r="AS62" s="1" t="e" cm="1">
        <f t="array" aca="1" ref="AS62:AU62" ca="1">TRANSPOSE(MMULT(MINVERSE(_xlfn.WRAPCOLS(AC62:AK62,3)),TRANSPOSE(T62:V62)))/$F$7:$H$7</f>
        <v>#NUM!</v>
      </c>
      <c r="AT62" s="1" t="e">
        <f ca="1"/>
        <v>#NUM!</v>
      </c>
      <c r="AU62" s="1" t="e">
        <f ca="1"/>
        <v>#NUM!</v>
      </c>
      <c r="AV62">
        <v>0</v>
      </c>
      <c r="AW62" t="e">
        <f t="shared" ca="1" si="53"/>
        <v>#NUM!</v>
      </c>
      <c r="AX62" t="e">
        <f t="shared" ca="1" si="37"/>
        <v>#NUM!</v>
      </c>
      <c r="AY62" t="e">
        <f t="shared" ca="1" si="54"/>
        <v>#NUM!</v>
      </c>
      <c r="AZ62" t="e">
        <f t="shared" ca="1" si="38"/>
        <v>#NUM!</v>
      </c>
      <c r="BA62" t="e">
        <f t="shared" ca="1" si="39"/>
        <v>#NUM!</v>
      </c>
      <c r="BB62" t="e">
        <f t="shared" ca="1" si="40"/>
        <v>#NUM!</v>
      </c>
      <c r="BC62" t="e">
        <f t="shared" ca="1" si="41"/>
        <v>#NUM!</v>
      </c>
      <c r="BD62" t="e">
        <f t="shared" ca="1" si="42"/>
        <v>#NUM!</v>
      </c>
      <c r="BE62" t="e">
        <f t="shared" ca="1" si="43"/>
        <v>#NUM!</v>
      </c>
      <c r="BF62" t="e">
        <f t="shared" ca="1" si="44"/>
        <v>#NUM!</v>
      </c>
      <c r="BG62" t="e">
        <f t="shared" ca="1" si="48"/>
        <v>#NUM!</v>
      </c>
      <c r="BH62" t="e">
        <f t="shared" ca="1" si="33"/>
        <v>#NUM!</v>
      </c>
      <c r="BI62" t="e">
        <f t="shared" ca="1" si="34"/>
        <v>#NUM!</v>
      </c>
      <c r="BJ62">
        <f t="shared" si="51"/>
        <v>0</v>
      </c>
    </row>
    <row r="63" spans="1:62" x14ac:dyDescent="0.25">
      <c r="A63">
        <f t="shared" si="46"/>
        <v>52</v>
      </c>
      <c r="B63" s="1">
        <f t="shared" si="49"/>
        <v>4.7209899999999998E-8</v>
      </c>
      <c r="C63" s="1">
        <f t="shared" si="49"/>
        <v>1.09987E-3</v>
      </c>
      <c r="D63" s="1">
        <f t="shared" si="49"/>
        <v>1.7799999999999999E-6</v>
      </c>
      <c r="E63" s="1" t="e">
        <f t="shared" ca="1" si="2"/>
        <v>#NUM!</v>
      </c>
      <c r="F63" s="1" t="e">
        <f t="shared" ca="1" si="36"/>
        <v>#NUM!</v>
      </c>
      <c r="G63" s="1" t="e">
        <f t="shared" ca="1" si="47"/>
        <v>#NUM!</v>
      </c>
      <c r="H63" s="1" t="e">
        <f t="shared" ca="1" si="3"/>
        <v>#NUM!</v>
      </c>
      <c r="I63" s="1">
        <f t="shared" si="52"/>
        <v>2.6915348039269097E-8</v>
      </c>
      <c r="J63" s="1" t="e">
        <f t="shared" ca="1" si="5"/>
        <v>#NUM!</v>
      </c>
      <c r="K63" s="1" t="e">
        <f t="shared" ca="1" si="6"/>
        <v>#NUM!</v>
      </c>
      <c r="L63" s="1">
        <f t="shared" si="7"/>
        <v>3.7411058827205313E-7</v>
      </c>
      <c r="M63" s="1" t="e">
        <f t="shared" ca="1" si="8"/>
        <v>#NUM!</v>
      </c>
      <c r="N63" s="1" t="e">
        <f t="shared" ca="1" si="9"/>
        <v>#NUM!</v>
      </c>
      <c r="O63" s="1" t="e">
        <f t="shared" ca="1" si="10"/>
        <v>#NUM!</v>
      </c>
      <c r="P63" s="1" t="e">
        <f t="shared" ca="1" si="11"/>
        <v>#NUM!</v>
      </c>
      <c r="Q63" s="1" t="e">
        <f t="shared" ca="1" si="12"/>
        <v>#NUM!</v>
      </c>
      <c r="R63" s="1" t="e">
        <f t="shared" ca="1" si="13"/>
        <v>#NUM!</v>
      </c>
      <c r="S63" s="1" t="e">
        <f t="shared" ca="1" si="14"/>
        <v>#NUM!</v>
      </c>
      <c r="T63" s="1" t="e">
        <f t="shared" ca="1" si="50"/>
        <v>#NUM!</v>
      </c>
      <c r="U63" s="1" t="e">
        <f t="shared" ca="1" si="50"/>
        <v>#NUM!</v>
      </c>
      <c r="V63" s="1" t="e">
        <f t="shared" ca="1" si="50"/>
        <v>#NUM!</v>
      </c>
      <c r="W63" s="1" t="e">
        <f t="shared" ca="1" si="50"/>
        <v>#NUM!</v>
      </c>
      <c r="X63" s="1" t="e" cm="1">
        <f t="array" aca="1" ref="X63:AA63" ca="1">ABS(T63:W63/B63:E63)</f>
        <v>#NUM!</v>
      </c>
      <c r="Y63" s="1" t="e">
        <f ca="1"/>
        <v>#NUM!</v>
      </c>
      <c r="Z63" s="1" t="e">
        <f ca="1"/>
        <v>#NUM!</v>
      </c>
      <c r="AA63" s="1" t="e">
        <f ca="1"/>
        <v>#NUM!</v>
      </c>
      <c r="AB63" s="1" t="e" cm="1">
        <f t="array" aca="1" ref="AB63" ca="1">MAX(ABS(T63:W63/B63:E63))</f>
        <v>#NUM!</v>
      </c>
      <c r="AC63" s="1" t="e">
        <f t="shared" ca="1" si="16"/>
        <v>#NUM!</v>
      </c>
      <c r="AD63" s="1" t="e">
        <f t="shared" ca="1" si="17"/>
        <v>#NUM!</v>
      </c>
      <c r="AE63" s="1" t="e">
        <f t="shared" ca="1" si="18"/>
        <v>#NUM!</v>
      </c>
      <c r="AF63" t="e">
        <f t="shared" ca="1" si="19"/>
        <v>#NUM!</v>
      </c>
      <c r="AG63" t="e">
        <f t="shared" ca="1" si="20"/>
        <v>#NUM!</v>
      </c>
      <c r="AH63">
        <v>0</v>
      </c>
      <c r="AI63" s="1" t="e">
        <f t="shared" ca="1" si="21"/>
        <v>#NUM!</v>
      </c>
      <c r="AJ63">
        <f>0</f>
        <v>0</v>
      </c>
      <c r="AK63" s="1" t="e">
        <f t="shared" ca="1" si="22"/>
        <v>#NUM!</v>
      </c>
      <c r="AL63" s="16" t="e">
        <f t="shared" ca="1" si="23"/>
        <v>#NUM!</v>
      </c>
      <c r="AM63" s="16" t="e">
        <f t="shared" ca="1" si="24"/>
        <v>#NUM!</v>
      </c>
      <c r="AN63" s="13" t="e">
        <f t="shared" ca="1" si="25"/>
        <v>#NUM!</v>
      </c>
      <c r="AO63" s="16" t="e">
        <f t="shared" ca="1" si="26"/>
        <v>#NUM!</v>
      </c>
      <c r="AP63" s="16" t="e">
        <f t="shared" ca="1" si="27"/>
        <v>#NUM!</v>
      </c>
      <c r="AQ63" s="13">
        <f t="shared" si="28"/>
        <v>6.7608297539198143E-4</v>
      </c>
      <c r="AR63" s="13" t="e">
        <f t="shared" ca="1" si="29"/>
        <v>#NUM!</v>
      </c>
      <c r="AS63" s="1" t="e" cm="1">
        <f t="array" aca="1" ref="AS63:AU63" ca="1">TRANSPOSE(MMULT(MINVERSE(_xlfn.WRAPCOLS(AC63:AK63,3)),TRANSPOSE(T63:V63)))/$F$7:$H$7</f>
        <v>#NUM!</v>
      </c>
      <c r="AT63" s="1" t="e">
        <f ca="1"/>
        <v>#NUM!</v>
      </c>
      <c r="AU63" s="1" t="e">
        <f ca="1"/>
        <v>#NUM!</v>
      </c>
      <c r="AV63">
        <v>0</v>
      </c>
      <c r="AW63" t="e">
        <f t="shared" ca="1" si="53"/>
        <v>#NUM!</v>
      </c>
      <c r="AX63" t="e">
        <f t="shared" ca="1" si="37"/>
        <v>#NUM!</v>
      </c>
      <c r="AY63" t="e">
        <f t="shared" ca="1" si="54"/>
        <v>#NUM!</v>
      </c>
      <c r="AZ63" t="e">
        <f t="shared" ca="1" si="38"/>
        <v>#NUM!</v>
      </c>
      <c r="BA63" t="e">
        <f t="shared" ca="1" si="39"/>
        <v>#NUM!</v>
      </c>
      <c r="BB63" t="e">
        <f t="shared" ca="1" si="40"/>
        <v>#NUM!</v>
      </c>
      <c r="BC63" t="e">
        <f t="shared" ca="1" si="41"/>
        <v>#NUM!</v>
      </c>
      <c r="BD63" t="e">
        <f t="shared" ca="1" si="42"/>
        <v>#NUM!</v>
      </c>
      <c r="BE63" t="e">
        <f t="shared" ca="1" si="43"/>
        <v>#NUM!</v>
      </c>
      <c r="BF63" t="e">
        <f t="shared" ca="1" si="44"/>
        <v>#NUM!</v>
      </c>
      <c r="BG63" t="e">
        <f t="shared" ca="1" si="48"/>
        <v>#NUM!</v>
      </c>
      <c r="BH63" t="e">
        <f t="shared" ca="1" si="33"/>
        <v>#NUM!</v>
      </c>
      <c r="BI63" t="e">
        <f t="shared" ca="1" si="34"/>
        <v>#NUM!</v>
      </c>
      <c r="BJ63">
        <f t="shared" si="51"/>
        <v>0</v>
      </c>
    </row>
    <row r="64" spans="1:62" x14ac:dyDescent="0.25">
      <c r="A64">
        <f t="shared" si="46"/>
        <v>53</v>
      </c>
      <c r="B64" s="1">
        <f t="shared" si="49"/>
        <v>4.7209899999999998E-8</v>
      </c>
      <c r="C64" s="1">
        <f t="shared" si="49"/>
        <v>1.09987E-3</v>
      </c>
      <c r="D64" s="1">
        <f t="shared" si="49"/>
        <v>1.7799999999999999E-6</v>
      </c>
      <c r="E64" s="1" t="e">
        <f t="shared" ca="1" si="2"/>
        <v>#NUM!</v>
      </c>
      <c r="F64" s="1" t="e">
        <f t="shared" ca="1" si="36"/>
        <v>#NUM!</v>
      </c>
      <c r="G64" s="1" t="e">
        <f t="shared" ca="1" si="47"/>
        <v>#NUM!</v>
      </c>
      <c r="H64" s="1" t="e">
        <f t="shared" ca="1" si="3"/>
        <v>#NUM!</v>
      </c>
      <c r="I64" s="1">
        <f t="shared" si="52"/>
        <v>2.6915348039269097E-8</v>
      </c>
      <c r="J64" s="1" t="e">
        <f t="shared" ca="1" si="5"/>
        <v>#NUM!</v>
      </c>
      <c r="K64" s="1" t="e">
        <f t="shared" ca="1" si="6"/>
        <v>#NUM!</v>
      </c>
      <c r="L64" s="1">
        <f t="shared" si="7"/>
        <v>3.7411058827205313E-7</v>
      </c>
      <c r="M64" s="1" t="e">
        <f t="shared" ca="1" si="8"/>
        <v>#NUM!</v>
      </c>
      <c r="N64" s="1" t="e">
        <f t="shared" ca="1" si="9"/>
        <v>#NUM!</v>
      </c>
      <c r="O64" s="1" t="e">
        <f t="shared" ca="1" si="10"/>
        <v>#NUM!</v>
      </c>
      <c r="P64" s="1" t="e">
        <f t="shared" ca="1" si="11"/>
        <v>#NUM!</v>
      </c>
      <c r="Q64" s="1" t="e">
        <f t="shared" ca="1" si="12"/>
        <v>#NUM!</v>
      </c>
      <c r="R64" s="1" t="e">
        <f t="shared" ca="1" si="13"/>
        <v>#NUM!</v>
      </c>
      <c r="S64" s="1" t="e">
        <f t="shared" ca="1" si="14"/>
        <v>#NUM!</v>
      </c>
      <c r="T64" s="1" t="e">
        <f t="shared" ca="1" si="50"/>
        <v>#NUM!</v>
      </c>
      <c r="U64" s="1" t="e">
        <f t="shared" ca="1" si="50"/>
        <v>#NUM!</v>
      </c>
      <c r="V64" s="1" t="e">
        <f t="shared" ca="1" si="50"/>
        <v>#NUM!</v>
      </c>
      <c r="W64" s="1" t="e">
        <f t="shared" ca="1" si="50"/>
        <v>#NUM!</v>
      </c>
      <c r="X64" s="1" t="e" cm="1">
        <f t="array" aca="1" ref="X64:AA64" ca="1">ABS(T64:W64/B64:E64)</f>
        <v>#NUM!</v>
      </c>
      <c r="Y64" s="1" t="e">
        <f ca="1"/>
        <v>#NUM!</v>
      </c>
      <c r="Z64" s="1" t="e">
        <f ca="1"/>
        <v>#NUM!</v>
      </c>
      <c r="AA64" s="1" t="e">
        <f ca="1"/>
        <v>#NUM!</v>
      </c>
      <c r="AB64" s="1" t="e" cm="1">
        <f t="array" aca="1" ref="AB64" ca="1">MAX(ABS(T64:W64/B64:E64))</f>
        <v>#NUM!</v>
      </c>
      <c r="AC64" s="1" t="e">
        <f t="shared" ca="1" si="16"/>
        <v>#NUM!</v>
      </c>
      <c r="AD64" s="1" t="e">
        <f t="shared" ca="1" si="17"/>
        <v>#NUM!</v>
      </c>
      <c r="AE64" s="1" t="e">
        <f t="shared" ca="1" si="18"/>
        <v>#NUM!</v>
      </c>
      <c r="AF64" t="e">
        <f t="shared" ca="1" si="19"/>
        <v>#NUM!</v>
      </c>
      <c r="AG64" t="e">
        <f t="shared" ca="1" si="20"/>
        <v>#NUM!</v>
      </c>
      <c r="AH64">
        <v>0</v>
      </c>
      <c r="AI64" s="1" t="e">
        <f t="shared" ca="1" si="21"/>
        <v>#NUM!</v>
      </c>
      <c r="AJ64">
        <f>0</f>
        <v>0</v>
      </c>
      <c r="AK64" s="1" t="e">
        <f t="shared" ca="1" si="22"/>
        <v>#NUM!</v>
      </c>
      <c r="AL64" s="16" t="e">
        <f t="shared" ca="1" si="23"/>
        <v>#NUM!</v>
      </c>
      <c r="AM64" s="16" t="e">
        <f t="shared" ca="1" si="24"/>
        <v>#NUM!</v>
      </c>
      <c r="AN64" s="13" t="e">
        <f t="shared" ca="1" si="25"/>
        <v>#NUM!</v>
      </c>
      <c r="AO64" s="16" t="e">
        <f t="shared" ca="1" si="26"/>
        <v>#NUM!</v>
      </c>
      <c r="AP64" s="16" t="e">
        <f t="shared" ca="1" si="27"/>
        <v>#NUM!</v>
      </c>
      <c r="AQ64" s="13">
        <f t="shared" si="28"/>
        <v>6.7608297539198143E-4</v>
      </c>
      <c r="AR64" s="13" t="e">
        <f t="shared" ca="1" si="29"/>
        <v>#NUM!</v>
      </c>
      <c r="AS64" s="1" t="e" cm="1">
        <f t="array" aca="1" ref="AS64:AU64" ca="1">TRANSPOSE(MMULT(MINVERSE(_xlfn.WRAPCOLS(AC64:AK64,3)),TRANSPOSE(T64:V64)))/$F$7:$H$7</f>
        <v>#NUM!</v>
      </c>
      <c r="AT64" s="1" t="e">
        <f ca="1"/>
        <v>#NUM!</v>
      </c>
      <c r="AU64" s="1" t="e">
        <f ca="1"/>
        <v>#NUM!</v>
      </c>
      <c r="AV64">
        <v>0</v>
      </c>
      <c r="AW64" t="e">
        <f t="shared" ca="1" si="53"/>
        <v>#NUM!</v>
      </c>
      <c r="AX64" t="e">
        <f t="shared" ca="1" si="37"/>
        <v>#NUM!</v>
      </c>
      <c r="AY64" t="e">
        <f t="shared" ca="1" si="54"/>
        <v>#NUM!</v>
      </c>
      <c r="AZ64" t="e">
        <f t="shared" ca="1" si="38"/>
        <v>#NUM!</v>
      </c>
      <c r="BA64" t="e">
        <f t="shared" ca="1" si="39"/>
        <v>#NUM!</v>
      </c>
      <c r="BB64" t="e">
        <f t="shared" ca="1" si="40"/>
        <v>#NUM!</v>
      </c>
      <c r="BC64" t="e">
        <f t="shared" ca="1" si="41"/>
        <v>#NUM!</v>
      </c>
      <c r="BD64" t="e">
        <f t="shared" ca="1" si="42"/>
        <v>#NUM!</v>
      </c>
      <c r="BE64" t="e">
        <f t="shared" ca="1" si="43"/>
        <v>#NUM!</v>
      </c>
      <c r="BF64" t="e">
        <f t="shared" ca="1" si="44"/>
        <v>#NUM!</v>
      </c>
      <c r="BG64" t="e">
        <f t="shared" ca="1" si="48"/>
        <v>#NUM!</v>
      </c>
      <c r="BH64" t="e">
        <f t="shared" ca="1" si="33"/>
        <v>#NUM!</v>
      </c>
      <c r="BI64" t="e">
        <f t="shared" ca="1" si="34"/>
        <v>#NUM!</v>
      </c>
      <c r="BJ64">
        <f t="shared" si="51"/>
        <v>0</v>
      </c>
    </row>
    <row r="65" spans="1:62" x14ac:dyDescent="0.25">
      <c r="A65">
        <f t="shared" si="46"/>
        <v>54</v>
      </c>
      <c r="B65" s="1">
        <f t="shared" si="49"/>
        <v>4.7209899999999998E-8</v>
      </c>
      <c r="C65" s="1">
        <f t="shared" si="49"/>
        <v>1.09987E-3</v>
      </c>
      <c r="D65" s="1">
        <f t="shared" si="49"/>
        <v>1.7799999999999999E-6</v>
      </c>
      <c r="E65" s="1" t="e">
        <f t="shared" ca="1" si="2"/>
        <v>#NUM!</v>
      </c>
      <c r="F65" s="1" t="e">
        <f t="shared" ca="1" si="36"/>
        <v>#NUM!</v>
      </c>
      <c r="G65" s="1" t="e">
        <f t="shared" ca="1" si="47"/>
        <v>#NUM!</v>
      </c>
      <c r="H65" s="1" t="e">
        <f t="shared" ca="1" si="3"/>
        <v>#NUM!</v>
      </c>
      <c r="I65" s="1">
        <f t="shared" si="52"/>
        <v>2.6915348039269097E-8</v>
      </c>
      <c r="J65" s="1" t="e">
        <f t="shared" ca="1" si="5"/>
        <v>#NUM!</v>
      </c>
      <c r="K65" s="1" t="e">
        <f t="shared" ca="1" si="6"/>
        <v>#NUM!</v>
      </c>
      <c r="L65" s="1">
        <f t="shared" si="7"/>
        <v>3.7411058827205313E-7</v>
      </c>
      <c r="M65" s="1" t="e">
        <f t="shared" ca="1" si="8"/>
        <v>#NUM!</v>
      </c>
      <c r="N65" s="1" t="e">
        <f t="shared" ca="1" si="9"/>
        <v>#NUM!</v>
      </c>
      <c r="O65" s="1" t="e">
        <f t="shared" ca="1" si="10"/>
        <v>#NUM!</v>
      </c>
      <c r="P65" s="1" t="e">
        <f t="shared" ca="1" si="11"/>
        <v>#NUM!</v>
      </c>
      <c r="Q65" s="1" t="e">
        <f t="shared" ca="1" si="12"/>
        <v>#NUM!</v>
      </c>
      <c r="R65" s="1" t="e">
        <f t="shared" ca="1" si="13"/>
        <v>#NUM!</v>
      </c>
      <c r="S65" s="1" t="e">
        <f t="shared" ca="1" si="14"/>
        <v>#NUM!</v>
      </c>
      <c r="T65" s="1" t="e">
        <f t="shared" ca="1" si="50"/>
        <v>#NUM!</v>
      </c>
      <c r="U65" s="1" t="e">
        <f t="shared" ca="1" si="50"/>
        <v>#NUM!</v>
      </c>
      <c r="V65" s="1" t="e">
        <f t="shared" ca="1" si="50"/>
        <v>#NUM!</v>
      </c>
      <c r="W65" s="1" t="e">
        <f t="shared" ca="1" si="50"/>
        <v>#NUM!</v>
      </c>
      <c r="X65" s="1" t="e" cm="1">
        <f t="array" aca="1" ref="X65:AA65" ca="1">ABS(T65:W65/B65:E65)</f>
        <v>#NUM!</v>
      </c>
      <c r="Y65" s="1" t="e">
        <f ca="1"/>
        <v>#NUM!</v>
      </c>
      <c r="Z65" s="1" t="e">
        <f ca="1"/>
        <v>#NUM!</v>
      </c>
      <c r="AA65" s="1" t="e">
        <f ca="1"/>
        <v>#NUM!</v>
      </c>
      <c r="AB65" s="1" t="e" cm="1">
        <f t="array" aca="1" ref="AB65" ca="1">MAX(ABS(T65:W65/B65:E65))</f>
        <v>#NUM!</v>
      </c>
      <c r="AC65" s="1" t="e">
        <f t="shared" ca="1" si="16"/>
        <v>#NUM!</v>
      </c>
      <c r="AD65" s="1" t="e">
        <f t="shared" ca="1" si="17"/>
        <v>#NUM!</v>
      </c>
      <c r="AE65" s="1" t="e">
        <f t="shared" ca="1" si="18"/>
        <v>#NUM!</v>
      </c>
      <c r="AF65" t="e">
        <f t="shared" ca="1" si="19"/>
        <v>#NUM!</v>
      </c>
      <c r="AG65" t="e">
        <f t="shared" ca="1" si="20"/>
        <v>#NUM!</v>
      </c>
      <c r="AH65">
        <v>0</v>
      </c>
      <c r="AI65" s="1" t="e">
        <f t="shared" ca="1" si="21"/>
        <v>#NUM!</v>
      </c>
      <c r="AJ65">
        <f>0</f>
        <v>0</v>
      </c>
      <c r="AK65" s="1" t="e">
        <f t="shared" ca="1" si="22"/>
        <v>#NUM!</v>
      </c>
      <c r="AL65" s="16" t="e">
        <f t="shared" ca="1" si="23"/>
        <v>#NUM!</v>
      </c>
      <c r="AM65" s="16" t="e">
        <f t="shared" ca="1" si="24"/>
        <v>#NUM!</v>
      </c>
      <c r="AN65" s="13" t="e">
        <f t="shared" ca="1" si="25"/>
        <v>#NUM!</v>
      </c>
      <c r="AO65" s="16" t="e">
        <f t="shared" ca="1" si="26"/>
        <v>#NUM!</v>
      </c>
      <c r="AP65" s="16" t="e">
        <f t="shared" ca="1" si="27"/>
        <v>#NUM!</v>
      </c>
      <c r="AQ65" s="13">
        <f t="shared" si="28"/>
        <v>6.7608297539198143E-4</v>
      </c>
      <c r="AR65" s="13" t="e">
        <f t="shared" ca="1" si="29"/>
        <v>#NUM!</v>
      </c>
      <c r="AS65" s="1" t="e" cm="1">
        <f t="array" aca="1" ref="AS65:AU65" ca="1">TRANSPOSE(MMULT(MINVERSE(_xlfn.WRAPCOLS(AC65:AK65,3)),TRANSPOSE(T65:V65)))/$F$7:$H$7</f>
        <v>#NUM!</v>
      </c>
      <c r="AT65" s="1" t="e">
        <f ca="1"/>
        <v>#NUM!</v>
      </c>
      <c r="AU65" s="1" t="e">
        <f ca="1"/>
        <v>#NUM!</v>
      </c>
      <c r="AV65">
        <v>0</v>
      </c>
      <c r="AW65" t="e">
        <f t="shared" ca="1" si="53"/>
        <v>#NUM!</v>
      </c>
      <c r="AX65" t="e">
        <f t="shared" ca="1" si="37"/>
        <v>#NUM!</v>
      </c>
      <c r="AY65" t="e">
        <f t="shared" ca="1" si="54"/>
        <v>#NUM!</v>
      </c>
      <c r="AZ65" t="e">
        <f t="shared" ca="1" si="38"/>
        <v>#NUM!</v>
      </c>
      <c r="BA65" t="e">
        <f t="shared" ca="1" si="39"/>
        <v>#NUM!</v>
      </c>
      <c r="BB65" t="e">
        <f t="shared" ca="1" si="40"/>
        <v>#NUM!</v>
      </c>
      <c r="BC65" t="e">
        <f t="shared" ca="1" si="41"/>
        <v>#NUM!</v>
      </c>
      <c r="BD65" t="e">
        <f t="shared" ca="1" si="42"/>
        <v>#NUM!</v>
      </c>
      <c r="BE65" t="e">
        <f t="shared" ca="1" si="43"/>
        <v>#NUM!</v>
      </c>
      <c r="BF65" t="e">
        <f t="shared" ca="1" si="44"/>
        <v>#NUM!</v>
      </c>
      <c r="BG65" t="e">
        <f t="shared" ca="1" si="48"/>
        <v>#NUM!</v>
      </c>
      <c r="BH65" t="e">
        <f t="shared" ca="1" si="33"/>
        <v>#NUM!</v>
      </c>
      <c r="BI65" t="e">
        <f t="shared" ca="1" si="34"/>
        <v>#NUM!</v>
      </c>
      <c r="BJ65">
        <f t="shared" si="51"/>
        <v>0</v>
      </c>
    </row>
    <row r="66" spans="1:62" x14ac:dyDescent="0.25">
      <c r="A66">
        <f t="shared" si="46"/>
        <v>55</v>
      </c>
      <c r="B66" s="1">
        <f t="shared" si="49"/>
        <v>4.7209899999999998E-8</v>
      </c>
      <c r="C66" s="1">
        <f t="shared" si="49"/>
        <v>1.09987E-3</v>
      </c>
      <c r="D66" s="1">
        <f t="shared" si="49"/>
        <v>1.7799999999999999E-6</v>
      </c>
      <c r="E66" s="1" t="e">
        <f t="shared" ca="1" si="2"/>
        <v>#NUM!</v>
      </c>
      <c r="F66" s="1" t="e">
        <f t="shared" ca="1" si="36"/>
        <v>#NUM!</v>
      </c>
      <c r="G66" s="1" t="e">
        <f t="shared" ca="1" si="47"/>
        <v>#NUM!</v>
      </c>
      <c r="H66" s="1" t="e">
        <f t="shared" ca="1" si="3"/>
        <v>#NUM!</v>
      </c>
      <c r="I66" s="1">
        <f t="shared" si="52"/>
        <v>2.6915348039269097E-8</v>
      </c>
      <c r="J66" s="1" t="e">
        <f t="shared" ca="1" si="5"/>
        <v>#NUM!</v>
      </c>
      <c r="K66" s="1" t="e">
        <f t="shared" ca="1" si="6"/>
        <v>#NUM!</v>
      </c>
      <c r="L66" s="1">
        <f t="shared" si="7"/>
        <v>3.7411058827205313E-7</v>
      </c>
      <c r="M66" s="1" t="e">
        <f t="shared" ca="1" si="8"/>
        <v>#NUM!</v>
      </c>
      <c r="N66" s="1" t="e">
        <f t="shared" ca="1" si="9"/>
        <v>#NUM!</v>
      </c>
      <c r="O66" s="1" t="e">
        <f t="shared" ca="1" si="10"/>
        <v>#NUM!</v>
      </c>
      <c r="P66" s="1" t="e">
        <f t="shared" ca="1" si="11"/>
        <v>#NUM!</v>
      </c>
      <c r="Q66" s="1" t="e">
        <f t="shared" ca="1" si="12"/>
        <v>#NUM!</v>
      </c>
      <c r="R66" s="1" t="e">
        <f t="shared" ca="1" si="13"/>
        <v>#NUM!</v>
      </c>
      <c r="S66" s="1" t="e">
        <f t="shared" ca="1" si="14"/>
        <v>#NUM!</v>
      </c>
      <c r="T66" s="1" t="e">
        <f t="shared" ca="1" si="50"/>
        <v>#NUM!</v>
      </c>
      <c r="U66" s="1" t="e">
        <f t="shared" ca="1" si="50"/>
        <v>#NUM!</v>
      </c>
      <c r="V66" s="1" t="e">
        <f t="shared" ca="1" si="50"/>
        <v>#NUM!</v>
      </c>
      <c r="W66" s="1" t="e">
        <f t="shared" ca="1" si="50"/>
        <v>#NUM!</v>
      </c>
      <c r="X66" s="1" t="e" cm="1">
        <f t="array" aca="1" ref="X66:AA66" ca="1">ABS(T66:W66/B66:E66)</f>
        <v>#NUM!</v>
      </c>
      <c r="Y66" s="1" t="e">
        <f ca="1"/>
        <v>#NUM!</v>
      </c>
      <c r="Z66" s="1" t="e">
        <f ca="1"/>
        <v>#NUM!</v>
      </c>
      <c r="AA66" s="1" t="e">
        <f ca="1"/>
        <v>#NUM!</v>
      </c>
      <c r="AB66" s="1" t="e" cm="1">
        <f t="array" aca="1" ref="AB66" ca="1">MAX(ABS(T66:W66/B66:E66))</f>
        <v>#NUM!</v>
      </c>
      <c r="AC66" s="1" t="e">
        <f t="shared" ca="1" si="16"/>
        <v>#NUM!</v>
      </c>
      <c r="AD66" s="1" t="e">
        <f t="shared" ca="1" si="17"/>
        <v>#NUM!</v>
      </c>
      <c r="AE66" s="1" t="e">
        <f t="shared" ca="1" si="18"/>
        <v>#NUM!</v>
      </c>
      <c r="AF66" t="e">
        <f t="shared" ca="1" si="19"/>
        <v>#NUM!</v>
      </c>
      <c r="AG66" t="e">
        <f t="shared" ca="1" si="20"/>
        <v>#NUM!</v>
      </c>
      <c r="AH66">
        <v>0</v>
      </c>
      <c r="AI66" s="1" t="e">
        <f t="shared" ca="1" si="21"/>
        <v>#NUM!</v>
      </c>
      <c r="AJ66">
        <f>0</f>
        <v>0</v>
      </c>
      <c r="AK66" s="1" t="e">
        <f t="shared" ca="1" si="22"/>
        <v>#NUM!</v>
      </c>
      <c r="AL66" s="16" t="e">
        <f t="shared" ca="1" si="23"/>
        <v>#NUM!</v>
      </c>
      <c r="AM66" s="16" t="e">
        <f t="shared" ca="1" si="24"/>
        <v>#NUM!</v>
      </c>
      <c r="AN66" s="13" t="e">
        <f t="shared" ca="1" si="25"/>
        <v>#NUM!</v>
      </c>
      <c r="AO66" s="16" t="e">
        <f t="shared" ca="1" si="26"/>
        <v>#NUM!</v>
      </c>
      <c r="AP66" s="16" t="e">
        <f t="shared" ca="1" si="27"/>
        <v>#NUM!</v>
      </c>
      <c r="AQ66" s="13">
        <f t="shared" si="28"/>
        <v>6.7608297539198143E-4</v>
      </c>
      <c r="AR66" s="13" t="e">
        <f t="shared" ca="1" si="29"/>
        <v>#NUM!</v>
      </c>
      <c r="AS66" s="1" t="e" cm="1">
        <f t="array" aca="1" ref="AS66:AU66" ca="1">TRANSPOSE(MMULT(MINVERSE(_xlfn.WRAPCOLS(AC66:AK66,3)),TRANSPOSE(T66:V66)))/$F$7:$H$7</f>
        <v>#NUM!</v>
      </c>
      <c r="AT66" s="1" t="e">
        <f ca="1"/>
        <v>#NUM!</v>
      </c>
      <c r="AU66" s="1" t="e">
        <f ca="1"/>
        <v>#NUM!</v>
      </c>
      <c r="AV66">
        <v>0</v>
      </c>
      <c r="AW66" t="e">
        <f t="shared" ca="1" si="53"/>
        <v>#NUM!</v>
      </c>
      <c r="AX66" t="e">
        <f t="shared" ca="1" si="37"/>
        <v>#NUM!</v>
      </c>
      <c r="AY66" t="e">
        <f t="shared" ca="1" si="54"/>
        <v>#NUM!</v>
      </c>
      <c r="AZ66" t="e">
        <f t="shared" ca="1" si="38"/>
        <v>#NUM!</v>
      </c>
      <c r="BA66" t="e">
        <f t="shared" ca="1" si="39"/>
        <v>#NUM!</v>
      </c>
      <c r="BB66" t="e">
        <f t="shared" ca="1" si="40"/>
        <v>#NUM!</v>
      </c>
      <c r="BC66" t="e">
        <f t="shared" ca="1" si="41"/>
        <v>#NUM!</v>
      </c>
      <c r="BD66" t="e">
        <f t="shared" ca="1" si="42"/>
        <v>#NUM!</v>
      </c>
      <c r="BE66" t="e">
        <f t="shared" ca="1" si="43"/>
        <v>#NUM!</v>
      </c>
      <c r="BF66" t="e">
        <f t="shared" ca="1" si="44"/>
        <v>#NUM!</v>
      </c>
      <c r="BG66" t="e">
        <f t="shared" ca="1" si="48"/>
        <v>#NUM!</v>
      </c>
      <c r="BH66" t="e">
        <f t="shared" ca="1" si="33"/>
        <v>#NUM!</v>
      </c>
      <c r="BI66" t="e">
        <f t="shared" ca="1" si="34"/>
        <v>#NUM!</v>
      </c>
      <c r="BJ66">
        <f t="shared" si="51"/>
        <v>0</v>
      </c>
    </row>
    <row r="67" spans="1:62" x14ac:dyDescent="0.25">
      <c r="A67">
        <f t="shared" si="46"/>
        <v>56</v>
      </c>
      <c r="B67" s="1">
        <f t="shared" si="49"/>
        <v>4.7209899999999998E-8</v>
      </c>
      <c r="C67" s="1">
        <f t="shared" si="49"/>
        <v>1.09987E-3</v>
      </c>
      <c r="D67" s="1">
        <f t="shared" si="49"/>
        <v>1.7799999999999999E-6</v>
      </c>
      <c r="E67" s="1" t="e">
        <f t="shared" ca="1" si="2"/>
        <v>#NUM!</v>
      </c>
      <c r="F67" s="1" t="e">
        <f t="shared" ca="1" si="36"/>
        <v>#NUM!</v>
      </c>
      <c r="G67" s="1" t="e">
        <f t="shared" ca="1" si="47"/>
        <v>#NUM!</v>
      </c>
      <c r="H67" s="1" t="e">
        <f t="shared" ca="1" si="3"/>
        <v>#NUM!</v>
      </c>
      <c r="I67" s="1">
        <f t="shared" si="52"/>
        <v>2.6915348039269097E-8</v>
      </c>
      <c r="J67" s="1" t="e">
        <f t="shared" ca="1" si="5"/>
        <v>#NUM!</v>
      </c>
      <c r="K67" s="1" t="e">
        <f t="shared" ca="1" si="6"/>
        <v>#NUM!</v>
      </c>
      <c r="L67" s="1">
        <f t="shared" si="7"/>
        <v>3.7411058827205313E-7</v>
      </c>
      <c r="M67" s="1" t="e">
        <f t="shared" ca="1" si="8"/>
        <v>#NUM!</v>
      </c>
      <c r="N67" s="1" t="e">
        <f t="shared" ca="1" si="9"/>
        <v>#NUM!</v>
      </c>
      <c r="O67" s="1" t="e">
        <f t="shared" ca="1" si="10"/>
        <v>#NUM!</v>
      </c>
      <c r="P67" s="1" t="e">
        <f t="shared" ca="1" si="11"/>
        <v>#NUM!</v>
      </c>
      <c r="Q67" s="1" t="e">
        <f t="shared" ca="1" si="12"/>
        <v>#NUM!</v>
      </c>
      <c r="R67" s="1" t="e">
        <f t="shared" ca="1" si="13"/>
        <v>#NUM!</v>
      </c>
      <c r="S67" s="1" t="e">
        <f t="shared" ca="1" si="14"/>
        <v>#NUM!</v>
      </c>
      <c r="T67" s="1" t="e">
        <f t="shared" ca="1" si="50"/>
        <v>#NUM!</v>
      </c>
      <c r="U67" s="1" t="e">
        <f t="shared" ca="1" si="50"/>
        <v>#NUM!</v>
      </c>
      <c r="V67" s="1" t="e">
        <f t="shared" ca="1" si="50"/>
        <v>#NUM!</v>
      </c>
      <c r="W67" s="1" t="e">
        <f t="shared" ca="1" si="50"/>
        <v>#NUM!</v>
      </c>
      <c r="X67" s="1" t="e" cm="1">
        <f t="array" aca="1" ref="X67:AA67" ca="1">ABS(T67:W67/B67:E67)</f>
        <v>#NUM!</v>
      </c>
      <c r="Y67" s="1" t="e">
        <f ca="1"/>
        <v>#NUM!</v>
      </c>
      <c r="Z67" s="1" t="e">
        <f ca="1"/>
        <v>#NUM!</v>
      </c>
      <c r="AA67" s="1" t="e">
        <f ca="1"/>
        <v>#NUM!</v>
      </c>
      <c r="AB67" s="1" t="e" cm="1">
        <f t="array" aca="1" ref="AB67" ca="1">MAX(ABS(T67:W67/B67:E67))</f>
        <v>#NUM!</v>
      </c>
      <c r="AC67" s="1" t="e">
        <f t="shared" ca="1" si="16"/>
        <v>#NUM!</v>
      </c>
      <c r="AD67" s="1" t="e">
        <f t="shared" ca="1" si="17"/>
        <v>#NUM!</v>
      </c>
      <c r="AE67" s="1" t="e">
        <f t="shared" ca="1" si="18"/>
        <v>#NUM!</v>
      </c>
      <c r="AF67" t="e">
        <f t="shared" ca="1" si="19"/>
        <v>#NUM!</v>
      </c>
      <c r="AG67" t="e">
        <f t="shared" ca="1" si="20"/>
        <v>#NUM!</v>
      </c>
      <c r="AH67">
        <v>0</v>
      </c>
      <c r="AI67" s="1" t="e">
        <f t="shared" ca="1" si="21"/>
        <v>#NUM!</v>
      </c>
      <c r="AJ67">
        <f>0</f>
        <v>0</v>
      </c>
      <c r="AK67" s="1" t="e">
        <f t="shared" ca="1" si="22"/>
        <v>#NUM!</v>
      </c>
      <c r="AL67" s="16" t="e">
        <f t="shared" ca="1" si="23"/>
        <v>#NUM!</v>
      </c>
      <c r="AM67" s="16" t="e">
        <f t="shared" ca="1" si="24"/>
        <v>#NUM!</v>
      </c>
      <c r="AN67" s="13" t="e">
        <f t="shared" ca="1" si="25"/>
        <v>#NUM!</v>
      </c>
      <c r="AO67" s="16" t="e">
        <f t="shared" ca="1" si="26"/>
        <v>#NUM!</v>
      </c>
      <c r="AP67" s="16" t="e">
        <f t="shared" ca="1" si="27"/>
        <v>#NUM!</v>
      </c>
      <c r="AQ67" s="13">
        <f t="shared" si="28"/>
        <v>6.7608297539198143E-4</v>
      </c>
      <c r="AR67" s="13" t="e">
        <f t="shared" ca="1" si="29"/>
        <v>#NUM!</v>
      </c>
      <c r="AS67" s="1" t="e" cm="1">
        <f t="array" aca="1" ref="AS67:AU67" ca="1">TRANSPOSE(MMULT(MINVERSE(_xlfn.WRAPCOLS(AC67:AK67,3)),TRANSPOSE(T67:V67)))/$F$7:$H$7</f>
        <v>#NUM!</v>
      </c>
      <c r="AT67" s="1" t="e">
        <f ca="1"/>
        <v>#NUM!</v>
      </c>
      <c r="AU67" s="1" t="e">
        <f ca="1"/>
        <v>#NUM!</v>
      </c>
      <c r="AV67">
        <v>0</v>
      </c>
      <c r="AW67" t="e">
        <f t="shared" ca="1" si="53"/>
        <v>#NUM!</v>
      </c>
      <c r="AX67" t="e">
        <f t="shared" ca="1" si="37"/>
        <v>#NUM!</v>
      </c>
      <c r="AY67" t="e">
        <f t="shared" ca="1" si="54"/>
        <v>#NUM!</v>
      </c>
      <c r="AZ67" t="e">
        <f t="shared" ca="1" si="38"/>
        <v>#NUM!</v>
      </c>
      <c r="BA67" t="e">
        <f t="shared" ca="1" si="39"/>
        <v>#NUM!</v>
      </c>
      <c r="BB67" t="e">
        <f t="shared" ca="1" si="40"/>
        <v>#NUM!</v>
      </c>
      <c r="BC67" t="e">
        <f t="shared" ca="1" si="41"/>
        <v>#NUM!</v>
      </c>
      <c r="BD67" t="e">
        <f t="shared" ca="1" si="42"/>
        <v>#NUM!</v>
      </c>
      <c r="BE67" t="e">
        <f t="shared" ca="1" si="43"/>
        <v>#NUM!</v>
      </c>
      <c r="BF67" t="e">
        <f t="shared" ca="1" si="44"/>
        <v>#NUM!</v>
      </c>
      <c r="BG67" t="e">
        <f t="shared" ca="1" si="48"/>
        <v>#NUM!</v>
      </c>
      <c r="BH67" t="e">
        <f t="shared" ca="1" si="33"/>
        <v>#NUM!</v>
      </c>
      <c r="BI67" t="e">
        <f t="shared" ca="1" si="34"/>
        <v>#NUM!</v>
      </c>
      <c r="BJ67">
        <f t="shared" si="51"/>
        <v>0</v>
      </c>
    </row>
    <row r="68" spans="1:62" x14ac:dyDescent="0.25">
      <c r="A68">
        <f t="shared" si="46"/>
        <v>57</v>
      </c>
      <c r="B68" s="1">
        <f t="shared" si="49"/>
        <v>4.7209899999999998E-8</v>
      </c>
      <c r="C68" s="1">
        <f t="shared" si="49"/>
        <v>1.09987E-3</v>
      </c>
      <c r="D68" s="1">
        <f t="shared" si="49"/>
        <v>1.7799999999999999E-6</v>
      </c>
      <c r="E68" s="1" t="e">
        <f t="shared" ca="1" si="2"/>
        <v>#NUM!</v>
      </c>
      <c r="F68" s="1" t="e">
        <f t="shared" ca="1" si="36"/>
        <v>#NUM!</v>
      </c>
      <c r="G68" s="1" t="e">
        <f t="shared" ca="1" si="47"/>
        <v>#NUM!</v>
      </c>
      <c r="H68" s="1" t="e">
        <f t="shared" ca="1" si="3"/>
        <v>#NUM!</v>
      </c>
      <c r="I68" s="1">
        <f t="shared" si="52"/>
        <v>2.6915348039269097E-8</v>
      </c>
      <c r="J68" s="1" t="e">
        <f t="shared" ca="1" si="5"/>
        <v>#NUM!</v>
      </c>
      <c r="K68" s="1" t="e">
        <f t="shared" ca="1" si="6"/>
        <v>#NUM!</v>
      </c>
      <c r="L68" s="1">
        <f t="shared" si="7"/>
        <v>3.7411058827205313E-7</v>
      </c>
      <c r="M68" s="1" t="e">
        <f t="shared" ca="1" si="8"/>
        <v>#NUM!</v>
      </c>
      <c r="N68" s="1" t="e">
        <f t="shared" ca="1" si="9"/>
        <v>#NUM!</v>
      </c>
      <c r="O68" s="1" t="e">
        <f t="shared" ca="1" si="10"/>
        <v>#NUM!</v>
      </c>
      <c r="P68" s="1" t="e">
        <f t="shared" ca="1" si="11"/>
        <v>#NUM!</v>
      </c>
      <c r="Q68" s="1" t="e">
        <f t="shared" ca="1" si="12"/>
        <v>#NUM!</v>
      </c>
      <c r="R68" s="1" t="e">
        <f t="shared" ca="1" si="13"/>
        <v>#NUM!</v>
      </c>
      <c r="S68" s="1" t="e">
        <f t="shared" ca="1" si="14"/>
        <v>#NUM!</v>
      </c>
      <c r="T68" s="1" t="e">
        <f t="shared" ca="1" si="50"/>
        <v>#NUM!</v>
      </c>
      <c r="U68" s="1" t="e">
        <f t="shared" ca="1" si="50"/>
        <v>#NUM!</v>
      </c>
      <c r="V68" s="1" t="e">
        <f t="shared" ca="1" si="50"/>
        <v>#NUM!</v>
      </c>
      <c r="W68" s="1" t="e">
        <f t="shared" ca="1" si="50"/>
        <v>#NUM!</v>
      </c>
      <c r="X68" s="1" t="e" cm="1">
        <f t="array" aca="1" ref="X68:AA68" ca="1">ABS(T68:W68/B68:E68)</f>
        <v>#NUM!</v>
      </c>
      <c r="Y68" s="1" t="e">
        <f ca="1"/>
        <v>#NUM!</v>
      </c>
      <c r="Z68" s="1" t="e">
        <f ca="1"/>
        <v>#NUM!</v>
      </c>
      <c r="AA68" s="1" t="e">
        <f ca="1"/>
        <v>#NUM!</v>
      </c>
      <c r="AB68" s="1" t="e" cm="1">
        <f t="array" aca="1" ref="AB68" ca="1">MAX(ABS(T68:W68/B68:E68))</f>
        <v>#NUM!</v>
      </c>
      <c r="AC68" s="1" t="e">
        <f t="shared" ca="1" si="16"/>
        <v>#NUM!</v>
      </c>
      <c r="AD68" s="1" t="e">
        <f t="shared" ca="1" si="17"/>
        <v>#NUM!</v>
      </c>
      <c r="AE68" s="1" t="e">
        <f t="shared" ca="1" si="18"/>
        <v>#NUM!</v>
      </c>
      <c r="AF68" t="e">
        <f t="shared" ca="1" si="19"/>
        <v>#NUM!</v>
      </c>
      <c r="AG68" t="e">
        <f t="shared" ca="1" si="20"/>
        <v>#NUM!</v>
      </c>
      <c r="AH68">
        <v>0</v>
      </c>
      <c r="AI68" s="1" t="e">
        <f t="shared" ca="1" si="21"/>
        <v>#NUM!</v>
      </c>
      <c r="AJ68">
        <f>0</f>
        <v>0</v>
      </c>
      <c r="AK68" s="1" t="e">
        <f t="shared" ca="1" si="22"/>
        <v>#NUM!</v>
      </c>
      <c r="AL68" s="16" t="e">
        <f t="shared" ca="1" si="23"/>
        <v>#NUM!</v>
      </c>
      <c r="AM68" s="16" t="e">
        <f t="shared" ca="1" si="24"/>
        <v>#NUM!</v>
      </c>
      <c r="AN68" s="13" t="e">
        <f t="shared" ca="1" si="25"/>
        <v>#NUM!</v>
      </c>
      <c r="AO68" s="16" t="e">
        <f t="shared" ca="1" si="26"/>
        <v>#NUM!</v>
      </c>
      <c r="AP68" s="16" t="e">
        <f t="shared" ca="1" si="27"/>
        <v>#NUM!</v>
      </c>
      <c r="AQ68" s="13">
        <f t="shared" si="28"/>
        <v>6.7608297539198143E-4</v>
      </c>
      <c r="AR68" s="13" t="e">
        <f t="shared" ca="1" si="29"/>
        <v>#NUM!</v>
      </c>
      <c r="AS68" s="1" t="e" cm="1">
        <f t="array" aca="1" ref="AS68:AU68" ca="1">TRANSPOSE(MMULT(MINVERSE(_xlfn.WRAPCOLS(AC68:AK68,3)),TRANSPOSE(T68:V68)))/$F$7:$H$7</f>
        <v>#NUM!</v>
      </c>
      <c r="AT68" s="1" t="e">
        <f ca="1"/>
        <v>#NUM!</v>
      </c>
      <c r="AU68" s="1" t="e">
        <f ca="1"/>
        <v>#NUM!</v>
      </c>
      <c r="AV68">
        <v>0</v>
      </c>
      <c r="AW68" t="e">
        <f t="shared" ca="1" si="53"/>
        <v>#NUM!</v>
      </c>
      <c r="AX68" t="e">
        <f t="shared" ca="1" si="37"/>
        <v>#NUM!</v>
      </c>
      <c r="AY68" t="e">
        <f t="shared" ca="1" si="54"/>
        <v>#NUM!</v>
      </c>
      <c r="AZ68" t="e">
        <f t="shared" ca="1" si="38"/>
        <v>#NUM!</v>
      </c>
      <c r="BA68" t="e">
        <f t="shared" ca="1" si="39"/>
        <v>#NUM!</v>
      </c>
      <c r="BB68" t="e">
        <f t="shared" ca="1" si="40"/>
        <v>#NUM!</v>
      </c>
      <c r="BC68" t="e">
        <f t="shared" ca="1" si="41"/>
        <v>#NUM!</v>
      </c>
      <c r="BD68" t="e">
        <f t="shared" ca="1" si="42"/>
        <v>#NUM!</v>
      </c>
      <c r="BE68" t="e">
        <f t="shared" ca="1" si="43"/>
        <v>#NUM!</v>
      </c>
      <c r="BF68" t="e">
        <f t="shared" ca="1" si="44"/>
        <v>#NUM!</v>
      </c>
      <c r="BG68" t="e">
        <f t="shared" ca="1" si="48"/>
        <v>#NUM!</v>
      </c>
      <c r="BH68" t="e">
        <f t="shared" ca="1" si="33"/>
        <v>#NUM!</v>
      </c>
      <c r="BI68" t="e">
        <f t="shared" ca="1" si="34"/>
        <v>#NUM!</v>
      </c>
      <c r="BJ68">
        <f t="shared" si="51"/>
        <v>0</v>
      </c>
    </row>
    <row r="69" spans="1:62" x14ac:dyDescent="0.25">
      <c r="A69">
        <f t="shared" si="46"/>
        <v>58</v>
      </c>
      <c r="B69" s="1">
        <f t="shared" si="49"/>
        <v>4.7209899999999998E-8</v>
      </c>
      <c r="C69" s="1">
        <f t="shared" si="49"/>
        <v>1.09987E-3</v>
      </c>
      <c r="D69" s="1">
        <f t="shared" si="49"/>
        <v>1.7799999999999999E-6</v>
      </c>
      <c r="E69" s="1" t="e">
        <f t="shared" ca="1" si="2"/>
        <v>#NUM!</v>
      </c>
      <c r="F69" s="1" t="e">
        <f t="shared" ca="1" si="36"/>
        <v>#NUM!</v>
      </c>
      <c r="G69" s="1" t="e">
        <f t="shared" ca="1" si="47"/>
        <v>#NUM!</v>
      </c>
      <c r="H69" s="1" t="e">
        <f t="shared" ca="1" si="3"/>
        <v>#NUM!</v>
      </c>
      <c r="I69" s="1">
        <f t="shared" si="52"/>
        <v>2.6915348039269097E-8</v>
      </c>
      <c r="J69" s="1" t="e">
        <f t="shared" ca="1" si="5"/>
        <v>#NUM!</v>
      </c>
      <c r="K69" s="1" t="e">
        <f t="shared" ca="1" si="6"/>
        <v>#NUM!</v>
      </c>
      <c r="L69" s="1">
        <f t="shared" si="7"/>
        <v>3.7411058827205313E-7</v>
      </c>
      <c r="M69" s="1" t="e">
        <f t="shared" ca="1" si="8"/>
        <v>#NUM!</v>
      </c>
      <c r="N69" s="1" t="e">
        <f t="shared" ca="1" si="9"/>
        <v>#NUM!</v>
      </c>
      <c r="O69" s="1" t="e">
        <f t="shared" ca="1" si="10"/>
        <v>#NUM!</v>
      </c>
      <c r="P69" s="1" t="e">
        <f t="shared" ca="1" si="11"/>
        <v>#NUM!</v>
      </c>
      <c r="Q69" s="1" t="e">
        <f t="shared" ca="1" si="12"/>
        <v>#NUM!</v>
      </c>
      <c r="R69" s="1" t="e">
        <f t="shared" ca="1" si="13"/>
        <v>#NUM!</v>
      </c>
      <c r="S69" s="1" t="e">
        <f t="shared" ca="1" si="14"/>
        <v>#NUM!</v>
      </c>
      <c r="T69" s="1" t="e">
        <f t="shared" ca="1" si="50"/>
        <v>#NUM!</v>
      </c>
      <c r="U69" s="1" t="e">
        <f t="shared" ca="1" si="50"/>
        <v>#NUM!</v>
      </c>
      <c r="V69" s="1" t="e">
        <f t="shared" ca="1" si="50"/>
        <v>#NUM!</v>
      </c>
      <c r="W69" s="1" t="e">
        <f t="shared" ca="1" si="50"/>
        <v>#NUM!</v>
      </c>
      <c r="X69" s="1" t="e" cm="1">
        <f t="array" aca="1" ref="X69:AA69" ca="1">ABS(T69:W69/B69:E69)</f>
        <v>#NUM!</v>
      </c>
      <c r="Y69" s="1" t="e">
        <f ca="1"/>
        <v>#NUM!</v>
      </c>
      <c r="Z69" s="1" t="e">
        <f ca="1"/>
        <v>#NUM!</v>
      </c>
      <c r="AA69" s="1" t="e">
        <f ca="1"/>
        <v>#NUM!</v>
      </c>
      <c r="AB69" s="1" t="e" cm="1">
        <f t="array" aca="1" ref="AB69" ca="1">MAX(ABS(T69:W69/B69:E69))</f>
        <v>#NUM!</v>
      </c>
      <c r="AC69" s="1" t="e">
        <f t="shared" ca="1" si="16"/>
        <v>#NUM!</v>
      </c>
      <c r="AD69" s="1" t="e">
        <f t="shared" ca="1" si="17"/>
        <v>#NUM!</v>
      </c>
      <c r="AE69" s="1" t="e">
        <f t="shared" ca="1" si="18"/>
        <v>#NUM!</v>
      </c>
      <c r="AF69" t="e">
        <f t="shared" ca="1" si="19"/>
        <v>#NUM!</v>
      </c>
      <c r="AG69" t="e">
        <f t="shared" ca="1" si="20"/>
        <v>#NUM!</v>
      </c>
      <c r="AH69">
        <v>0</v>
      </c>
      <c r="AI69" s="1" t="e">
        <f t="shared" ca="1" si="21"/>
        <v>#NUM!</v>
      </c>
      <c r="AJ69">
        <f>0</f>
        <v>0</v>
      </c>
      <c r="AK69" s="1" t="e">
        <f t="shared" ca="1" si="22"/>
        <v>#NUM!</v>
      </c>
      <c r="AL69" s="16" t="e">
        <f t="shared" ca="1" si="23"/>
        <v>#NUM!</v>
      </c>
      <c r="AM69" s="16" t="e">
        <f t="shared" ca="1" si="24"/>
        <v>#NUM!</v>
      </c>
      <c r="AN69" s="13" t="e">
        <f t="shared" ca="1" si="25"/>
        <v>#NUM!</v>
      </c>
      <c r="AO69" s="16" t="e">
        <f t="shared" ca="1" si="26"/>
        <v>#NUM!</v>
      </c>
      <c r="AP69" s="16" t="e">
        <f t="shared" ca="1" si="27"/>
        <v>#NUM!</v>
      </c>
      <c r="AQ69" s="13">
        <f t="shared" si="28"/>
        <v>6.7608297539198143E-4</v>
      </c>
      <c r="AR69" s="13" t="e">
        <f t="shared" ca="1" si="29"/>
        <v>#NUM!</v>
      </c>
      <c r="AS69" s="1" t="e" cm="1">
        <f t="array" aca="1" ref="AS69:AU69" ca="1">TRANSPOSE(MMULT(MINVERSE(_xlfn.WRAPCOLS(AC69:AK69,3)),TRANSPOSE(T69:V69)))/$F$7:$H$7</f>
        <v>#NUM!</v>
      </c>
      <c r="AT69" s="1" t="e">
        <f ca="1"/>
        <v>#NUM!</v>
      </c>
      <c r="AU69" s="1" t="e">
        <f ca="1"/>
        <v>#NUM!</v>
      </c>
      <c r="AV69">
        <v>0</v>
      </c>
      <c r="AW69" t="e">
        <f t="shared" ca="1" si="53"/>
        <v>#NUM!</v>
      </c>
      <c r="AX69" t="e">
        <f t="shared" ca="1" si="37"/>
        <v>#NUM!</v>
      </c>
      <c r="AY69" t="e">
        <f t="shared" ca="1" si="54"/>
        <v>#NUM!</v>
      </c>
      <c r="AZ69" t="e">
        <f t="shared" ca="1" si="38"/>
        <v>#NUM!</v>
      </c>
      <c r="BA69" t="e">
        <f t="shared" ca="1" si="39"/>
        <v>#NUM!</v>
      </c>
      <c r="BB69" t="e">
        <f t="shared" ca="1" si="40"/>
        <v>#NUM!</v>
      </c>
      <c r="BC69" t="e">
        <f t="shared" ca="1" si="41"/>
        <v>#NUM!</v>
      </c>
      <c r="BD69" t="e">
        <f t="shared" ca="1" si="42"/>
        <v>#NUM!</v>
      </c>
      <c r="BE69" t="e">
        <f t="shared" ca="1" si="43"/>
        <v>#NUM!</v>
      </c>
      <c r="BF69" t="e">
        <f t="shared" ca="1" si="44"/>
        <v>#NUM!</v>
      </c>
      <c r="BG69" t="e">
        <f t="shared" ca="1" si="48"/>
        <v>#NUM!</v>
      </c>
      <c r="BH69" t="e">
        <f t="shared" ca="1" si="33"/>
        <v>#NUM!</v>
      </c>
      <c r="BI69" t="e">
        <f t="shared" ca="1" si="34"/>
        <v>#NUM!</v>
      </c>
      <c r="BJ69">
        <f t="shared" si="51"/>
        <v>0</v>
      </c>
    </row>
    <row r="70" spans="1:62" x14ac:dyDescent="0.25">
      <c r="A70">
        <f t="shared" si="46"/>
        <v>59</v>
      </c>
      <c r="B70" s="1">
        <f t="shared" si="49"/>
        <v>4.7209899999999998E-8</v>
      </c>
      <c r="C70" s="1">
        <f t="shared" si="49"/>
        <v>1.09987E-3</v>
      </c>
      <c r="D70" s="1">
        <f t="shared" si="49"/>
        <v>1.7799999999999999E-6</v>
      </c>
      <c r="E70" s="1" t="e">
        <f t="shared" ca="1" si="2"/>
        <v>#NUM!</v>
      </c>
      <c r="F70" s="1" t="e">
        <f t="shared" ca="1" si="36"/>
        <v>#NUM!</v>
      </c>
      <c r="G70" s="1" t="e">
        <f t="shared" ca="1" si="47"/>
        <v>#NUM!</v>
      </c>
      <c r="H70" s="1" t="e">
        <f t="shared" ca="1" si="3"/>
        <v>#NUM!</v>
      </c>
      <c r="I70" s="1">
        <f t="shared" si="52"/>
        <v>2.6915348039269097E-8</v>
      </c>
      <c r="J70" s="1" t="e">
        <f t="shared" ca="1" si="5"/>
        <v>#NUM!</v>
      </c>
      <c r="K70" s="1" t="e">
        <f t="shared" ca="1" si="6"/>
        <v>#NUM!</v>
      </c>
      <c r="L70" s="1">
        <f t="shared" si="7"/>
        <v>3.7411058827205313E-7</v>
      </c>
      <c r="M70" s="1" t="e">
        <f t="shared" ca="1" si="8"/>
        <v>#NUM!</v>
      </c>
      <c r="N70" s="1" t="e">
        <f t="shared" ca="1" si="9"/>
        <v>#NUM!</v>
      </c>
      <c r="O70" s="1" t="e">
        <f t="shared" ca="1" si="10"/>
        <v>#NUM!</v>
      </c>
      <c r="P70" s="1" t="e">
        <f t="shared" ca="1" si="11"/>
        <v>#NUM!</v>
      </c>
      <c r="Q70" s="1" t="e">
        <f t="shared" ca="1" si="12"/>
        <v>#NUM!</v>
      </c>
      <c r="R70" s="1" t="e">
        <f t="shared" ca="1" si="13"/>
        <v>#NUM!</v>
      </c>
      <c r="S70" s="1" t="e">
        <f t="shared" ca="1" si="14"/>
        <v>#NUM!</v>
      </c>
      <c r="T70" s="1" t="e">
        <f t="shared" ca="1" si="50"/>
        <v>#NUM!</v>
      </c>
      <c r="U70" s="1" t="e">
        <f t="shared" ca="1" si="50"/>
        <v>#NUM!</v>
      </c>
      <c r="V70" s="1" t="e">
        <f t="shared" ca="1" si="50"/>
        <v>#NUM!</v>
      </c>
      <c r="W70" s="1" t="e">
        <f t="shared" ca="1" si="50"/>
        <v>#NUM!</v>
      </c>
      <c r="X70" s="1" t="e" cm="1">
        <f t="array" aca="1" ref="X70:AA70" ca="1">ABS(T70:W70/B70:E70)</f>
        <v>#NUM!</v>
      </c>
      <c r="Y70" s="1" t="e">
        <f ca="1"/>
        <v>#NUM!</v>
      </c>
      <c r="Z70" s="1" t="e">
        <f ca="1"/>
        <v>#NUM!</v>
      </c>
      <c r="AA70" s="1" t="e">
        <f ca="1"/>
        <v>#NUM!</v>
      </c>
      <c r="AB70" s="1" t="e" cm="1">
        <f t="array" aca="1" ref="AB70" ca="1">MAX(ABS(T70:W70/B70:E70))</f>
        <v>#NUM!</v>
      </c>
      <c r="AC70" s="1" t="e">
        <f t="shared" ca="1" si="16"/>
        <v>#NUM!</v>
      </c>
      <c r="AD70" s="1" t="e">
        <f t="shared" ca="1" si="17"/>
        <v>#NUM!</v>
      </c>
      <c r="AE70" s="1" t="e">
        <f t="shared" ca="1" si="18"/>
        <v>#NUM!</v>
      </c>
      <c r="AF70" t="e">
        <f t="shared" ca="1" si="19"/>
        <v>#NUM!</v>
      </c>
      <c r="AG70" t="e">
        <f t="shared" ca="1" si="20"/>
        <v>#NUM!</v>
      </c>
      <c r="AH70">
        <v>0</v>
      </c>
      <c r="AI70" s="1" t="e">
        <f t="shared" ca="1" si="21"/>
        <v>#NUM!</v>
      </c>
      <c r="AJ70">
        <f>0</f>
        <v>0</v>
      </c>
      <c r="AK70" s="1" t="e">
        <f t="shared" ca="1" si="22"/>
        <v>#NUM!</v>
      </c>
      <c r="AL70" s="16" t="e">
        <f t="shared" ca="1" si="23"/>
        <v>#NUM!</v>
      </c>
      <c r="AM70" s="16" t="e">
        <f t="shared" ca="1" si="24"/>
        <v>#NUM!</v>
      </c>
      <c r="AN70" s="13" t="e">
        <f t="shared" ca="1" si="25"/>
        <v>#NUM!</v>
      </c>
      <c r="AO70" s="16" t="e">
        <f t="shared" ca="1" si="26"/>
        <v>#NUM!</v>
      </c>
      <c r="AP70" s="16" t="e">
        <f t="shared" ca="1" si="27"/>
        <v>#NUM!</v>
      </c>
      <c r="AQ70" s="13">
        <f t="shared" si="28"/>
        <v>6.7608297539198143E-4</v>
      </c>
      <c r="AR70" s="13" t="e">
        <f t="shared" ca="1" si="29"/>
        <v>#NUM!</v>
      </c>
      <c r="AS70" s="1" t="e" cm="1">
        <f t="array" aca="1" ref="AS70:AU70" ca="1">TRANSPOSE(MMULT(MINVERSE(_xlfn.WRAPCOLS(AC70:AK70,3)),TRANSPOSE(T70:V70)))/$F$7:$H$7</f>
        <v>#NUM!</v>
      </c>
      <c r="AT70" s="1" t="e">
        <f ca="1"/>
        <v>#NUM!</v>
      </c>
      <c r="AU70" s="1" t="e">
        <f ca="1"/>
        <v>#NUM!</v>
      </c>
      <c r="AV70">
        <v>0</v>
      </c>
      <c r="AW70" t="e">
        <f t="shared" ca="1" si="53"/>
        <v>#NUM!</v>
      </c>
      <c r="AX70" t="e">
        <f t="shared" ca="1" si="37"/>
        <v>#NUM!</v>
      </c>
      <c r="AY70" t="e">
        <f t="shared" ca="1" si="54"/>
        <v>#NUM!</v>
      </c>
      <c r="AZ70" t="e">
        <f t="shared" ca="1" si="38"/>
        <v>#NUM!</v>
      </c>
      <c r="BA70" t="e">
        <f t="shared" ca="1" si="39"/>
        <v>#NUM!</v>
      </c>
      <c r="BB70" t="e">
        <f t="shared" ca="1" si="40"/>
        <v>#NUM!</v>
      </c>
      <c r="BC70" t="e">
        <f t="shared" ca="1" si="41"/>
        <v>#NUM!</v>
      </c>
      <c r="BD70" t="e">
        <f t="shared" ca="1" si="42"/>
        <v>#NUM!</v>
      </c>
      <c r="BE70" t="e">
        <f t="shared" ca="1" si="43"/>
        <v>#NUM!</v>
      </c>
      <c r="BF70" t="e">
        <f t="shared" ca="1" si="44"/>
        <v>#NUM!</v>
      </c>
      <c r="BG70" t="e">
        <f t="shared" ca="1" si="48"/>
        <v>#NUM!</v>
      </c>
      <c r="BH70" t="e">
        <f t="shared" ca="1" si="33"/>
        <v>#NUM!</v>
      </c>
      <c r="BI70" t="e">
        <f t="shared" ca="1" si="34"/>
        <v>#NUM!</v>
      </c>
      <c r="BJ70">
        <f t="shared" si="51"/>
        <v>0</v>
      </c>
    </row>
    <row r="71" spans="1:62" x14ac:dyDescent="0.25">
      <c r="A71">
        <f t="shared" si="46"/>
        <v>60</v>
      </c>
      <c r="B71" s="1">
        <f t="shared" si="49"/>
        <v>4.7209899999999998E-8</v>
      </c>
      <c r="C71" s="1">
        <f t="shared" si="49"/>
        <v>1.09987E-3</v>
      </c>
      <c r="D71" s="1">
        <f t="shared" si="49"/>
        <v>1.7799999999999999E-6</v>
      </c>
      <c r="E71" s="1" t="e">
        <f t="shared" ca="1" si="2"/>
        <v>#NUM!</v>
      </c>
      <c r="F71" s="1" t="e">
        <f t="shared" ca="1" si="36"/>
        <v>#NUM!</v>
      </c>
      <c r="G71" s="1" t="e">
        <f t="shared" ca="1" si="47"/>
        <v>#NUM!</v>
      </c>
      <c r="H71" s="1" t="e">
        <f t="shared" ca="1" si="3"/>
        <v>#NUM!</v>
      </c>
      <c r="I71" s="1">
        <f t="shared" si="52"/>
        <v>2.6915348039269097E-8</v>
      </c>
      <c r="J71" s="1" t="e">
        <f t="shared" ca="1" si="5"/>
        <v>#NUM!</v>
      </c>
      <c r="K71" s="1" t="e">
        <f t="shared" ca="1" si="6"/>
        <v>#NUM!</v>
      </c>
      <c r="L71" s="1">
        <f t="shared" si="7"/>
        <v>3.7411058827205313E-7</v>
      </c>
      <c r="M71" s="1" t="e">
        <f t="shared" ca="1" si="8"/>
        <v>#NUM!</v>
      </c>
      <c r="N71" s="1" t="e">
        <f t="shared" ca="1" si="9"/>
        <v>#NUM!</v>
      </c>
      <c r="O71" s="1" t="e">
        <f t="shared" ca="1" si="10"/>
        <v>#NUM!</v>
      </c>
      <c r="P71" s="1" t="e">
        <f t="shared" ca="1" si="11"/>
        <v>#NUM!</v>
      </c>
      <c r="Q71" s="1" t="e">
        <f t="shared" ca="1" si="12"/>
        <v>#NUM!</v>
      </c>
      <c r="R71" s="1" t="e">
        <f t="shared" ca="1" si="13"/>
        <v>#NUM!</v>
      </c>
      <c r="S71" s="1" t="e">
        <f t="shared" ca="1" si="14"/>
        <v>#NUM!</v>
      </c>
      <c r="T71" s="1" t="e">
        <f t="shared" ca="1" si="50"/>
        <v>#NUM!</v>
      </c>
      <c r="U71" s="1" t="e">
        <f t="shared" ca="1" si="50"/>
        <v>#NUM!</v>
      </c>
      <c r="V71" s="1" t="e">
        <f t="shared" ca="1" si="50"/>
        <v>#NUM!</v>
      </c>
      <c r="W71" s="1" t="e">
        <f t="shared" ca="1" si="50"/>
        <v>#NUM!</v>
      </c>
      <c r="X71" s="1" t="e" cm="1">
        <f t="array" aca="1" ref="X71:AA71" ca="1">ABS(T71:W71/B71:E71)</f>
        <v>#NUM!</v>
      </c>
      <c r="Y71" s="1" t="e">
        <f ca="1"/>
        <v>#NUM!</v>
      </c>
      <c r="Z71" s="1" t="e">
        <f ca="1"/>
        <v>#NUM!</v>
      </c>
      <c r="AA71" s="1" t="e">
        <f ca="1"/>
        <v>#NUM!</v>
      </c>
      <c r="AB71" s="1" t="e" cm="1">
        <f t="array" aca="1" ref="AB71" ca="1">MAX(ABS(T71:W71/B71:E71))</f>
        <v>#NUM!</v>
      </c>
      <c r="AC71" s="1" t="e">
        <f t="shared" ca="1" si="16"/>
        <v>#NUM!</v>
      </c>
      <c r="AD71" s="1" t="e">
        <f t="shared" ca="1" si="17"/>
        <v>#NUM!</v>
      </c>
      <c r="AE71" s="1" t="e">
        <f t="shared" ca="1" si="18"/>
        <v>#NUM!</v>
      </c>
      <c r="AF71" t="e">
        <f t="shared" ca="1" si="19"/>
        <v>#NUM!</v>
      </c>
      <c r="AG71" t="e">
        <f t="shared" ca="1" si="20"/>
        <v>#NUM!</v>
      </c>
      <c r="AH71">
        <v>0</v>
      </c>
      <c r="AI71" s="1" t="e">
        <f t="shared" ca="1" si="21"/>
        <v>#NUM!</v>
      </c>
      <c r="AJ71">
        <f>0</f>
        <v>0</v>
      </c>
      <c r="AK71" s="1" t="e">
        <f t="shared" ca="1" si="22"/>
        <v>#NUM!</v>
      </c>
      <c r="AL71" s="16" t="e">
        <f t="shared" ca="1" si="23"/>
        <v>#NUM!</v>
      </c>
      <c r="AM71" s="16" t="e">
        <f t="shared" ca="1" si="24"/>
        <v>#NUM!</v>
      </c>
      <c r="AN71" s="13" t="e">
        <f t="shared" ca="1" si="25"/>
        <v>#NUM!</v>
      </c>
      <c r="AO71" s="16" t="e">
        <f t="shared" ca="1" si="26"/>
        <v>#NUM!</v>
      </c>
      <c r="AP71" s="16" t="e">
        <f t="shared" ca="1" si="27"/>
        <v>#NUM!</v>
      </c>
      <c r="AQ71" s="13">
        <f t="shared" si="28"/>
        <v>6.7608297539198143E-4</v>
      </c>
      <c r="AR71" s="13" t="e">
        <f t="shared" ca="1" si="29"/>
        <v>#NUM!</v>
      </c>
      <c r="AS71" s="1" t="e" cm="1">
        <f t="array" aca="1" ref="AS71:AU71" ca="1">TRANSPOSE(MMULT(MINVERSE(_xlfn.WRAPCOLS(AC71:AK71,3)),TRANSPOSE(T71:V71)))/$F$7:$H$7</f>
        <v>#NUM!</v>
      </c>
      <c r="AT71" s="1" t="e">
        <f ca="1"/>
        <v>#NUM!</v>
      </c>
      <c r="AU71" s="1" t="e">
        <f ca="1"/>
        <v>#NUM!</v>
      </c>
      <c r="AV71">
        <v>0</v>
      </c>
      <c r="AW71" t="e">
        <f t="shared" ca="1" si="53"/>
        <v>#NUM!</v>
      </c>
      <c r="AX71" t="e">
        <f t="shared" ca="1" si="37"/>
        <v>#NUM!</v>
      </c>
      <c r="AY71" t="e">
        <f t="shared" ca="1" si="54"/>
        <v>#NUM!</v>
      </c>
      <c r="AZ71" t="e">
        <f t="shared" ca="1" si="38"/>
        <v>#NUM!</v>
      </c>
      <c r="BA71" t="e">
        <f t="shared" ca="1" si="39"/>
        <v>#NUM!</v>
      </c>
      <c r="BB71" t="e">
        <f t="shared" ca="1" si="40"/>
        <v>#NUM!</v>
      </c>
      <c r="BC71" t="e">
        <f t="shared" ca="1" si="41"/>
        <v>#NUM!</v>
      </c>
      <c r="BD71" t="e">
        <f t="shared" ca="1" si="42"/>
        <v>#NUM!</v>
      </c>
      <c r="BE71" t="e">
        <f t="shared" ca="1" si="43"/>
        <v>#NUM!</v>
      </c>
      <c r="BF71" t="e">
        <f t="shared" ca="1" si="44"/>
        <v>#NUM!</v>
      </c>
      <c r="BG71" t="e">
        <f t="shared" ca="1" si="48"/>
        <v>#NUM!</v>
      </c>
      <c r="BH71" t="e">
        <f t="shared" ca="1" si="33"/>
        <v>#NUM!</v>
      </c>
      <c r="BI71" t="e">
        <f t="shared" ca="1" si="34"/>
        <v>#NUM!</v>
      </c>
      <c r="BJ71">
        <f t="shared" si="51"/>
        <v>0</v>
      </c>
    </row>
    <row r="72" spans="1:62" x14ac:dyDescent="0.25">
      <c r="A72">
        <f t="shared" si="46"/>
        <v>61</v>
      </c>
      <c r="B72" s="1">
        <f t="shared" si="49"/>
        <v>4.7209899999999998E-8</v>
      </c>
      <c r="C72" s="1">
        <f t="shared" si="49"/>
        <v>1.09987E-3</v>
      </c>
      <c r="D72" s="1">
        <f t="shared" si="49"/>
        <v>1.7799999999999999E-6</v>
      </c>
      <c r="E72" s="1" t="e">
        <f t="shared" ca="1" si="2"/>
        <v>#NUM!</v>
      </c>
      <c r="F72" s="1" t="e">
        <f t="shared" ca="1" si="36"/>
        <v>#NUM!</v>
      </c>
      <c r="G72" s="1" t="e">
        <f t="shared" ca="1" si="47"/>
        <v>#NUM!</v>
      </c>
      <c r="H72" s="1" t="e">
        <f t="shared" ca="1" si="3"/>
        <v>#NUM!</v>
      </c>
      <c r="I72" s="1">
        <f t="shared" si="52"/>
        <v>2.6915348039269097E-8</v>
      </c>
      <c r="J72" s="1" t="e">
        <f t="shared" ca="1" si="5"/>
        <v>#NUM!</v>
      </c>
      <c r="K72" s="1" t="e">
        <f t="shared" ca="1" si="6"/>
        <v>#NUM!</v>
      </c>
      <c r="L72" s="1">
        <f t="shared" si="7"/>
        <v>3.7411058827205313E-7</v>
      </c>
      <c r="M72" s="1" t="e">
        <f t="shared" ca="1" si="8"/>
        <v>#NUM!</v>
      </c>
      <c r="N72" s="1" t="e">
        <f t="shared" ca="1" si="9"/>
        <v>#NUM!</v>
      </c>
      <c r="O72" s="1" t="e">
        <f t="shared" ca="1" si="10"/>
        <v>#NUM!</v>
      </c>
      <c r="P72" s="1" t="e">
        <f t="shared" ca="1" si="11"/>
        <v>#NUM!</v>
      </c>
      <c r="Q72" s="1" t="e">
        <f t="shared" ca="1" si="12"/>
        <v>#NUM!</v>
      </c>
      <c r="R72" s="1" t="e">
        <f t="shared" ca="1" si="13"/>
        <v>#NUM!</v>
      </c>
      <c r="S72" s="1" t="e">
        <f t="shared" ca="1" si="14"/>
        <v>#NUM!</v>
      </c>
      <c r="T72" s="1" t="e">
        <f t="shared" ca="1" si="50"/>
        <v>#NUM!</v>
      </c>
      <c r="U72" s="1" t="e">
        <f t="shared" ca="1" si="50"/>
        <v>#NUM!</v>
      </c>
      <c r="V72" s="1" t="e">
        <f t="shared" ca="1" si="50"/>
        <v>#NUM!</v>
      </c>
      <c r="W72" s="1" t="e">
        <f t="shared" ca="1" si="50"/>
        <v>#NUM!</v>
      </c>
      <c r="X72" s="1" t="e" cm="1">
        <f t="array" aca="1" ref="X72:AA72" ca="1">ABS(T72:W72/B72:E72)</f>
        <v>#NUM!</v>
      </c>
      <c r="Y72" s="1" t="e">
        <f ca="1"/>
        <v>#NUM!</v>
      </c>
      <c r="Z72" s="1" t="e">
        <f ca="1"/>
        <v>#NUM!</v>
      </c>
      <c r="AA72" s="1" t="e">
        <f ca="1"/>
        <v>#NUM!</v>
      </c>
      <c r="AB72" s="1" t="e" cm="1">
        <f t="array" aca="1" ref="AB72" ca="1">MAX(ABS(T72:W72/B72:E72))</f>
        <v>#NUM!</v>
      </c>
      <c r="AC72" s="1" t="e">
        <f t="shared" ca="1" si="16"/>
        <v>#NUM!</v>
      </c>
      <c r="AD72" s="1" t="e">
        <f t="shared" ca="1" si="17"/>
        <v>#NUM!</v>
      </c>
      <c r="AE72" s="1" t="e">
        <f t="shared" ca="1" si="18"/>
        <v>#NUM!</v>
      </c>
      <c r="AF72" t="e">
        <f t="shared" ca="1" si="19"/>
        <v>#NUM!</v>
      </c>
      <c r="AG72" t="e">
        <f t="shared" ca="1" si="20"/>
        <v>#NUM!</v>
      </c>
      <c r="AH72">
        <v>0</v>
      </c>
      <c r="AI72" s="1" t="e">
        <f t="shared" ca="1" si="21"/>
        <v>#NUM!</v>
      </c>
      <c r="AJ72">
        <f>0</f>
        <v>0</v>
      </c>
      <c r="AK72" s="1" t="e">
        <f t="shared" ca="1" si="22"/>
        <v>#NUM!</v>
      </c>
      <c r="AL72" s="16" t="e">
        <f t="shared" ca="1" si="23"/>
        <v>#NUM!</v>
      </c>
      <c r="AM72" s="16" t="e">
        <f t="shared" ca="1" si="24"/>
        <v>#NUM!</v>
      </c>
      <c r="AN72" s="13" t="e">
        <f t="shared" ca="1" si="25"/>
        <v>#NUM!</v>
      </c>
      <c r="AO72" s="16" t="e">
        <f t="shared" ca="1" si="26"/>
        <v>#NUM!</v>
      </c>
      <c r="AP72" s="16" t="e">
        <f t="shared" ca="1" si="27"/>
        <v>#NUM!</v>
      </c>
      <c r="AQ72" s="13">
        <f t="shared" si="28"/>
        <v>6.7608297539198143E-4</v>
      </c>
      <c r="AR72" s="13" t="e">
        <f t="shared" ca="1" si="29"/>
        <v>#NUM!</v>
      </c>
      <c r="AS72" s="1" t="e" cm="1">
        <f t="array" aca="1" ref="AS72:AU72" ca="1">TRANSPOSE(MMULT(MINVERSE(_xlfn.WRAPCOLS(AC72:AK72,3)),TRANSPOSE(T72:V72)))/$F$7:$H$7</f>
        <v>#NUM!</v>
      </c>
      <c r="AT72" s="1" t="e">
        <f ca="1"/>
        <v>#NUM!</v>
      </c>
      <c r="AU72" s="1" t="e">
        <f ca="1"/>
        <v>#NUM!</v>
      </c>
      <c r="AV72">
        <v>0</v>
      </c>
      <c r="AW72" t="e">
        <f t="shared" ca="1" si="53"/>
        <v>#NUM!</v>
      </c>
      <c r="AX72" t="e">
        <f t="shared" ca="1" si="37"/>
        <v>#NUM!</v>
      </c>
      <c r="AY72" t="e">
        <f t="shared" ca="1" si="54"/>
        <v>#NUM!</v>
      </c>
      <c r="AZ72" t="e">
        <f t="shared" ca="1" si="38"/>
        <v>#NUM!</v>
      </c>
      <c r="BA72" t="e">
        <f t="shared" ca="1" si="39"/>
        <v>#NUM!</v>
      </c>
      <c r="BB72" t="e">
        <f t="shared" ca="1" si="40"/>
        <v>#NUM!</v>
      </c>
      <c r="BC72" t="e">
        <f t="shared" ca="1" si="41"/>
        <v>#NUM!</v>
      </c>
      <c r="BD72" t="e">
        <f t="shared" ca="1" si="42"/>
        <v>#NUM!</v>
      </c>
      <c r="BE72" t="e">
        <f t="shared" ca="1" si="43"/>
        <v>#NUM!</v>
      </c>
      <c r="BF72" t="e">
        <f t="shared" ca="1" si="44"/>
        <v>#NUM!</v>
      </c>
      <c r="BG72" t="e">
        <f t="shared" ca="1" si="48"/>
        <v>#NUM!</v>
      </c>
      <c r="BH72" t="e">
        <f t="shared" ca="1" si="33"/>
        <v>#NUM!</v>
      </c>
      <c r="BI72" t="e">
        <f t="shared" ca="1" si="34"/>
        <v>#NUM!</v>
      </c>
      <c r="BJ72">
        <f t="shared" si="51"/>
        <v>0</v>
      </c>
    </row>
    <row r="73" spans="1:62" x14ac:dyDescent="0.25">
      <c r="A73">
        <f t="shared" si="46"/>
        <v>62</v>
      </c>
      <c r="B73" s="1">
        <f t="shared" si="49"/>
        <v>4.7209899999999998E-8</v>
      </c>
      <c r="C73" s="1">
        <f t="shared" si="49"/>
        <v>1.09987E-3</v>
      </c>
      <c r="D73" s="1">
        <f t="shared" si="49"/>
        <v>1.7799999999999999E-6</v>
      </c>
      <c r="E73" s="1" t="e">
        <f t="shared" ca="1" si="2"/>
        <v>#NUM!</v>
      </c>
      <c r="F73" s="1" t="e">
        <f t="shared" ca="1" si="36"/>
        <v>#NUM!</v>
      </c>
      <c r="G73" s="1" t="e">
        <f t="shared" ca="1" si="47"/>
        <v>#NUM!</v>
      </c>
      <c r="H73" s="1" t="e">
        <f t="shared" ca="1" si="3"/>
        <v>#NUM!</v>
      </c>
      <c r="I73" s="1">
        <f t="shared" si="52"/>
        <v>2.6915348039269097E-8</v>
      </c>
      <c r="J73" s="1" t="e">
        <f t="shared" ca="1" si="5"/>
        <v>#NUM!</v>
      </c>
      <c r="K73" s="1" t="e">
        <f t="shared" ca="1" si="6"/>
        <v>#NUM!</v>
      </c>
      <c r="L73" s="1">
        <f t="shared" si="7"/>
        <v>3.7411058827205313E-7</v>
      </c>
      <c r="M73" s="1" t="e">
        <f t="shared" ca="1" si="8"/>
        <v>#NUM!</v>
      </c>
      <c r="N73" s="1" t="e">
        <f t="shared" ca="1" si="9"/>
        <v>#NUM!</v>
      </c>
      <c r="O73" s="1" t="e">
        <f t="shared" ca="1" si="10"/>
        <v>#NUM!</v>
      </c>
      <c r="P73" s="1" t="e">
        <f t="shared" ca="1" si="11"/>
        <v>#NUM!</v>
      </c>
      <c r="Q73" s="1" t="e">
        <f t="shared" ca="1" si="12"/>
        <v>#NUM!</v>
      </c>
      <c r="R73" s="1" t="e">
        <f t="shared" ca="1" si="13"/>
        <v>#NUM!</v>
      </c>
      <c r="S73" s="1" t="e">
        <f t="shared" ca="1" si="14"/>
        <v>#NUM!</v>
      </c>
      <c r="T73" s="1" t="e">
        <f t="shared" ca="1" si="50"/>
        <v>#NUM!</v>
      </c>
      <c r="U73" s="1" t="e">
        <f t="shared" ca="1" si="50"/>
        <v>#NUM!</v>
      </c>
      <c r="V73" s="1" t="e">
        <f t="shared" ca="1" si="50"/>
        <v>#NUM!</v>
      </c>
      <c r="W73" s="1" t="e">
        <f t="shared" ca="1" si="50"/>
        <v>#NUM!</v>
      </c>
      <c r="X73" s="1" t="e" cm="1">
        <f t="array" aca="1" ref="X73:AA73" ca="1">ABS(T73:W73/B73:E73)</f>
        <v>#NUM!</v>
      </c>
      <c r="Y73" s="1" t="e">
        <f ca="1"/>
        <v>#NUM!</v>
      </c>
      <c r="Z73" s="1" t="e">
        <f ca="1"/>
        <v>#NUM!</v>
      </c>
      <c r="AA73" s="1" t="e">
        <f ca="1"/>
        <v>#NUM!</v>
      </c>
      <c r="AB73" s="1" t="e" cm="1">
        <f t="array" aca="1" ref="AB73" ca="1">MAX(ABS(T73:W73/B73:E73))</f>
        <v>#NUM!</v>
      </c>
      <c r="AC73" s="1" t="e">
        <f t="shared" ca="1" si="16"/>
        <v>#NUM!</v>
      </c>
      <c r="AD73" s="1" t="e">
        <f t="shared" ca="1" si="17"/>
        <v>#NUM!</v>
      </c>
      <c r="AE73" s="1" t="e">
        <f t="shared" ca="1" si="18"/>
        <v>#NUM!</v>
      </c>
      <c r="AF73" t="e">
        <f t="shared" ca="1" si="19"/>
        <v>#NUM!</v>
      </c>
      <c r="AG73" t="e">
        <f t="shared" ca="1" si="20"/>
        <v>#NUM!</v>
      </c>
      <c r="AH73">
        <v>0</v>
      </c>
      <c r="AI73" s="1" t="e">
        <f t="shared" ca="1" si="21"/>
        <v>#NUM!</v>
      </c>
      <c r="AJ73">
        <f>0</f>
        <v>0</v>
      </c>
      <c r="AK73" s="1" t="e">
        <f t="shared" ca="1" si="22"/>
        <v>#NUM!</v>
      </c>
      <c r="AL73" s="16" t="e">
        <f t="shared" ca="1" si="23"/>
        <v>#NUM!</v>
      </c>
      <c r="AM73" s="16" t="e">
        <f t="shared" ca="1" si="24"/>
        <v>#NUM!</v>
      </c>
      <c r="AN73" s="13" t="e">
        <f t="shared" ca="1" si="25"/>
        <v>#NUM!</v>
      </c>
      <c r="AO73" s="16" t="e">
        <f t="shared" ca="1" si="26"/>
        <v>#NUM!</v>
      </c>
      <c r="AP73" s="16" t="e">
        <f t="shared" ca="1" si="27"/>
        <v>#NUM!</v>
      </c>
      <c r="AQ73" s="13">
        <f t="shared" si="28"/>
        <v>6.7608297539198143E-4</v>
      </c>
      <c r="AR73" s="13" t="e">
        <f t="shared" ca="1" si="29"/>
        <v>#NUM!</v>
      </c>
      <c r="AS73" s="1" t="e" cm="1">
        <f t="array" aca="1" ref="AS73:AU73" ca="1">TRANSPOSE(MMULT(MINVERSE(_xlfn.WRAPCOLS(AC73:AK73,3)),TRANSPOSE(T73:V73)))/$F$7:$H$7</f>
        <v>#NUM!</v>
      </c>
      <c r="AT73" s="1" t="e">
        <f ca="1"/>
        <v>#NUM!</v>
      </c>
      <c r="AU73" s="1" t="e">
        <f ca="1"/>
        <v>#NUM!</v>
      </c>
      <c r="AV73">
        <v>0</v>
      </c>
      <c r="AW73" t="e">
        <f t="shared" ca="1" si="53"/>
        <v>#NUM!</v>
      </c>
      <c r="AX73" t="e">
        <f t="shared" ca="1" si="37"/>
        <v>#NUM!</v>
      </c>
      <c r="AY73" t="e">
        <f t="shared" ca="1" si="54"/>
        <v>#NUM!</v>
      </c>
      <c r="AZ73" t="e">
        <f t="shared" ca="1" si="38"/>
        <v>#NUM!</v>
      </c>
      <c r="BA73" t="e">
        <f t="shared" ca="1" si="39"/>
        <v>#NUM!</v>
      </c>
      <c r="BB73" t="e">
        <f t="shared" ca="1" si="40"/>
        <v>#NUM!</v>
      </c>
      <c r="BC73" t="e">
        <f t="shared" ca="1" si="41"/>
        <v>#NUM!</v>
      </c>
      <c r="BD73" t="e">
        <f t="shared" ca="1" si="42"/>
        <v>#NUM!</v>
      </c>
      <c r="BE73" t="e">
        <f t="shared" ca="1" si="43"/>
        <v>#NUM!</v>
      </c>
      <c r="BF73" t="e">
        <f t="shared" ca="1" si="44"/>
        <v>#NUM!</v>
      </c>
      <c r="BG73" t="e">
        <f t="shared" ca="1" si="48"/>
        <v>#NUM!</v>
      </c>
      <c r="BH73" t="e">
        <f t="shared" ca="1" si="33"/>
        <v>#NUM!</v>
      </c>
      <c r="BI73" t="e">
        <f t="shared" ca="1" si="34"/>
        <v>#NUM!</v>
      </c>
      <c r="BJ73">
        <f t="shared" si="51"/>
        <v>0</v>
      </c>
    </row>
  </sheetData>
  <conditionalFormatting sqref="X11:AA11">
    <cfRule type="top10" dxfId="62" priority="63" rank="1"/>
  </conditionalFormatting>
  <conditionalFormatting sqref="X12:AA12">
    <cfRule type="top10" dxfId="61" priority="62" rank="1"/>
  </conditionalFormatting>
  <conditionalFormatting sqref="X13:AA13">
    <cfRule type="top10" dxfId="60" priority="61" rank="1"/>
  </conditionalFormatting>
  <conditionalFormatting sqref="X14:AA14">
    <cfRule type="top10" dxfId="59" priority="60" rank="1"/>
  </conditionalFormatting>
  <conditionalFormatting sqref="X15:AA15">
    <cfRule type="top10" dxfId="58" priority="59" rank="1"/>
  </conditionalFormatting>
  <conditionalFormatting sqref="X16:AA16">
    <cfRule type="top10" dxfId="57" priority="58" rank="1"/>
  </conditionalFormatting>
  <conditionalFormatting sqref="X17:AA17">
    <cfRule type="top10" dxfId="56" priority="57" rank="1"/>
  </conditionalFormatting>
  <conditionalFormatting sqref="X18:AA18">
    <cfRule type="top10" dxfId="55" priority="56" rank="1"/>
  </conditionalFormatting>
  <conditionalFormatting sqref="X19:AA19">
    <cfRule type="top10" dxfId="54" priority="55" rank="1"/>
  </conditionalFormatting>
  <conditionalFormatting sqref="X20:AA20">
    <cfRule type="top10" dxfId="53" priority="54" rank="1"/>
  </conditionalFormatting>
  <conditionalFormatting sqref="X21:AA21">
    <cfRule type="top10" dxfId="52" priority="53" rank="1"/>
  </conditionalFormatting>
  <conditionalFormatting sqref="X22:AA22">
    <cfRule type="top10" dxfId="51" priority="52" rank="1"/>
  </conditionalFormatting>
  <conditionalFormatting sqref="X23:AA23">
    <cfRule type="top10" dxfId="50" priority="51" rank="1"/>
  </conditionalFormatting>
  <conditionalFormatting sqref="X24:AA24">
    <cfRule type="top10" dxfId="49" priority="50" rank="1"/>
  </conditionalFormatting>
  <conditionalFormatting sqref="X25:AA25">
    <cfRule type="top10" dxfId="48" priority="49" rank="1"/>
  </conditionalFormatting>
  <conditionalFormatting sqref="X26:AA26">
    <cfRule type="top10" dxfId="47" priority="48" rank="1"/>
  </conditionalFormatting>
  <conditionalFormatting sqref="X27:AA27">
    <cfRule type="top10" dxfId="46" priority="47" rank="1"/>
  </conditionalFormatting>
  <conditionalFormatting sqref="X28:AA28">
    <cfRule type="top10" dxfId="45" priority="46" rank="1"/>
  </conditionalFormatting>
  <conditionalFormatting sqref="X29:AA29">
    <cfRule type="top10" dxfId="44" priority="45" rank="1"/>
  </conditionalFormatting>
  <conditionalFormatting sqref="X30:AA30">
    <cfRule type="top10" dxfId="43" priority="44" rank="1"/>
  </conditionalFormatting>
  <conditionalFormatting sqref="X31:AA31">
    <cfRule type="top10" dxfId="42" priority="43" rank="1"/>
  </conditionalFormatting>
  <conditionalFormatting sqref="X32:AA32">
    <cfRule type="top10" dxfId="41" priority="42" rank="1"/>
  </conditionalFormatting>
  <conditionalFormatting sqref="X33:AA33">
    <cfRule type="top10" dxfId="40" priority="41" rank="1"/>
  </conditionalFormatting>
  <conditionalFormatting sqref="X34:AA34">
    <cfRule type="top10" dxfId="39" priority="40" rank="1"/>
  </conditionalFormatting>
  <conditionalFormatting sqref="X35:AA35">
    <cfRule type="top10" dxfId="38" priority="39" rank="1"/>
  </conditionalFormatting>
  <conditionalFormatting sqref="X36:AA36">
    <cfRule type="top10" dxfId="37" priority="38" rank="1"/>
  </conditionalFormatting>
  <conditionalFormatting sqref="X37:AA37">
    <cfRule type="top10" dxfId="36" priority="37" rank="1"/>
  </conditionalFormatting>
  <conditionalFormatting sqref="X38:AA38">
    <cfRule type="top10" dxfId="35" priority="36" rank="1"/>
  </conditionalFormatting>
  <conditionalFormatting sqref="X39:AA39">
    <cfRule type="top10" dxfId="34" priority="35" rank="1"/>
  </conditionalFormatting>
  <conditionalFormatting sqref="X40:AA40">
    <cfRule type="top10" dxfId="33" priority="34" rank="1"/>
  </conditionalFormatting>
  <conditionalFormatting sqref="X41:AA41">
    <cfRule type="top10" dxfId="32" priority="33" rank="1"/>
  </conditionalFormatting>
  <conditionalFormatting sqref="X42:AA42">
    <cfRule type="top10" dxfId="31" priority="32" rank="1"/>
  </conditionalFormatting>
  <conditionalFormatting sqref="X43:AA43">
    <cfRule type="top10" dxfId="30" priority="31" rank="1"/>
  </conditionalFormatting>
  <conditionalFormatting sqref="X44:AA44">
    <cfRule type="top10" dxfId="29" priority="30" rank="1"/>
  </conditionalFormatting>
  <conditionalFormatting sqref="X45:AA45">
    <cfRule type="top10" dxfId="28" priority="29" rank="1"/>
  </conditionalFormatting>
  <conditionalFormatting sqref="X46:AA46">
    <cfRule type="top10" dxfId="27" priority="28" rank="1"/>
  </conditionalFormatting>
  <conditionalFormatting sqref="X47:AA47">
    <cfRule type="top10" dxfId="26" priority="27" rank="1"/>
  </conditionalFormatting>
  <conditionalFormatting sqref="X48:AA48">
    <cfRule type="top10" dxfId="25" priority="26" rank="1"/>
  </conditionalFormatting>
  <conditionalFormatting sqref="X49:AA49">
    <cfRule type="top10" dxfId="24" priority="25" rank="1"/>
  </conditionalFormatting>
  <conditionalFormatting sqref="X50:AA50">
    <cfRule type="top10" dxfId="23" priority="24" rank="1"/>
  </conditionalFormatting>
  <conditionalFormatting sqref="X51:AA51">
    <cfRule type="top10" dxfId="22" priority="23" rank="1"/>
  </conditionalFormatting>
  <conditionalFormatting sqref="X52:AA52">
    <cfRule type="top10" dxfId="21" priority="22" rank="1"/>
  </conditionalFormatting>
  <conditionalFormatting sqref="X53:AA53">
    <cfRule type="top10" dxfId="20" priority="21" rank="1"/>
  </conditionalFormatting>
  <conditionalFormatting sqref="X54:AA54">
    <cfRule type="top10" dxfId="19" priority="20" rank="1"/>
  </conditionalFormatting>
  <conditionalFormatting sqref="X55:AA55">
    <cfRule type="top10" dxfId="18" priority="19" rank="1"/>
  </conditionalFormatting>
  <conditionalFormatting sqref="X56:AA56">
    <cfRule type="top10" dxfId="17" priority="18" rank="1"/>
  </conditionalFormatting>
  <conditionalFormatting sqref="X57:AA57">
    <cfRule type="top10" dxfId="16" priority="17" rank="1"/>
  </conditionalFormatting>
  <conditionalFormatting sqref="X58:AA58">
    <cfRule type="top10" dxfId="15" priority="16" rank="1"/>
  </conditionalFormatting>
  <conditionalFormatting sqref="X59:AA59">
    <cfRule type="top10" dxfId="14" priority="15" rank="1"/>
  </conditionalFormatting>
  <conditionalFormatting sqref="X60:AA60">
    <cfRule type="top10" dxfId="13" priority="14" rank="1"/>
  </conditionalFormatting>
  <conditionalFormatting sqref="X61:AA61">
    <cfRule type="top10" dxfId="12" priority="13" rank="1"/>
  </conditionalFormatting>
  <conditionalFormatting sqref="X62:AA62">
    <cfRule type="top10" dxfId="11" priority="12" rank="1"/>
  </conditionalFormatting>
  <conditionalFormatting sqref="X63:AA63">
    <cfRule type="top10" dxfId="10" priority="11" rank="1"/>
  </conditionalFormatting>
  <conditionalFormatting sqref="X64:AA64">
    <cfRule type="top10" dxfId="9" priority="10" rank="1"/>
  </conditionalFormatting>
  <conditionalFormatting sqref="X65:AA65">
    <cfRule type="top10" dxfId="8" priority="9" rank="1"/>
  </conditionalFormatting>
  <conditionalFormatting sqref="X66:AA66">
    <cfRule type="top10" dxfId="7" priority="8" rank="1"/>
  </conditionalFormatting>
  <conditionalFormatting sqref="X67:AA67">
    <cfRule type="top10" dxfId="6" priority="7" rank="1"/>
  </conditionalFormatting>
  <conditionalFormatting sqref="X68:AA68">
    <cfRule type="top10" dxfId="5" priority="6" rank="1"/>
  </conditionalFormatting>
  <conditionalFormatting sqref="X69:AA69">
    <cfRule type="top10" dxfId="4" priority="5" rank="1"/>
  </conditionalFormatting>
  <conditionalFormatting sqref="X70:AA70">
    <cfRule type="top10" dxfId="3" priority="4" rank="1"/>
  </conditionalFormatting>
  <conditionalFormatting sqref="X71:AA71">
    <cfRule type="top10" dxfId="2" priority="3" rank="1"/>
  </conditionalFormatting>
  <conditionalFormatting sqref="X72:AA72">
    <cfRule type="top10" dxfId="1" priority="2" rank="1"/>
  </conditionalFormatting>
  <conditionalFormatting sqref="X73:AA73">
    <cfRule type="top10" dxfId="0" priority="1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2D12-C3F5-4E30-9073-483EFA432B85}">
  <dimension ref="A1:CI39"/>
  <sheetViews>
    <sheetView topLeftCell="AH1" workbookViewId="0">
      <selection activeCell="AW11" sqref="AW11"/>
    </sheetView>
  </sheetViews>
  <sheetFormatPr defaultRowHeight="15" x14ac:dyDescent="0.25"/>
  <cols>
    <col min="2" max="2" width="10.5703125" style="1" bestFit="1" customWidth="1"/>
    <col min="3" max="4" width="10.5703125" style="1" customWidth="1"/>
    <col min="5" max="5" width="14.85546875" style="1" bestFit="1" customWidth="1"/>
    <col min="6" max="9" width="14.85546875" style="1" customWidth="1"/>
    <col min="10" max="10" width="11.85546875" style="1" bestFit="1" customWidth="1"/>
    <col min="11" max="11" width="11.85546875" style="1" customWidth="1"/>
    <col min="12" max="12" width="11.85546875" style="1" bestFit="1" customWidth="1"/>
    <col min="13" max="15" width="11.85546875" style="1" customWidth="1"/>
    <col min="16" max="18" width="11.85546875" style="1" bestFit="1" customWidth="1"/>
    <col min="19" max="59" width="11.85546875" style="1" customWidth="1"/>
    <col min="60" max="60" width="14.28515625" style="1" bestFit="1" customWidth="1"/>
    <col min="61" max="64" width="14.28515625" style="1" customWidth="1"/>
    <col min="65" max="65" width="14.28515625" style="1" bestFit="1" customWidth="1"/>
    <col min="66" max="66" width="14.28515625" style="1" customWidth="1"/>
    <col min="67" max="67" width="9" style="1" bestFit="1" customWidth="1"/>
    <col min="68" max="71" width="9" style="1" customWidth="1"/>
    <col min="72" max="72" width="12.85546875" style="1" bestFit="1" customWidth="1"/>
    <col min="73" max="74" width="8.5703125" style="1" customWidth="1"/>
    <col min="75" max="75" width="9.28515625" style="1" bestFit="1" customWidth="1"/>
    <col min="76" max="77" width="8.5703125" style="1" customWidth="1"/>
    <col min="78" max="78" width="9.85546875" style="1" bestFit="1" customWidth="1"/>
    <col min="79" max="79" width="10.5703125" style="1" bestFit="1" customWidth="1"/>
    <col min="80" max="81" width="8.5703125" style="1" customWidth="1"/>
    <col min="82" max="82" width="10.5703125" style="1" bestFit="1" customWidth="1"/>
    <col min="83" max="83" width="12.7109375" bestFit="1" customWidth="1"/>
    <col min="86" max="86" width="12" bestFit="1" customWidth="1"/>
    <col min="87" max="87" width="12.7109375" bestFit="1" customWidth="1"/>
  </cols>
  <sheetData>
    <row r="1" spans="1:87" x14ac:dyDescent="0.25">
      <c r="I1" s="3" t="s">
        <v>34</v>
      </c>
      <c r="BV1" s="1" t="str">
        <f>BN11</f>
        <v>R.Cu</v>
      </c>
      <c r="BW1" s="1" t="str">
        <f t="shared" ref="BW1:CB1" si="0">BO11</f>
        <v>R.Na</v>
      </c>
      <c r="BX1" s="1" t="str">
        <f t="shared" si="0"/>
        <v>R.Cl</v>
      </c>
      <c r="BY1" s="1" t="str">
        <f t="shared" si="0"/>
        <v>R.H</v>
      </c>
      <c r="BZ1" s="1" t="str">
        <f t="shared" si="0"/>
        <v>R.DonnanFA</v>
      </c>
      <c r="CA1" s="1" t="str">
        <f t="shared" si="0"/>
        <v>R.DOC-FA_1H</v>
      </c>
      <c r="CB1" s="1" t="str">
        <f t="shared" si="0"/>
        <v>R.DOC-FA_8H</v>
      </c>
    </row>
    <row r="2" spans="1:87" x14ac:dyDescent="0.25"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-13.997</v>
      </c>
      <c r="Q2">
        <v>-7.52</v>
      </c>
      <c r="R2">
        <v>0.4</v>
      </c>
      <c r="S2">
        <v>0</v>
      </c>
      <c r="T2">
        <v>0</v>
      </c>
      <c r="U2">
        <v>0</v>
      </c>
      <c r="V2">
        <v>0</v>
      </c>
      <c r="W2">
        <v>-13.997</v>
      </c>
      <c r="X2">
        <v>-7.52</v>
      </c>
      <c r="Y2">
        <v>0.4</v>
      </c>
      <c r="Z2">
        <v>-1.59</v>
      </c>
      <c r="AA2">
        <v>-12.4</v>
      </c>
      <c r="AB2">
        <v>-0.8</v>
      </c>
      <c r="AC2">
        <v>-3.1680000000000001</v>
      </c>
      <c r="AD2">
        <v>-8.32</v>
      </c>
      <c r="AE2">
        <v>-10.688000000000001</v>
      </c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U2" s="1" t="str" cm="1">
        <f t="array" ref="BU2:BU8">TRANSPOSE(I11:O11)</f>
        <v>[Cu]</v>
      </c>
      <c r="BV2" t="str">
        <f t="shared" ref="BV2:CB2" si="1">"d"&amp;BV$1&amp;" / d"&amp;$BU2</f>
        <v>dR.Cu / d[Cu]</v>
      </c>
      <c r="BW2" t="str">
        <f t="shared" si="1"/>
        <v>dR.Na / d[Cu]</v>
      </c>
      <c r="BX2" t="str">
        <f t="shared" si="1"/>
        <v>dR.Cl / d[Cu]</v>
      </c>
      <c r="BY2" t="str">
        <f t="shared" si="1"/>
        <v>dR.H / d[Cu]</v>
      </c>
      <c r="BZ2" t="str">
        <f t="shared" si="1"/>
        <v>dR.DonnanFA / d[Cu]</v>
      </c>
      <c r="CA2" t="str">
        <f t="shared" si="1"/>
        <v>dR.DOC-FA_1H / d[Cu]</v>
      </c>
      <c r="CB2" t="str">
        <f t="shared" si="1"/>
        <v>dR.DOC-FA_8H / d[Cu]</v>
      </c>
    </row>
    <row r="3" spans="1:87" x14ac:dyDescent="0.25">
      <c r="I3" s="1" t="s">
        <v>35</v>
      </c>
      <c r="BU3" s="1" t="str">
        <v>[Na]</v>
      </c>
      <c r="BV3" t="str">
        <f t="shared" ref="BV3:BV8" si="2">"d"&amp;BV$1&amp;" / d"&amp;$BU3</f>
        <v>dR.Cu / d[Na]</v>
      </c>
      <c r="BW3" t="str">
        <f t="shared" ref="BW3:CB6" si="3">"d"&amp;BW$1&amp;" / d"&amp;$BU3</f>
        <v>dR.Na / d[Na]</v>
      </c>
      <c r="BX3" t="str">
        <f t="shared" si="3"/>
        <v>dR.Cl / d[Na]</v>
      </c>
      <c r="BY3" t="str">
        <f t="shared" si="3"/>
        <v>dR.H / d[Na]</v>
      </c>
      <c r="BZ3" t="str">
        <f t="shared" si="3"/>
        <v>dR.DonnanFA / d[Na]</v>
      </c>
      <c r="CA3" t="str">
        <f t="shared" si="3"/>
        <v>dR.DOC-FA_1H / d[Na]</v>
      </c>
      <c r="CB3" t="str">
        <f t="shared" si="3"/>
        <v>dR.DOC-FA_8H / d[Na]</v>
      </c>
    </row>
    <row r="4" spans="1:87" x14ac:dyDescent="0.25">
      <c r="I4" s="1">
        <f>10^I2</f>
        <v>1</v>
      </c>
      <c r="J4" s="1">
        <f t="shared" ref="J4:AE4" si="4">10^J2</f>
        <v>1</v>
      </c>
      <c r="K4" s="1">
        <f t="shared" si="4"/>
        <v>1</v>
      </c>
      <c r="L4" s="1">
        <f t="shared" si="4"/>
        <v>1</v>
      </c>
      <c r="M4" s="1">
        <f t="shared" si="4"/>
        <v>1</v>
      </c>
      <c r="N4" s="1">
        <f t="shared" si="4"/>
        <v>1</v>
      </c>
      <c r="O4" s="1">
        <f t="shared" si="4"/>
        <v>1</v>
      </c>
      <c r="P4" s="1">
        <f t="shared" si="4"/>
        <v>1.0069316688518014E-14</v>
      </c>
      <c r="Q4" s="1">
        <f t="shared" si="4"/>
        <v>3.0199517204020188E-8</v>
      </c>
      <c r="R4" s="1">
        <f t="shared" si="4"/>
        <v>2.5118864315095806</v>
      </c>
      <c r="S4" s="1">
        <f t="shared" si="4"/>
        <v>1</v>
      </c>
      <c r="T4" s="1">
        <f t="shared" si="4"/>
        <v>1</v>
      </c>
      <c r="U4" s="1">
        <f t="shared" si="4"/>
        <v>1</v>
      </c>
      <c r="V4" s="1">
        <f t="shared" si="4"/>
        <v>1</v>
      </c>
      <c r="W4" s="1">
        <f t="shared" si="4"/>
        <v>1.0069316688518014E-14</v>
      </c>
      <c r="X4" s="1">
        <f t="shared" si="4"/>
        <v>3.0199517204020188E-8</v>
      </c>
      <c r="Y4" s="1">
        <f t="shared" si="4"/>
        <v>2.5118864315095806</v>
      </c>
      <c r="Z4" s="1">
        <f t="shared" si="4"/>
        <v>2.5703957827688629E-2</v>
      </c>
      <c r="AA4" s="1">
        <f t="shared" si="4"/>
        <v>3.9810717055349631E-13</v>
      </c>
      <c r="AB4" s="1">
        <f t="shared" si="4"/>
        <v>0.15848931924611132</v>
      </c>
      <c r="AC4" s="1">
        <f t="shared" si="4"/>
        <v>6.7920363261718376E-4</v>
      </c>
      <c r="AD4" s="1">
        <f t="shared" si="4"/>
        <v>4.7863009232263728E-9</v>
      </c>
      <c r="AE4" s="1">
        <f t="shared" si="4"/>
        <v>2.0511621788255591E-11</v>
      </c>
      <c r="BU4" s="1" t="str">
        <v>[Cl]</v>
      </c>
      <c r="BV4" t="str">
        <f t="shared" si="2"/>
        <v>dR.Cu / d[Cl]</v>
      </c>
      <c r="BW4" t="str">
        <f t="shared" si="3"/>
        <v>dR.Na / d[Cl]</v>
      </c>
      <c r="BX4" t="str">
        <f t="shared" si="3"/>
        <v>dR.Cl / d[Cl]</v>
      </c>
      <c r="BY4" t="str">
        <f t="shared" si="3"/>
        <v>dR.H / d[Cl]</v>
      </c>
      <c r="BZ4" t="str">
        <f t="shared" si="3"/>
        <v>dR.DonnanFA / d[Cl]</v>
      </c>
      <c r="CA4" t="str">
        <f t="shared" si="3"/>
        <v>dR.DOC-FA_1H / d[Cl]</v>
      </c>
      <c r="CB4" t="str">
        <f t="shared" si="3"/>
        <v>dR.DOC-FA_8H / d[Cl]</v>
      </c>
    </row>
    <row r="5" spans="1:87" x14ac:dyDescent="0.25">
      <c r="I5" s="1" t="s">
        <v>107</v>
      </c>
      <c r="BU5" s="1" t="str">
        <v>[H]</v>
      </c>
      <c r="BV5" t="str">
        <f t="shared" si="2"/>
        <v>dR.Cu / d[H]</v>
      </c>
      <c r="BW5" t="str">
        <f t="shared" si="3"/>
        <v>dR.Na / d[H]</v>
      </c>
      <c r="BX5" t="str">
        <f t="shared" si="3"/>
        <v>dR.Cl / d[H]</v>
      </c>
      <c r="BY5" t="str">
        <f t="shared" si="3"/>
        <v>dR.H / d[H]</v>
      </c>
      <c r="BZ5" t="str">
        <f t="shared" si="3"/>
        <v>dR.DonnanFA / d[H]</v>
      </c>
      <c r="CA5" t="str">
        <f t="shared" si="3"/>
        <v>dR.DOC-FA_1H / d[H]</v>
      </c>
      <c r="CB5" t="str">
        <f t="shared" si="3"/>
        <v>dR.DOC-FA_8H / d[H]</v>
      </c>
    </row>
    <row r="6" spans="1:87" x14ac:dyDescent="0.25">
      <c r="I6">
        <v>2</v>
      </c>
      <c r="J6">
        <v>1</v>
      </c>
      <c r="K6">
        <v>-1</v>
      </c>
      <c r="L6">
        <v>1</v>
      </c>
      <c r="M6">
        <v>0</v>
      </c>
      <c r="N6">
        <v>0</v>
      </c>
      <c r="O6">
        <v>0</v>
      </c>
      <c r="P6">
        <v>-1</v>
      </c>
      <c r="Q6">
        <v>1</v>
      </c>
      <c r="R6">
        <v>1</v>
      </c>
      <c r="S6">
        <v>2</v>
      </c>
      <c r="T6">
        <v>1</v>
      </c>
      <c r="U6">
        <v>-1</v>
      </c>
      <c r="V6">
        <v>1</v>
      </c>
      <c r="W6">
        <v>-1</v>
      </c>
      <c r="X6">
        <v>1</v>
      </c>
      <c r="Y6">
        <v>1</v>
      </c>
      <c r="Z6">
        <v>-1</v>
      </c>
      <c r="AA6">
        <v>-1</v>
      </c>
      <c r="AB6">
        <v>1</v>
      </c>
      <c r="AC6">
        <v>1</v>
      </c>
      <c r="AD6">
        <v>0</v>
      </c>
      <c r="AE6">
        <v>0</v>
      </c>
      <c r="BU6" s="1" t="str">
        <v>DonnanFA Ratio</v>
      </c>
      <c r="BV6" t="str">
        <f t="shared" si="2"/>
        <v>dR.Cu / dDonnanFA Ratio</v>
      </c>
      <c r="BW6" t="str">
        <f t="shared" si="3"/>
        <v>dR.Na / dDonnanFA Ratio</v>
      </c>
      <c r="BX6" t="str">
        <f t="shared" si="3"/>
        <v>dR.Cl / dDonnanFA Ratio</v>
      </c>
      <c r="BY6" t="str">
        <f t="shared" si="3"/>
        <v>dR.H / dDonnanFA Ratio</v>
      </c>
      <c r="BZ6" t="str">
        <f t="shared" si="3"/>
        <v>dR.DonnanFA / dDonnanFA Ratio</v>
      </c>
      <c r="CA6" t="str">
        <f t="shared" si="3"/>
        <v>dR.DOC-FA_1H / dDonnanFA Ratio</v>
      </c>
      <c r="CB6" t="str">
        <f t="shared" si="3"/>
        <v>dR.DOC-FA_8H / dDonnanFA Ratio</v>
      </c>
    </row>
    <row r="7" spans="1:87" x14ac:dyDescent="0.25">
      <c r="I7" s="1" t="s">
        <v>150</v>
      </c>
      <c r="BU7" s="1" t="str">
        <v>[DOC-FA_1H]</v>
      </c>
      <c r="BV7" t="str">
        <f t="shared" si="2"/>
        <v>dR.Cu / d[DOC-FA_1H]</v>
      </c>
      <c r="BW7" t="str">
        <f t="shared" ref="BW7:BY8" si="5">"d"&amp;BW$1&amp;" / d"&amp;$BU7</f>
        <v>dR.Na / d[DOC-FA_1H]</v>
      </c>
      <c r="BX7" t="str">
        <f t="shared" si="5"/>
        <v>dR.Cl / d[DOC-FA_1H]</v>
      </c>
      <c r="BY7" t="str">
        <f t="shared" si="5"/>
        <v>dR.H / d[DOC-FA_1H]</v>
      </c>
      <c r="BZ7">
        <v>0</v>
      </c>
      <c r="CA7" t="str">
        <f>"d"&amp;CA$1&amp;" / d"&amp;$BU7</f>
        <v>dR.DOC-FA_1H / d[DOC-FA_1H]</v>
      </c>
      <c r="CB7" t="str">
        <f>"d"&amp;CB$1&amp;" / d"&amp;$BU7</f>
        <v>dR.DOC-FA_8H / d[DOC-FA_1H]</v>
      </c>
    </row>
    <row r="8" spans="1:87" x14ac:dyDescent="0.25"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U8" s="1" t="str">
        <v>[DOC-FA_8H]</v>
      </c>
      <c r="BV8" t="str">
        <f t="shared" si="2"/>
        <v>dR.Cu / d[DOC-FA_8H]</v>
      </c>
      <c r="BW8" t="str">
        <f t="shared" si="5"/>
        <v>dR.Na / d[DOC-FA_8H]</v>
      </c>
      <c r="BX8" t="str">
        <f t="shared" si="5"/>
        <v>dR.Cl / d[DOC-FA_8H]</v>
      </c>
      <c r="BY8" t="str">
        <f t="shared" si="5"/>
        <v>dR.H / d[DOC-FA_8H]</v>
      </c>
      <c r="BZ8">
        <v>0</v>
      </c>
      <c r="CA8" t="str">
        <f>"d"&amp;CA$1&amp;" / d"&amp;$BU8</f>
        <v>dR.DOC-FA_1H / d[DOC-FA_8H]</v>
      </c>
      <c r="CB8" t="str">
        <f>"d"&amp;CB$1&amp;" / d"&amp;$BU8</f>
        <v>dR.DOC-FA_8H / d[DOC-FA_8H]</v>
      </c>
    </row>
    <row r="9" spans="1:87" x14ac:dyDescent="0.25">
      <c r="BZ9" s="65" t="s">
        <v>57</v>
      </c>
      <c r="CA9" s="65"/>
      <c r="CB9" s="65"/>
      <c r="CC9" s="65"/>
      <c r="CD9" s="65"/>
    </row>
    <row r="10" spans="1:87" x14ac:dyDescent="0.25">
      <c r="B10" s="1" t="s">
        <v>24</v>
      </c>
      <c r="C10" s="1" t="s">
        <v>25</v>
      </c>
      <c r="D10" s="1" t="s">
        <v>36</v>
      </c>
      <c r="E10" s="1" t="s">
        <v>59</v>
      </c>
      <c r="F10" s="1" t="s">
        <v>112</v>
      </c>
      <c r="G10" s="1" t="s">
        <v>113</v>
      </c>
      <c r="H10" s="1" t="s">
        <v>114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38</v>
      </c>
      <c r="O10" s="1" t="s">
        <v>40</v>
      </c>
      <c r="P10" s="1" t="s">
        <v>64</v>
      </c>
      <c r="Q10" s="1" t="s">
        <v>65</v>
      </c>
      <c r="R10" s="1" t="s">
        <v>66</v>
      </c>
      <c r="S10" s="1" t="s">
        <v>137</v>
      </c>
      <c r="T10" s="1" t="s">
        <v>138</v>
      </c>
      <c r="U10" s="1" t="s">
        <v>139</v>
      </c>
      <c r="V10" s="1" t="s">
        <v>140</v>
      </c>
      <c r="W10" s="1" t="s">
        <v>141</v>
      </c>
      <c r="X10" s="1" t="s">
        <v>142</v>
      </c>
      <c r="Y10" s="1" t="s">
        <v>143</v>
      </c>
      <c r="Z10" s="1" t="s">
        <v>144</v>
      </c>
      <c r="AA10" s="1" t="s">
        <v>145</v>
      </c>
      <c r="AB10" s="1" t="s">
        <v>146</v>
      </c>
      <c r="AC10" s="1" t="s">
        <v>147</v>
      </c>
      <c r="AD10" s="1" t="s">
        <v>148</v>
      </c>
      <c r="AE10" s="1" t="s">
        <v>149</v>
      </c>
      <c r="AJ10" s="1" t="s">
        <v>164</v>
      </c>
      <c r="AK10" s="1" t="s">
        <v>165</v>
      </c>
      <c r="AL10" s="1" t="s">
        <v>166</v>
      </c>
      <c r="AM10" s="1" t="s">
        <v>167</v>
      </c>
      <c r="AN10" s="1" t="s">
        <v>168</v>
      </c>
      <c r="AO10" s="1" t="s">
        <v>169</v>
      </c>
      <c r="AP10" s="1" t="s">
        <v>170</v>
      </c>
      <c r="AQ10" s="1" t="s">
        <v>171</v>
      </c>
      <c r="AR10" s="1" t="s">
        <v>172</v>
      </c>
      <c r="AS10" s="1" t="s">
        <v>173</v>
      </c>
      <c r="AT10" s="1" t="s">
        <v>174</v>
      </c>
      <c r="AU10" s="1" t="s">
        <v>175</v>
      </c>
      <c r="AV10" s="1" t="s">
        <v>176</v>
      </c>
      <c r="AW10" s="1" t="s">
        <v>177</v>
      </c>
      <c r="AX10" s="1" t="s">
        <v>178</v>
      </c>
      <c r="AY10" s="1" t="s">
        <v>179</v>
      </c>
      <c r="AZ10" s="1" t="s">
        <v>180</v>
      </c>
      <c r="BA10" s="1" t="s">
        <v>181</v>
      </c>
      <c r="BB10" s="1" t="s">
        <v>182</v>
      </c>
      <c r="BC10" s="1" t="s">
        <v>183</v>
      </c>
      <c r="BD10" s="1" t="s">
        <v>184</v>
      </c>
      <c r="BE10" s="1" t="s">
        <v>185</v>
      </c>
      <c r="BF10" s="1" t="s">
        <v>186</v>
      </c>
      <c r="BG10" s="1" t="s">
        <v>157</v>
      </c>
      <c r="BH10" s="1" t="s">
        <v>158</v>
      </c>
      <c r="BI10" s="1" t="s">
        <v>159</v>
      </c>
      <c r="BJ10" s="1" t="s">
        <v>160</v>
      </c>
      <c r="BK10" s="1" t="s">
        <v>161</v>
      </c>
      <c r="BL10" s="1" t="s">
        <v>162</v>
      </c>
      <c r="BM10" s="1" t="s">
        <v>163</v>
      </c>
      <c r="BN10" s="1" t="s">
        <v>20</v>
      </c>
      <c r="BO10" s="1" t="s">
        <v>21</v>
      </c>
      <c r="BT10" s="1" t="s">
        <v>45</v>
      </c>
      <c r="BV10" s="1" t="s">
        <v>16</v>
      </c>
      <c r="BW10" s="1" t="s">
        <v>17</v>
      </c>
      <c r="BX10" s="1" t="s">
        <v>18</v>
      </c>
      <c r="BY10" s="1" t="s">
        <v>19</v>
      </c>
      <c r="BZ10" s="1" t="s">
        <v>46</v>
      </c>
      <c r="CA10" s="1" t="s">
        <v>47</v>
      </c>
      <c r="CB10" s="1" t="s">
        <v>48</v>
      </c>
      <c r="CC10" s="1" t="s">
        <v>49</v>
      </c>
      <c r="CD10" s="1" t="s">
        <v>50</v>
      </c>
      <c r="CE10" t="s">
        <v>31</v>
      </c>
    </row>
    <row r="11" spans="1:87" s="4" customFormat="1" ht="30" x14ac:dyDescent="0.25">
      <c r="A11" s="4" t="s">
        <v>12</v>
      </c>
      <c r="B11" s="5" t="s">
        <v>37</v>
      </c>
      <c r="C11" s="4" t="s">
        <v>109</v>
      </c>
      <c r="D11" s="4" t="s">
        <v>110</v>
      </c>
      <c r="E11" s="5" t="s">
        <v>0</v>
      </c>
      <c r="F11" s="5" t="s">
        <v>111</v>
      </c>
      <c r="G11" s="5" t="s">
        <v>115</v>
      </c>
      <c r="H11" s="5" t="s">
        <v>116</v>
      </c>
      <c r="I11" s="5" t="s">
        <v>41</v>
      </c>
      <c r="J11" s="5" t="s">
        <v>117</v>
      </c>
      <c r="K11" s="5" t="s">
        <v>118</v>
      </c>
      <c r="L11" s="5" t="s">
        <v>2</v>
      </c>
      <c r="M11" s="7" t="s">
        <v>119</v>
      </c>
      <c r="N11" s="7" t="s">
        <v>120</v>
      </c>
      <c r="O11" s="7" t="s">
        <v>121</v>
      </c>
      <c r="P11" s="5" t="s">
        <v>13</v>
      </c>
      <c r="Q11" s="5" t="s">
        <v>122</v>
      </c>
      <c r="R11" s="5" t="s">
        <v>123</v>
      </c>
      <c r="S11" s="7" t="s">
        <v>124</v>
      </c>
      <c r="T11" s="7" t="s">
        <v>125</v>
      </c>
      <c r="U11" s="7" t="s">
        <v>126</v>
      </c>
      <c r="V11" s="7" t="s">
        <v>127</v>
      </c>
      <c r="W11" s="7" t="s">
        <v>128</v>
      </c>
      <c r="X11" s="7" t="s">
        <v>129</v>
      </c>
      <c r="Y11" s="7" t="s">
        <v>130</v>
      </c>
      <c r="Z11" s="7" t="s">
        <v>131</v>
      </c>
      <c r="AA11" s="7" t="s">
        <v>132</v>
      </c>
      <c r="AB11" s="7" t="s">
        <v>133</v>
      </c>
      <c r="AC11" s="7" t="s">
        <v>134</v>
      </c>
      <c r="AD11" s="7" t="s">
        <v>135</v>
      </c>
      <c r="AE11" s="7" t="s">
        <v>136</v>
      </c>
      <c r="AF11" s="7" t="s">
        <v>156</v>
      </c>
      <c r="AG11" s="7" t="s">
        <v>108</v>
      </c>
      <c r="AH11" s="4" t="s">
        <v>187</v>
      </c>
      <c r="AJ11" s="5" t="s">
        <v>41</v>
      </c>
      <c r="AK11" s="5" t="s">
        <v>117</v>
      </c>
      <c r="AL11" s="5" t="s">
        <v>118</v>
      </c>
      <c r="AM11" s="5" t="s">
        <v>2</v>
      </c>
      <c r="AN11" s="7" t="s">
        <v>119</v>
      </c>
      <c r="AO11" s="7" t="s">
        <v>120</v>
      </c>
      <c r="AP11" s="7" t="s">
        <v>121</v>
      </c>
      <c r="AQ11" s="5" t="s">
        <v>13</v>
      </c>
      <c r="AR11" s="5" t="s">
        <v>122</v>
      </c>
      <c r="AS11" s="5" t="s">
        <v>123</v>
      </c>
      <c r="AT11" s="7" t="s">
        <v>124</v>
      </c>
      <c r="AU11" s="7" t="s">
        <v>125</v>
      </c>
      <c r="AV11" s="7" t="s">
        <v>126</v>
      </c>
      <c r="AW11" s="7" t="s">
        <v>127</v>
      </c>
      <c r="AX11" s="7" t="s">
        <v>128</v>
      </c>
      <c r="AY11" s="7" t="s">
        <v>129</v>
      </c>
      <c r="AZ11" s="7" t="s">
        <v>130</v>
      </c>
      <c r="BA11" s="7" t="s">
        <v>131</v>
      </c>
      <c r="BB11" s="7" t="s">
        <v>132</v>
      </c>
      <c r="BC11" s="7" t="s">
        <v>133</v>
      </c>
      <c r="BD11" s="7" t="s">
        <v>134</v>
      </c>
      <c r="BE11" s="7" t="s">
        <v>135</v>
      </c>
      <c r="BF11" s="7" t="s">
        <v>136</v>
      </c>
      <c r="BG11" s="5" t="s">
        <v>43</v>
      </c>
      <c r="BH11" s="4" t="s">
        <v>151</v>
      </c>
      <c r="BI11" s="4" t="s">
        <v>152</v>
      </c>
      <c r="BJ11" s="5" t="s">
        <v>4</v>
      </c>
      <c r="BK11" s="5" t="s">
        <v>153</v>
      </c>
      <c r="BL11" s="5" t="s">
        <v>154</v>
      </c>
      <c r="BM11" s="5" t="s">
        <v>155</v>
      </c>
      <c r="BN11" s="5" t="str">
        <f t="shared" ref="BN11:BT11" si="6">SUBSTITUTE(B11,"T.","R.")</f>
        <v>R.Cu</v>
      </c>
      <c r="BO11" s="5" t="str">
        <f t="shared" si="6"/>
        <v>R.Na</v>
      </c>
      <c r="BP11" s="5" t="str">
        <f t="shared" si="6"/>
        <v>R.Cl</v>
      </c>
      <c r="BQ11" s="5" t="str">
        <f t="shared" si="6"/>
        <v>R.H</v>
      </c>
      <c r="BR11" s="5" t="str">
        <f t="shared" si="6"/>
        <v>R.DonnanFA</v>
      </c>
      <c r="BS11" s="5" t="str">
        <f t="shared" si="6"/>
        <v>R.DOC-FA_1H</v>
      </c>
      <c r="BT11" s="5" t="str">
        <f t="shared" si="6"/>
        <v>R.DOC-FA_8H</v>
      </c>
      <c r="BU11" s="5" t="s">
        <v>58</v>
      </c>
      <c r="BV11" s="7" t="s">
        <v>52</v>
      </c>
      <c r="BW11" s="7" t="s">
        <v>53</v>
      </c>
      <c r="BX11" s="7" t="s">
        <v>55</v>
      </c>
      <c r="BY11" s="7" t="s">
        <v>9</v>
      </c>
      <c r="BZ11" s="8" t="s">
        <v>54</v>
      </c>
      <c r="CA11" s="8" t="s">
        <v>10</v>
      </c>
      <c r="CB11" s="8" t="s">
        <v>56</v>
      </c>
      <c r="CC11" s="8" t="s">
        <v>11</v>
      </c>
      <c r="CD11" s="8" t="s">
        <v>8</v>
      </c>
      <c r="CE11" s="4" t="s">
        <v>51</v>
      </c>
      <c r="CF11" s="4" t="s">
        <v>32</v>
      </c>
      <c r="CG11" s="4" t="s">
        <v>33</v>
      </c>
    </row>
    <row r="12" spans="1:87" x14ac:dyDescent="0.25">
      <c r="A12">
        <v>0</v>
      </c>
      <c r="B12" s="6">
        <v>9.9999999999999995E-7</v>
      </c>
      <c r="C12" s="6">
        <v>1E-3</v>
      </c>
      <c r="D12" s="6">
        <v>2.9999999999999997E-4</v>
      </c>
      <c r="E12" s="1">
        <f>BJ12</f>
        <v>-1.0017641765727096E-6</v>
      </c>
      <c r="F12" s="6">
        <f>AF12*-1</f>
        <v>7.0710316387632397E-8</v>
      </c>
      <c r="G12" s="1">
        <v>7.0949999999999997E-8</v>
      </c>
      <c r="H12" s="1">
        <v>3.5474999999999998E-8</v>
      </c>
      <c r="I12" s="1">
        <v>2.7172277358393001E-7</v>
      </c>
      <c r="J12" s="1">
        <v>5.0000000000000001E-4</v>
      </c>
      <c r="K12" s="1">
        <v>1.49999903233411E-4</v>
      </c>
      <c r="L12" s="6">
        <f>10^-7.57</f>
        <v>2.6915348039269097E-8</v>
      </c>
      <c r="M12">
        <v>1</v>
      </c>
      <c r="N12" s="1">
        <v>7.4293428549307899E-14</v>
      </c>
      <c r="O12" s="1">
        <v>3.49657071808111E-8</v>
      </c>
      <c r="P12" s="1">
        <f>L12^(-1)*$P$4</f>
        <v>3.7411058827205313E-7</v>
      </c>
      <c r="Q12" s="1">
        <f>L12^(-1)*I12*$Q$4</f>
        <v>3.0487796641528447E-7</v>
      </c>
      <c r="R12" s="1">
        <f>I12*K12*$R$4</f>
        <v>1.0238044616789057E-10</v>
      </c>
      <c r="S12" s="1">
        <f>IF(AF12&lt;0,I12*M12^2*$S$4,0)</f>
        <v>2.7172277358393001E-7</v>
      </c>
      <c r="T12" s="1">
        <f>IF(AF12&lt;0,J12*M12*$T$4,0)</f>
        <v>5.0000000000000001E-4</v>
      </c>
      <c r="U12" s="1">
        <f>IF(AF12&lt;0,0,K12*M12*$U$4)</f>
        <v>0</v>
      </c>
      <c r="V12" s="1">
        <f>IF(AF12&lt;0,L12*M12*$V$4,0)</f>
        <v>2.6915348039269097E-8</v>
      </c>
      <c r="W12" s="1">
        <f>IF(AF12&lt;0,0,L12^(-1)*M12*$W$4)</f>
        <v>0</v>
      </c>
      <c r="X12" s="1">
        <f>IF(AF12&lt;0,I12*L12^(-1)*M12*$X$4)</f>
        <v>3.0487796641528447E-7</v>
      </c>
      <c r="Y12" s="1">
        <f>IF(AF12&lt;0,I12*K12*M12*$Y$4,0)</f>
        <v>1.0238044616789057E-10</v>
      </c>
      <c r="Z12" s="1">
        <f>L12^(-1)*N12*$Z$4</f>
        <v>7.0949673454702455E-8</v>
      </c>
      <c r="AA12" s="1">
        <f>L12^(-1)*O12*$AA$4</f>
        <v>5.1718070789371019E-13</v>
      </c>
      <c r="AB12" s="1">
        <f>I12*L12^(-1)*N12*$AB$4</f>
        <v>1.1887114334397469E-13</v>
      </c>
      <c r="AC12" s="1">
        <f>I12*L12^(-1)*O12*$AC$4</f>
        <v>2.3975537663460906E-10</v>
      </c>
      <c r="AD12" s="1">
        <f>I12*L12^(-2)*N12*$AD$4</f>
        <v>1.3337561651591363E-13</v>
      </c>
      <c r="AE12" s="1">
        <f>I12*L12^(-2)*O12*$AE$4</f>
        <v>2.6900995710214924E-10</v>
      </c>
      <c r="AF12" s="1">
        <f>SUMPRODUCT($Z$6:$AE$6,$Z$8:$AE$8,Z12:AE12)</f>
        <v>-7.0710316387632397E-8</v>
      </c>
      <c r="AG12" s="1">
        <f>SUMPRODUCT($I$6:$AE$6,$I$6:$AE$6,I12:AE12)*0.5</f>
        <v>5.7664138873251961E-4</v>
      </c>
      <c r="AH12" s="7">
        <f>(0.000000106425)*1500*(1000*ABS(AF12)/(1+1000*ABS(AF12)))*(1000*(6.022E+23)/1500*4*PI()/3*(((0.0000000008)+0.000000000304/SQRT(AG12))^3-(0.0000000008)^3))</f>
        <v>4.6273495828792684E-8</v>
      </c>
      <c r="AI12" s="7">
        <f>0.25*AH12/(0.25+AH12)</f>
        <v>4.6273487263848606E-8</v>
      </c>
      <c r="BG12" s="1">
        <f>I12+Q12+R12+S12+X12+Y12+AB12+AC12+AD12+AE12</f>
        <v>1.1539152584712611E-6</v>
      </c>
      <c r="BH12" s="1">
        <f>J12+T12</f>
        <v>1E-3</v>
      </c>
      <c r="BI12" s="1">
        <f>K12+R12+U12+Y12</f>
        <v>1.5000010799430332E-4</v>
      </c>
      <c r="BJ12" s="1">
        <f>L12-P12-Q12+V12-W12-X12-Z12-AA12-AB12-AC12-2*AD12-2*AE12</f>
        <v>-1.0017641765727096E-6</v>
      </c>
      <c r="BK12" s="1">
        <f>2*S12+T12+U12+V12+W12+X12+Y12</f>
        <v>5.0087534124206858E-4</v>
      </c>
      <c r="BL12" s="1">
        <f>N12+Z12+AB12+AD12</f>
        <v>7.0949999994890866E-8</v>
      </c>
      <c r="BM12" s="1">
        <f>O12+AA12+AC12+AE12</f>
        <v>3.5474989695255752E-8</v>
      </c>
      <c r="BN12" s="1">
        <f t="shared" ref="BN12:BT12" si="7">BG12-B12</f>
        <v>1.5391525847126117E-7</v>
      </c>
      <c r="BO12" s="1">
        <f t="shared" si="7"/>
        <v>0</v>
      </c>
      <c r="BP12" s="1">
        <f t="shared" si="7"/>
        <v>-1.4999989200569665E-4</v>
      </c>
      <c r="BQ12" s="1">
        <f t="shared" si="7"/>
        <v>0</v>
      </c>
      <c r="BR12" s="1">
        <f t="shared" si="7"/>
        <v>5.0080463092568093E-4</v>
      </c>
      <c r="BS12" s="1">
        <f t="shared" si="7"/>
        <v>-5.1091306842705286E-18</v>
      </c>
      <c r="BT12" s="1">
        <f t="shared" si="7"/>
        <v>-1.0304744246401444E-14</v>
      </c>
      <c r="BU12" cm="1">
        <f t="array" ref="BU12">MAX(ABS(BN12:BT12/B12:H12))</f>
        <v>7082.4832430430797</v>
      </c>
      <c r="BV12" t="e">
        <f>1+L12*J12*#REF!</f>
        <v>#REF!</v>
      </c>
      <c r="BW12" t="e">
        <f>I12*L12*#REF!</f>
        <v>#REF!</v>
      </c>
      <c r="BX12" t="e">
        <f>L12*J12*#REF!</f>
        <v>#REF!</v>
      </c>
      <c r="BY12" t="e">
        <f>1+L12*$Q$4+L12^2*$R$4+I12*L12*#REF!</f>
        <v>#REF!</v>
      </c>
      <c r="BZ12" s="11" t="e">
        <f>I12*J12*#REF!</f>
        <v>#REF!</v>
      </c>
      <c r="CA12" s="11" t="e">
        <f>J12*$Q$4+2*L12*J12*$R$4+I12*J12*#REF!</f>
        <v>#REF!</v>
      </c>
      <c r="CB12" s="11" t="e">
        <f>L12*J12*#REF!</f>
        <v>#REF!</v>
      </c>
      <c r="CC12" s="11" t="e">
        <f>L12*$Q$4+2*L12^2*$R$4+I12*L12*#REF!</f>
        <v>#REF!</v>
      </c>
      <c r="CD12" s="11" t="e">
        <f>1+J12*$Q$4+4*L12*J12*$R$4+I12*J12*#REF!+L12^-2*$P$4</f>
        <v>#REF!</v>
      </c>
      <c r="CE12" t="e" cm="1">
        <f t="array" ref="CE12">TRANSPOSE(MMULT(MINVERSE(_xlfn.WRAPCOLS(BV12:BY12,2)),TRANSPOSE(BN12:BO12)))</f>
        <v>#REF!</v>
      </c>
      <c r="CF12" s="1"/>
      <c r="CG12">
        <v>0</v>
      </c>
      <c r="CI12" t="e" cm="1">
        <f t="array" ref="CI12">MINVERSE(_xlfn.WRAPCOLS(BV12:BY12,2))</f>
        <v>#REF!</v>
      </c>
    </row>
    <row r="13" spans="1:87" x14ac:dyDescent="0.25">
      <c r="A13">
        <f>A12+1</f>
        <v>1</v>
      </c>
      <c r="B13" s="1">
        <f>B12</f>
        <v>9.9999999999999995E-7</v>
      </c>
      <c r="C13" s="1">
        <f>C12</f>
        <v>1E-3</v>
      </c>
      <c r="E13" s="1" t="e">
        <f>L13+Q13+2*R13-P13+#REF!</f>
        <v>#REF!</v>
      </c>
      <c r="I13" s="1" t="e">
        <f t="shared" ref="I13:I39" si="8">I12-CE12</f>
        <v>#REF!</v>
      </c>
      <c r="J13" s="1">
        <f t="shared" ref="J13:J39" si="9">J12-CF12</f>
        <v>5.0000000000000001E-4</v>
      </c>
      <c r="L13" s="1">
        <f t="shared" ref="L13:L39" si="10">L12-CG12</f>
        <v>2.6915348039269097E-8</v>
      </c>
      <c r="P13" s="1">
        <f>L13^(-1)*$P$4</f>
        <v>3.7411058827205313E-7</v>
      </c>
      <c r="Q13" s="1">
        <f>L13*J13*$Q$4</f>
        <v>4.064152580820491E-19</v>
      </c>
      <c r="R13" s="1">
        <f t="shared" ref="R13:R39" si="11">L13^2*J13*$R$4</f>
        <v>9.0985042930498791E-19</v>
      </c>
      <c r="S13" s="1" t="e">
        <f t="shared" ref="S13:S30" si="12">IF(AF13&lt;0,I13*M13^2*$S$4,0)</f>
        <v>#REF!</v>
      </c>
      <c r="T13" s="1" t="e">
        <f t="shared" ref="T13:T30" si="13">IF(AF13&lt;0,J13*M13*$T$4,0)</f>
        <v>#REF!</v>
      </c>
      <c r="U13" s="1" t="e">
        <f t="shared" ref="U13:U30" si="14">IF(AF13&lt;0,0,K13*M13*$U$4)</f>
        <v>#REF!</v>
      </c>
      <c r="V13" s="1" t="e">
        <f t="shared" ref="V13:V30" si="15">IF(AF13&lt;0,L13*M13*$V$4,0)</f>
        <v>#REF!</v>
      </c>
      <c r="W13" s="1" t="e">
        <f t="shared" ref="W13:W30" si="16">IF(AF13&lt;0,0,L13^(-1)*M13*$W$4)</f>
        <v>#REF!</v>
      </c>
      <c r="X13" s="1" t="e">
        <f t="shared" ref="X13:X30" si="17">IF(AF13&lt;0,I13*L13^(-1)*M13*$X$4)</f>
        <v>#REF!</v>
      </c>
      <c r="Y13" s="1" t="e">
        <f t="shared" ref="Y13:Y30" si="18">IF(AF13&lt;0,I13*K13*M13*$Y$4,0)</f>
        <v>#REF!</v>
      </c>
      <c r="Z13" s="1">
        <f t="shared" ref="Z13:Z30" si="19">L13^(-1)*N13*$Z$4</f>
        <v>0</v>
      </c>
      <c r="AA13" s="1">
        <f t="shared" ref="AA13:AA30" si="20">L13^(-1)*O13*$AA$4</f>
        <v>0</v>
      </c>
      <c r="AB13" s="1" t="e">
        <f t="shared" ref="AB13:AB30" si="21">I13*L13^(-1)*N13*$AB$4</f>
        <v>#REF!</v>
      </c>
      <c r="AC13" s="1" t="e">
        <f t="shared" ref="AC13:AC30" si="22">I13*L13^(-1)*O13*$AC$4</f>
        <v>#REF!</v>
      </c>
      <c r="AD13" s="1" t="e">
        <f t="shared" ref="AD13:AD30" si="23">I13*L13^(-2)*N13*$AD$4</f>
        <v>#REF!</v>
      </c>
      <c r="AE13" s="1" t="e">
        <f t="shared" ref="AE13:AE30" si="24">I13*L13^(-2)*O13*$AE$4</f>
        <v>#REF!</v>
      </c>
      <c r="AF13" s="1" t="e">
        <f t="shared" ref="AF13:AF30" si="25">SUMPRODUCT($Z$6:$AE$6,$Z$8:$AE$8,Z13:AE13)</f>
        <v>#REF!</v>
      </c>
      <c r="AG13" s="1" t="e">
        <f t="shared" ref="AG13:AG30" si="26">SUMPRODUCT($I$6:$AE$6,$I$6:$AE$6,I13:AE13)*0.5</f>
        <v>#REF!</v>
      </c>
      <c r="BG13" s="1" t="e">
        <f>I13+#REF!</f>
        <v>#REF!</v>
      </c>
      <c r="BH13" s="1" t="e">
        <f>J13+Q13+R13+#REF!</f>
        <v>#REF!</v>
      </c>
      <c r="BM13" s="1" t="e">
        <f>L13+Q13+2*R13-P13+#REF!</f>
        <v>#REF!</v>
      </c>
      <c r="BN13" s="1" t="e">
        <f t="shared" ref="BN13:BN39" si="27">BG13-B13</f>
        <v>#REF!</v>
      </c>
      <c r="BO13" s="1" t="e">
        <f t="shared" ref="BO13:BO39" si="28">BH13-C13</f>
        <v>#REF!</v>
      </c>
      <c r="BT13" s="1" t="e">
        <f t="shared" ref="BT13:BT39" si="29">BM13-E13</f>
        <v>#REF!</v>
      </c>
      <c r="BU13" t="e" cm="1">
        <f t="array" ref="BU13">MAX(ABS(BN13:BT13/B13:E13))</f>
        <v>#REF!</v>
      </c>
      <c r="BV13" t="e">
        <f>1+L13*J13*#REF!</f>
        <v>#REF!</v>
      </c>
      <c r="BW13" t="e">
        <f>I13*L13*#REF!</f>
        <v>#REF!</v>
      </c>
      <c r="BX13" t="e">
        <f>L13*J13*#REF!</f>
        <v>#REF!</v>
      </c>
      <c r="BY13" t="e">
        <f>1+L13*$Q$4+L13^2*$R$4+I13*L13*#REF!</f>
        <v>#REF!</v>
      </c>
      <c r="BZ13" s="11" t="e">
        <f>I13*J13*#REF!</f>
        <v>#REF!</v>
      </c>
      <c r="CA13" s="11" t="e">
        <f>J13*$Q$4+2*L13*J13*$R$4+I13*J13*#REF!</f>
        <v>#REF!</v>
      </c>
      <c r="CB13" s="11" t="e">
        <f>L13*J13*#REF!</f>
        <v>#REF!</v>
      </c>
      <c r="CC13" s="11" t="e">
        <f>L13*$Q$4+2*L13^2*$R$4+I13*L13*#REF!</f>
        <v>#REF!</v>
      </c>
      <c r="CD13" s="11" t="e">
        <f>1+J13*$Q$4+4*L13*J13*$R$4+I13*J13*#REF!+L13^-2*$P$4</f>
        <v>#REF!</v>
      </c>
      <c r="CE13" t="e" cm="1">
        <f t="array" ref="CE13">TRANSPOSE(MMULT(MINVERSE(_xlfn.WRAPCOLS(BV13:BY13,2)),TRANSPOSE(BN13:BO13)))</f>
        <v>#REF!</v>
      </c>
      <c r="CF13" s="1"/>
      <c r="CG13">
        <v>0</v>
      </c>
    </row>
    <row r="14" spans="1:87" x14ac:dyDescent="0.25">
      <c r="A14">
        <f>A13+1</f>
        <v>2</v>
      </c>
      <c r="B14" s="1">
        <f t="shared" ref="B14:C29" si="30">B13</f>
        <v>9.9999999999999995E-7</v>
      </c>
      <c r="C14" s="1">
        <f t="shared" si="30"/>
        <v>1E-3</v>
      </c>
      <c r="E14" s="1" t="e">
        <f>L14+Q14+2*R14-P14+#REF!</f>
        <v>#REF!</v>
      </c>
      <c r="I14" s="1" t="e">
        <f t="shared" si="8"/>
        <v>#REF!</v>
      </c>
      <c r="J14" s="1">
        <f t="shared" si="9"/>
        <v>5.0000000000000001E-4</v>
      </c>
      <c r="L14" s="1">
        <f t="shared" si="10"/>
        <v>2.6915348039269097E-8</v>
      </c>
      <c r="P14" s="1">
        <f>L14^(-1)*$P$4</f>
        <v>3.7411058827205313E-7</v>
      </c>
      <c r="Q14" s="1">
        <f>L14*J14*$Q$4</f>
        <v>4.064152580820491E-19</v>
      </c>
      <c r="R14" s="1">
        <f t="shared" si="11"/>
        <v>9.0985042930498791E-19</v>
      </c>
      <c r="S14" s="1" t="e">
        <f t="shared" si="12"/>
        <v>#REF!</v>
      </c>
      <c r="T14" s="1" t="e">
        <f t="shared" si="13"/>
        <v>#REF!</v>
      </c>
      <c r="U14" s="1" t="e">
        <f t="shared" si="14"/>
        <v>#REF!</v>
      </c>
      <c r="V14" s="1" t="e">
        <f t="shared" si="15"/>
        <v>#REF!</v>
      </c>
      <c r="W14" s="1" t="e">
        <f t="shared" si="16"/>
        <v>#REF!</v>
      </c>
      <c r="X14" s="1" t="e">
        <f t="shared" si="17"/>
        <v>#REF!</v>
      </c>
      <c r="Y14" s="1" t="e">
        <f t="shared" si="18"/>
        <v>#REF!</v>
      </c>
      <c r="Z14" s="1">
        <f t="shared" si="19"/>
        <v>0</v>
      </c>
      <c r="AA14" s="1">
        <f t="shared" si="20"/>
        <v>0</v>
      </c>
      <c r="AB14" s="1" t="e">
        <f t="shared" si="21"/>
        <v>#REF!</v>
      </c>
      <c r="AC14" s="1" t="e">
        <f t="shared" si="22"/>
        <v>#REF!</v>
      </c>
      <c r="AD14" s="1" t="e">
        <f t="shared" si="23"/>
        <v>#REF!</v>
      </c>
      <c r="AE14" s="1" t="e">
        <f t="shared" si="24"/>
        <v>#REF!</v>
      </c>
      <c r="AF14" s="1" t="e">
        <f t="shared" si="25"/>
        <v>#REF!</v>
      </c>
      <c r="AG14" s="1" t="e">
        <f t="shared" si="26"/>
        <v>#REF!</v>
      </c>
      <c r="BG14" s="1" t="e">
        <f>I14+#REF!</f>
        <v>#REF!</v>
      </c>
      <c r="BH14" s="1" t="e">
        <f>J14+Q14+R14+#REF!</f>
        <v>#REF!</v>
      </c>
      <c r="BM14" s="1" t="e">
        <f>L14+Q14+2*R14-P14+#REF!</f>
        <v>#REF!</v>
      </c>
      <c r="BN14" s="1" t="e">
        <f t="shared" si="27"/>
        <v>#REF!</v>
      </c>
      <c r="BO14" s="1" t="e">
        <f t="shared" si="28"/>
        <v>#REF!</v>
      </c>
      <c r="BT14" s="1" t="e">
        <f t="shared" si="29"/>
        <v>#REF!</v>
      </c>
      <c r="BU14" t="e" cm="1">
        <f t="array" ref="BU14">MAX(ABS(BN14:BT14/B14:E14))</f>
        <v>#REF!</v>
      </c>
      <c r="BV14" t="e">
        <f>1+L14*J14*#REF!</f>
        <v>#REF!</v>
      </c>
      <c r="BW14" t="e">
        <f>I14*L14*#REF!</f>
        <v>#REF!</v>
      </c>
      <c r="BX14" t="e">
        <f>L14*J14*#REF!</f>
        <v>#REF!</v>
      </c>
      <c r="BY14" t="e">
        <f>1+L14*$Q$4+L14^2*$R$4+I14*L14*#REF!</f>
        <v>#REF!</v>
      </c>
      <c r="BZ14" s="11" t="e">
        <f>I14*J14*#REF!</f>
        <v>#REF!</v>
      </c>
      <c r="CA14" s="11" t="e">
        <f>J14*$Q$4+2*L14*J14*$R$4+I14*J14*#REF!</f>
        <v>#REF!</v>
      </c>
      <c r="CB14" s="11" t="e">
        <f>L14*J14*#REF!</f>
        <v>#REF!</v>
      </c>
      <c r="CC14" s="11" t="e">
        <f>L14*$Q$4+2*L14^2*$R$4+I14*L14*#REF!</f>
        <v>#REF!</v>
      </c>
      <c r="CD14" s="11" t="e">
        <f>1+J14*$Q$4+4*L14*J14*$R$4+I14*J14*#REF!+L14^-2*$P$4</f>
        <v>#REF!</v>
      </c>
      <c r="CE14" t="e" cm="1">
        <f t="array" ref="CE14">TRANSPOSE(MMULT(MINVERSE(_xlfn.WRAPCOLS(BV14:BY14,2)),TRANSPOSE(BN14:BO14)))</f>
        <v>#REF!</v>
      </c>
      <c r="CF14" s="1"/>
      <c r="CG14">
        <v>0</v>
      </c>
    </row>
    <row r="15" spans="1:87" x14ac:dyDescent="0.25">
      <c r="A15">
        <f t="shared" ref="A15:A39" si="31">A14+1</f>
        <v>3</v>
      </c>
      <c r="B15" s="1">
        <f t="shared" si="30"/>
        <v>9.9999999999999995E-7</v>
      </c>
      <c r="C15" s="1">
        <f t="shared" si="30"/>
        <v>1E-3</v>
      </c>
      <c r="E15" s="1" t="e">
        <f>L15+Q15+2*R15-P15+#REF!</f>
        <v>#REF!</v>
      </c>
      <c r="I15" s="1" t="e">
        <f t="shared" si="8"/>
        <v>#REF!</v>
      </c>
      <c r="J15" s="1">
        <f t="shared" si="9"/>
        <v>5.0000000000000001E-4</v>
      </c>
      <c r="L15" s="1">
        <f t="shared" si="10"/>
        <v>2.6915348039269097E-8</v>
      </c>
      <c r="P15" s="1">
        <f t="shared" ref="P15:P39" si="32">L15^(-1)*$P$4</f>
        <v>3.7411058827205313E-7</v>
      </c>
      <c r="Q15" s="1">
        <f t="shared" ref="Q15:Q39" si="33">L15*J15*$Q$4</f>
        <v>4.064152580820491E-19</v>
      </c>
      <c r="R15" s="1">
        <f t="shared" si="11"/>
        <v>9.0985042930498791E-19</v>
      </c>
      <c r="S15" s="1" t="e">
        <f t="shared" si="12"/>
        <v>#REF!</v>
      </c>
      <c r="T15" s="1" t="e">
        <f t="shared" si="13"/>
        <v>#REF!</v>
      </c>
      <c r="U15" s="1" t="e">
        <f t="shared" si="14"/>
        <v>#REF!</v>
      </c>
      <c r="V15" s="1" t="e">
        <f t="shared" si="15"/>
        <v>#REF!</v>
      </c>
      <c r="W15" s="1" t="e">
        <f t="shared" si="16"/>
        <v>#REF!</v>
      </c>
      <c r="X15" s="1" t="e">
        <f t="shared" si="17"/>
        <v>#REF!</v>
      </c>
      <c r="Y15" s="1" t="e">
        <f t="shared" si="18"/>
        <v>#REF!</v>
      </c>
      <c r="Z15" s="1">
        <f t="shared" si="19"/>
        <v>0</v>
      </c>
      <c r="AA15" s="1">
        <f t="shared" si="20"/>
        <v>0</v>
      </c>
      <c r="AB15" s="1" t="e">
        <f t="shared" si="21"/>
        <v>#REF!</v>
      </c>
      <c r="AC15" s="1" t="e">
        <f t="shared" si="22"/>
        <v>#REF!</v>
      </c>
      <c r="AD15" s="1" t="e">
        <f t="shared" si="23"/>
        <v>#REF!</v>
      </c>
      <c r="AE15" s="1" t="e">
        <f t="shared" si="24"/>
        <v>#REF!</v>
      </c>
      <c r="AF15" s="1" t="e">
        <f t="shared" si="25"/>
        <v>#REF!</v>
      </c>
      <c r="AG15" s="1" t="e">
        <f t="shared" si="26"/>
        <v>#REF!</v>
      </c>
      <c r="BG15" s="1" t="e">
        <f>I15+#REF!</f>
        <v>#REF!</v>
      </c>
      <c r="BH15" s="1" t="e">
        <f>J15+Q15+R15+#REF!</f>
        <v>#REF!</v>
      </c>
      <c r="BM15" s="1" t="e">
        <f>L15+Q15+2*R15-P15+#REF!</f>
        <v>#REF!</v>
      </c>
      <c r="BN15" s="1" t="e">
        <f t="shared" si="27"/>
        <v>#REF!</v>
      </c>
      <c r="BO15" s="1" t="e">
        <f t="shared" si="28"/>
        <v>#REF!</v>
      </c>
      <c r="BT15" s="1" t="e">
        <f t="shared" si="29"/>
        <v>#REF!</v>
      </c>
      <c r="BU15" t="e" cm="1">
        <f t="array" ref="BU15">MAX(ABS(BN15:BT15/B15:E15))</f>
        <v>#REF!</v>
      </c>
      <c r="BV15" t="e">
        <f>1+L15*J15*#REF!</f>
        <v>#REF!</v>
      </c>
      <c r="BW15" t="e">
        <f>I15*L15*#REF!</f>
        <v>#REF!</v>
      </c>
      <c r="BX15" t="e">
        <f>L15*J15*#REF!</f>
        <v>#REF!</v>
      </c>
      <c r="BY15" t="e">
        <f>1+L15*$Q$4+L15^2*$R$4+I15*L15*#REF!</f>
        <v>#REF!</v>
      </c>
      <c r="BZ15" s="11" t="e">
        <f>I15*J15*#REF!</f>
        <v>#REF!</v>
      </c>
      <c r="CA15" s="11" t="e">
        <f>J15*$Q$4+2*L15*J15*$R$4+I15*J15*#REF!</f>
        <v>#REF!</v>
      </c>
      <c r="CB15" s="11" t="e">
        <f>L15*J15*#REF!</f>
        <v>#REF!</v>
      </c>
      <c r="CC15" s="11" t="e">
        <f>L15*$Q$4+2*L15^2*$R$4+I15*L15*#REF!</f>
        <v>#REF!</v>
      </c>
      <c r="CD15" s="11" t="e">
        <f>1+J15*$Q$4+4*L15*J15*$R$4+I15*J15*#REF!+L15^-2*$P$4</f>
        <v>#REF!</v>
      </c>
      <c r="CE15" t="e" cm="1">
        <f t="array" ref="CE15">TRANSPOSE(MMULT(MINVERSE(_xlfn.WRAPCOLS(BV15:BY15,2)),TRANSPOSE(BN15:BO15)))</f>
        <v>#REF!</v>
      </c>
      <c r="CF15" s="1"/>
      <c r="CG15">
        <v>0</v>
      </c>
    </row>
    <row r="16" spans="1:87" x14ac:dyDescent="0.25">
      <c r="A16">
        <f t="shared" si="31"/>
        <v>4</v>
      </c>
      <c r="B16" s="1">
        <f t="shared" si="30"/>
        <v>9.9999999999999995E-7</v>
      </c>
      <c r="C16" s="1">
        <f t="shared" si="30"/>
        <v>1E-3</v>
      </c>
      <c r="E16" s="1" t="e">
        <f>L16+Q16+2*R16-P16+#REF!</f>
        <v>#REF!</v>
      </c>
      <c r="I16" s="1" t="e">
        <f t="shared" si="8"/>
        <v>#REF!</v>
      </c>
      <c r="J16" s="1">
        <f t="shared" si="9"/>
        <v>5.0000000000000001E-4</v>
      </c>
      <c r="L16" s="1">
        <f t="shared" si="10"/>
        <v>2.6915348039269097E-8</v>
      </c>
      <c r="P16" s="1">
        <f t="shared" si="32"/>
        <v>3.7411058827205313E-7</v>
      </c>
      <c r="Q16" s="1">
        <f t="shared" si="33"/>
        <v>4.064152580820491E-19</v>
      </c>
      <c r="R16" s="1">
        <f t="shared" si="11"/>
        <v>9.0985042930498791E-19</v>
      </c>
      <c r="S16" s="1" t="e">
        <f t="shared" si="12"/>
        <v>#REF!</v>
      </c>
      <c r="T16" s="1" t="e">
        <f t="shared" si="13"/>
        <v>#REF!</v>
      </c>
      <c r="U16" s="1" t="e">
        <f t="shared" si="14"/>
        <v>#REF!</v>
      </c>
      <c r="V16" s="1" t="e">
        <f t="shared" si="15"/>
        <v>#REF!</v>
      </c>
      <c r="W16" s="1" t="e">
        <f t="shared" si="16"/>
        <v>#REF!</v>
      </c>
      <c r="X16" s="1" t="e">
        <f t="shared" si="17"/>
        <v>#REF!</v>
      </c>
      <c r="Y16" s="1" t="e">
        <f t="shared" si="18"/>
        <v>#REF!</v>
      </c>
      <c r="Z16" s="1">
        <f t="shared" si="19"/>
        <v>0</v>
      </c>
      <c r="AA16" s="1">
        <f t="shared" si="20"/>
        <v>0</v>
      </c>
      <c r="AB16" s="1" t="e">
        <f t="shared" si="21"/>
        <v>#REF!</v>
      </c>
      <c r="AC16" s="1" t="e">
        <f t="shared" si="22"/>
        <v>#REF!</v>
      </c>
      <c r="AD16" s="1" t="e">
        <f t="shared" si="23"/>
        <v>#REF!</v>
      </c>
      <c r="AE16" s="1" t="e">
        <f t="shared" si="24"/>
        <v>#REF!</v>
      </c>
      <c r="AF16" s="1" t="e">
        <f t="shared" si="25"/>
        <v>#REF!</v>
      </c>
      <c r="AG16" s="1" t="e">
        <f t="shared" si="26"/>
        <v>#REF!</v>
      </c>
      <c r="BG16" s="1" t="e">
        <f>I16+#REF!</f>
        <v>#REF!</v>
      </c>
      <c r="BH16" s="1" t="e">
        <f>J16+Q16+R16+#REF!</f>
        <v>#REF!</v>
      </c>
      <c r="BM16" s="1" t="e">
        <f>L16+Q16+2*R16-P16+#REF!</f>
        <v>#REF!</v>
      </c>
      <c r="BN16" s="1" t="e">
        <f t="shared" si="27"/>
        <v>#REF!</v>
      </c>
      <c r="BO16" s="1" t="e">
        <f t="shared" si="28"/>
        <v>#REF!</v>
      </c>
      <c r="BT16" s="1" t="e">
        <f t="shared" si="29"/>
        <v>#REF!</v>
      </c>
      <c r="BU16" t="e" cm="1">
        <f t="array" ref="BU16">MAX(ABS(BN16:BT16/B16:E16))</f>
        <v>#REF!</v>
      </c>
      <c r="BV16" t="e">
        <f>1+L16*J16*#REF!</f>
        <v>#REF!</v>
      </c>
      <c r="BW16" t="e">
        <f>I16*L16*#REF!</f>
        <v>#REF!</v>
      </c>
      <c r="BX16" t="e">
        <f>L16*J16*#REF!</f>
        <v>#REF!</v>
      </c>
      <c r="BY16" t="e">
        <f>1+L16*$Q$4+L16^2*$R$4+I16*L16*#REF!</f>
        <v>#REF!</v>
      </c>
      <c r="BZ16" s="11" t="e">
        <f>I16*J16*#REF!</f>
        <v>#REF!</v>
      </c>
      <c r="CA16" s="11" t="e">
        <f>J16*$Q$4+2*L16*J16*$R$4+I16*J16*#REF!</f>
        <v>#REF!</v>
      </c>
      <c r="CB16" s="11" t="e">
        <f>L16*J16*#REF!</f>
        <v>#REF!</v>
      </c>
      <c r="CC16" s="11" t="e">
        <f>L16*$Q$4+2*L16^2*$R$4+I16*L16*#REF!</f>
        <v>#REF!</v>
      </c>
      <c r="CD16" s="11" t="e">
        <f>1+J16*$Q$4+4*L16*J16*$R$4+I16*J16*#REF!+L16^-2*$P$4</f>
        <v>#REF!</v>
      </c>
      <c r="CE16" t="e" cm="1">
        <f t="array" ref="CE16">TRANSPOSE(MMULT(MINVERSE(_xlfn.WRAPCOLS(BV16:BY16,2)),TRANSPOSE(BN16:BO16)))</f>
        <v>#REF!</v>
      </c>
      <c r="CF16" s="1"/>
      <c r="CG16">
        <v>0</v>
      </c>
    </row>
    <row r="17" spans="1:85" x14ac:dyDescent="0.25">
      <c r="A17">
        <f t="shared" si="31"/>
        <v>5</v>
      </c>
      <c r="B17" s="1">
        <f t="shared" si="30"/>
        <v>9.9999999999999995E-7</v>
      </c>
      <c r="C17" s="1">
        <f t="shared" si="30"/>
        <v>1E-3</v>
      </c>
      <c r="E17" s="1" t="e">
        <f>L17+Q17+2*R17-P17+#REF!</f>
        <v>#REF!</v>
      </c>
      <c r="I17" s="1" t="e">
        <f t="shared" si="8"/>
        <v>#REF!</v>
      </c>
      <c r="J17" s="1">
        <f t="shared" si="9"/>
        <v>5.0000000000000001E-4</v>
      </c>
      <c r="L17" s="1">
        <f t="shared" si="10"/>
        <v>2.6915348039269097E-8</v>
      </c>
      <c r="P17" s="1">
        <f t="shared" si="32"/>
        <v>3.7411058827205313E-7</v>
      </c>
      <c r="Q17" s="1">
        <f t="shared" si="33"/>
        <v>4.064152580820491E-19</v>
      </c>
      <c r="R17" s="1">
        <f t="shared" si="11"/>
        <v>9.0985042930498791E-19</v>
      </c>
      <c r="S17" s="1" t="e">
        <f t="shared" si="12"/>
        <v>#REF!</v>
      </c>
      <c r="T17" s="1" t="e">
        <f t="shared" si="13"/>
        <v>#REF!</v>
      </c>
      <c r="U17" s="1" t="e">
        <f t="shared" si="14"/>
        <v>#REF!</v>
      </c>
      <c r="V17" s="1" t="e">
        <f t="shared" si="15"/>
        <v>#REF!</v>
      </c>
      <c r="W17" s="1" t="e">
        <f t="shared" si="16"/>
        <v>#REF!</v>
      </c>
      <c r="X17" s="1" t="e">
        <f t="shared" si="17"/>
        <v>#REF!</v>
      </c>
      <c r="Y17" s="1" t="e">
        <f t="shared" si="18"/>
        <v>#REF!</v>
      </c>
      <c r="Z17" s="1">
        <f t="shared" si="19"/>
        <v>0</v>
      </c>
      <c r="AA17" s="1">
        <f t="shared" si="20"/>
        <v>0</v>
      </c>
      <c r="AB17" s="1" t="e">
        <f t="shared" si="21"/>
        <v>#REF!</v>
      </c>
      <c r="AC17" s="1" t="e">
        <f t="shared" si="22"/>
        <v>#REF!</v>
      </c>
      <c r="AD17" s="1" t="e">
        <f t="shared" si="23"/>
        <v>#REF!</v>
      </c>
      <c r="AE17" s="1" t="e">
        <f t="shared" si="24"/>
        <v>#REF!</v>
      </c>
      <c r="AF17" s="1" t="e">
        <f t="shared" si="25"/>
        <v>#REF!</v>
      </c>
      <c r="AG17" s="1" t="e">
        <f t="shared" si="26"/>
        <v>#REF!</v>
      </c>
      <c r="BG17" s="1" t="e">
        <f>I17+#REF!</f>
        <v>#REF!</v>
      </c>
      <c r="BH17" s="1" t="e">
        <f>J17+Q17+R17+#REF!</f>
        <v>#REF!</v>
      </c>
      <c r="BM17" s="1" t="e">
        <f>L17+Q17+2*R17-P17+#REF!</f>
        <v>#REF!</v>
      </c>
      <c r="BN17" s="1" t="e">
        <f t="shared" si="27"/>
        <v>#REF!</v>
      </c>
      <c r="BO17" s="1" t="e">
        <f t="shared" si="28"/>
        <v>#REF!</v>
      </c>
      <c r="BT17" s="1" t="e">
        <f t="shared" si="29"/>
        <v>#REF!</v>
      </c>
      <c r="BU17" t="e" cm="1">
        <f t="array" ref="BU17">MAX(ABS(BN17:BT17/B17:E17))</f>
        <v>#REF!</v>
      </c>
      <c r="BV17" t="e">
        <f>1+L17*J17*#REF!</f>
        <v>#REF!</v>
      </c>
      <c r="BW17" t="e">
        <f>I17*L17*#REF!</f>
        <v>#REF!</v>
      </c>
      <c r="BX17" t="e">
        <f>L17*J17*#REF!</f>
        <v>#REF!</v>
      </c>
      <c r="BY17" t="e">
        <f>1+L17*$Q$4+L17^2*$R$4+I17*L17*#REF!</f>
        <v>#REF!</v>
      </c>
      <c r="BZ17" s="11" t="e">
        <f>I17*J17*#REF!</f>
        <v>#REF!</v>
      </c>
      <c r="CA17" s="11" t="e">
        <f>J17*$Q$4+2*L17*J17*$R$4+I17*J17*#REF!</f>
        <v>#REF!</v>
      </c>
      <c r="CB17" s="11" t="e">
        <f>L17*J17*#REF!</f>
        <v>#REF!</v>
      </c>
      <c r="CC17" s="11" t="e">
        <f>L17*$Q$4+2*L17^2*$R$4+I17*L17*#REF!</f>
        <v>#REF!</v>
      </c>
      <c r="CD17" s="11" t="e">
        <f>1+J17*$Q$4+4*L17*J17*$R$4+I17*J17*#REF!+L17^-2*$P$4</f>
        <v>#REF!</v>
      </c>
      <c r="CE17" t="e" cm="1">
        <f t="array" ref="CE17">TRANSPOSE(MMULT(MINVERSE(_xlfn.WRAPCOLS(BV17:BY17,2)),TRANSPOSE(BN17:BO17)))</f>
        <v>#REF!</v>
      </c>
      <c r="CF17" s="1"/>
      <c r="CG17">
        <v>0</v>
      </c>
    </row>
    <row r="18" spans="1:85" x14ac:dyDescent="0.25">
      <c r="A18">
        <f t="shared" si="31"/>
        <v>6</v>
      </c>
      <c r="B18" s="1">
        <f t="shared" si="30"/>
        <v>9.9999999999999995E-7</v>
      </c>
      <c r="C18" s="1">
        <f t="shared" si="30"/>
        <v>1E-3</v>
      </c>
      <c r="E18" s="1" t="e">
        <f>L18+Q18+2*R18-P18+#REF!</f>
        <v>#REF!</v>
      </c>
      <c r="I18" s="1" t="e">
        <f t="shared" si="8"/>
        <v>#REF!</v>
      </c>
      <c r="J18" s="1">
        <f t="shared" si="9"/>
        <v>5.0000000000000001E-4</v>
      </c>
      <c r="L18" s="1">
        <f t="shared" si="10"/>
        <v>2.6915348039269097E-8</v>
      </c>
      <c r="P18" s="1">
        <f t="shared" si="32"/>
        <v>3.7411058827205313E-7</v>
      </c>
      <c r="Q18" s="1">
        <f t="shared" si="33"/>
        <v>4.064152580820491E-19</v>
      </c>
      <c r="R18" s="1">
        <f t="shared" si="11"/>
        <v>9.0985042930498791E-19</v>
      </c>
      <c r="S18" s="1" t="e">
        <f t="shared" si="12"/>
        <v>#REF!</v>
      </c>
      <c r="T18" s="1" t="e">
        <f t="shared" si="13"/>
        <v>#REF!</v>
      </c>
      <c r="U18" s="1" t="e">
        <f t="shared" si="14"/>
        <v>#REF!</v>
      </c>
      <c r="V18" s="1" t="e">
        <f t="shared" si="15"/>
        <v>#REF!</v>
      </c>
      <c r="W18" s="1" t="e">
        <f t="shared" si="16"/>
        <v>#REF!</v>
      </c>
      <c r="X18" s="1" t="e">
        <f t="shared" si="17"/>
        <v>#REF!</v>
      </c>
      <c r="Y18" s="1" t="e">
        <f t="shared" si="18"/>
        <v>#REF!</v>
      </c>
      <c r="Z18" s="1">
        <f t="shared" si="19"/>
        <v>0</v>
      </c>
      <c r="AA18" s="1">
        <f t="shared" si="20"/>
        <v>0</v>
      </c>
      <c r="AB18" s="1" t="e">
        <f t="shared" si="21"/>
        <v>#REF!</v>
      </c>
      <c r="AC18" s="1" t="e">
        <f t="shared" si="22"/>
        <v>#REF!</v>
      </c>
      <c r="AD18" s="1" t="e">
        <f t="shared" si="23"/>
        <v>#REF!</v>
      </c>
      <c r="AE18" s="1" t="e">
        <f t="shared" si="24"/>
        <v>#REF!</v>
      </c>
      <c r="AF18" s="1" t="e">
        <f t="shared" si="25"/>
        <v>#REF!</v>
      </c>
      <c r="AG18" s="1" t="e">
        <f t="shared" si="26"/>
        <v>#REF!</v>
      </c>
      <c r="BG18" s="1" t="e">
        <f>I18+#REF!</f>
        <v>#REF!</v>
      </c>
      <c r="BH18" s="1" t="e">
        <f>J18+Q18+R18+#REF!</f>
        <v>#REF!</v>
      </c>
      <c r="BM18" s="1" t="e">
        <f>L18+Q18+2*R18-P18+#REF!</f>
        <v>#REF!</v>
      </c>
      <c r="BN18" s="1" t="e">
        <f t="shared" si="27"/>
        <v>#REF!</v>
      </c>
      <c r="BO18" s="1" t="e">
        <f t="shared" si="28"/>
        <v>#REF!</v>
      </c>
      <c r="BT18" s="1" t="e">
        <f t="shared" si="29"/>
        <v>#REF!</v>
      </c>
      <c r="BU18" t="e" cm="1">
        <f t="array" ref="BU18">MAX(ABS(BN18:BT18/B18:E18))</f>
        <v>#REF!</v>
      </c>
      <c r="BV18" t="e">
        <f>1+L18*J18*#REF!</f>
        <v>#REF!</v>
      </c>
      <c r="BW18" t="e">
        <f>I18*L18*#REF!</f>
        <v>#REF!</v>
      </c>
      <c r="BX18" t="e">
        <f>L18*J18*#REF!</f>
        <v>#REF!</v>
      </c>
      <c r="BY18" t="e">
        <f>1+L18*$Q$4+L18^2*$R$4+I18*L18*#REF!</f>
        <v>#REF!</v>
      </c>
      <c r="BZ18" s="11" t="e">
        <f>I18*J18*#REF!</f>
        <v>#REF!</v>
      </c>
      <c r="CA18" s="11" t="e">
        <f>J18*$Q$4+2*L18*J18*$R$4+I18*J18*#REF!</f>
        <v>#REF!</v>
      </c>
      <c r="CB18" s="11" t="e">
        <f>L18*J18*#REF!</f>
        <v>#REF!</v>
      </c>
      <c r="CC18" s="11" t="e">
        <f>L18*$Q$4+2*L18^2*$R$4+I18*L18*#REF!</f>
        <v>#REF!</v>
      </c>
      <c r="CD18" s="11" t="e">
        <f>1+J18*$Q$4+4*L18*J18*$R$4+I18*J18*#REF!+L18^-2*$P$4</f>
        <v>#REF!</v>
      </c>
      <c r="CE18" t="e" cm="1">
        <f t="array" ref="CE18">TRANSPOSE(MMULT(MINVERSE(_xlfn.WRAPCOLS(BV18:BY18,2)),TRANSPOSE(BN18:BO18)))</f>
        <v>#REF!</v>
      </c>
      <c r="CF18" s="1"/>
      <c r="CG18">
        <v>0</v>
      </c>
    </row>
    <row r="19" spans="1:85" x14ac:dyDescent="0.25">
      <c r="A19">
        <f t="shared" si="31"/>
        <v>7</v>
      </c>
      <c r="B19" s="1">
        <f t="shared" si="30"/>
        <v>9.9999999999999995E-7</v>
      </c>
      <c r="C19" s="1">
        <f t="shared" si="30"/>
        <v>1E-3</v>
      </c>
      <c r="E19" s="1" t="e">
        <f>L19+Q19+2*R19-P19+#REF!</f>
        <v>#REF!</v>
      </c>
      <c r="I19" s="1" t="e">
        <f t="shared" si="8"/>
        <v>#REF!</v>
      </c>
      <c r="J19" s="1">
        <f t="shared" si="9"/>
        <v>5.0000000000000001E-4</v>
      </c>
      <c r="L19" s="1">
        <f t="shared" si="10"/>
        <v>2.6915348039269097E-8</v>
      </c>
      <c r="P19" s="1">
        <f t="shared" si="32"/>
        <v>3.7411058827205313E-7</v>
      </c>
      <c r="Q19" s="1">
        <f t="shared" si="33"/>
        <v>4.064152580820491E-19</v>
      </c>
      <c r="R19" s="1">
        <f t="shared" si="11"/>
        <v>9.0985042930498791E-19</v>
      </c>
      <c r="S19" s="1" t="e">
        <f t="shared" si="12"/>
        <v>#REF!</v>
      </c>
      <c r="T19" s="1" t="e">
        <f t="shared" si="13"/>
        <v>#REF!</v>
      </c>
      <c r="U19" s="1" t="e">
        <f t="shared" si="14"/>
        <v>#REF!</v>
      </c>
      <c r="V19" s="1" t="e">
        <f t="shared" si="15"/>
        <v>#REF!</v>
      </c>
      <c r="W19" s="1" t="e">
        <f t="shared" si="16"/>
        <v>#REF!</v>
      </c>
      <c r="X19" s="1" t="e">
        <f t="shared" si="17"/>
        <v>#REF!</v>
      </c>
      <c r="Y19" s="1" t="e">
        <f t="shared" si="18"/>
        <v>#REF!</v>
      </c>
      <c r="Z19" s="1">
        <f t="shared" si="19"/>
        <v>0</v>
      </c>
      <c r="AA19" s="1">
        <f t="shared" si="20"/>
        <v>0</v>
      </c>
      <c r="AB19" s="1" t="e">
        <f t="shared" si="21"/>
        <v>#REF!</v>
      </c>
      <c r="AC19" s="1" t="e">
        <f t="shared" si="22"/>
        <v>#REF!</v>
      </c>
      <c r="AD19" s="1" t="e">
        <f t="shared" si="23"/>
        <v>#REF!</v>
      </c>
      <c r="AE19" s="1" t="e">
        <f t="shared" si="24"/>
        <v>#REF!</v>
      </c>
      <c r="AF19" s="1" t="e">
        <f t="shared" si="25"/>
        <v>#REF!</v>
      </c>
      <c r="AG19" s="1" t="e">
        <f t="shared" si="26"/>
        <v>#REF!</v>
      </c>
      <c r="BG19" s="1" t="e">
        <f>I19+#REF!</f>
        <v>#REF!</v>
      </c>
      <c r="BH19" s="1" t="e">
        <f>J19+Q19+R19+#REF!</f>
        <v>#REF!</v>
      </c>
      <c r="BM19" s="1" t="e">
        <f>L19+Q19+2*R19-P19+#REF!</f>
        <v>#REF!</v>
      </c>
      <c r="BN19" s="1" t="e">
        <f t="shared" si="27"/>
        <v>#REF!</v>
      </c>
      <c r="BO19" s="1" t="e">
        <f t="shared" si="28"/>
        <v>#REF!</v>
      </c>
      <c r="BT19" s="1" t="e">
        <f t="shared" si="29"/>
        <v>#REF!</v>
      </c>
      <c r="BU19" t="e" cm="1">
        <f t="array" ref="BU19">MAX(ABS(BN19:BT19/B19:E19))</f>
        <v>#REF!</v>
      </c>
      <c r="BV19" t="e">
        <f>1+L19*J19*#REF!</f>
        <v>#REF!</v>
      </c>
      <c r="BW19" t="e">
        <f>I19*L19*#REF!</f>
        <v>#REF!</v>
      </c>
      <c r="BX19" t="e">
        <f>L19*J19*#REF!</f>
        <v>#REF!</v>
      </c>
      <c r="BY19" t="e">
        <f>1+L19*$Q$4+L19^2*$R$4+I19*L19*#REF!</f>
        <v>#REF!</v>
      </c>
      <c r="BZ19" s="11" t="e">
        <f>I19*J19*#REF!</f>
        <v>#REF!</v>
      </c>
      <c r="CA19" s="11" t="e">
        <f>J19*$Q$4+2*L19*J19*$R$4+I19*J19*#REF!</f>
        <v>#REF!</v>
      </c>
      <c r="CB19" s="11" t="e">
        <f>L19*J19*#REF!</f>
        <v>#REF!</v>
      </c>
      <c r="CC19" s="11" t="e">
        <f>L19*$Q$4+2*L19^2*$R$4+I19*L19*#REF!</f>
        <v>#REF!</v>
      </c>
      <c r="CD19" s="11" t="e">
        <f>1+J19*$Q$4+4*L19*J19*$R$4+I19*J19*#REF!+L19^-2*$P$4</f>
        <v>#REF!</v>
      </c>
      <c r="CE19" t="e" cm="1">
        <f t="array" ref="CE19">TRANSPOSE(MMULT(MINVERSE(_xlfn.WRAPCOLS(BV19:BY19,2)),TRANSPOSE(BN19:BO19)))</f>
        <v>#REF!</v>
      </c>
      <c r="CF19" s="1"/>
      <c r="CG19">
        <v>0</v>
      </c>
    </row>
    <row r="20" spans="1:85" x14ac:dyDescent="0.25">
      <c r="A20">
        <f t="shared" si="31"/>
        <v>8</v>
      </c>
      <c r="B20" s="1">
        <f t="shared" si="30"/>
        <v>9.9999999999999995E-7</v>
      </c>
      <c r="C20" s="1">
        <f t="shared" si="30"/>
        <v>1E-3</v>
      </c>
      <c r="E20" s="1" t="e">
        <f>L20+Q20+2*R20-P20+#REF!</f>
        <v>#REF!</v>
      </c>
      <c r="I20" s="1" t="e">
        <f t="shared" si="8"/>
        <v>#REF!</v>
      </c>
      <c r="J20" s="1">
        <f t="shared" si="9"/>
        <v>5.0000000000000001E-4</v>
      </c>
      <c r="L20" s="1">
        <f t="shared" si="10"/>
        <v>2.6915348039269097E-8</v>
      </c>
      <c r="P20" s="1">
        <f t="shared" si="32"/>
        <v>3.7411058827205313E-7</v>
      </c>
      <c r="Q20" s="1">
        <f t="shared" si="33"/>
        <v>4.064152580820491E-19</v>
      </c>
      <c r="R20" s="1">
        <f t="shared" si="11"/>
        <v>9.0985042930498791E-19</v>
      </c>
      <c r="S20" s="1" t="e">
        <f t="shared" si="12"/>
        <v>#REF!</v>
      </c>
      <c r="T20" s="1" t="e">
        <f t="shared" si="13"/>
        <v>#REF!</v>
      </c>
      <c r="U20" s="1" t="e">
        <f t="shared" si="14"/>
        <v>#REF!</v>
      </c>
      <c r="V20" s="1" t="e">
        <f t="shared" si="15"/>
        <v>#REF!</v>
      </c>
      <c r="W20" s="1" t="e">
        <f t="shared" si="16"/>
        <v>#REF!</v>
      </c>
      <c r="X20" s="1" t="e">
        <f t="shared" si="17"/>
        <v>#REF!</v>
      </c>
      <c r="Y20" s="1" t="e">
        <f t="shared" si="18"/>
        <v>#REF!</v>
      </c>
      <c r="Z20" s="1">
        <f t="shared" si="19"/>
        <v>0</v>
      </c>
      <c r="AA20" s="1">
        <f t="shared" si="20"/>
        <v>0</v>
      </c>
      <c r="AB20" s="1" t="e">
        <f t="shared" si="21"/>
        <v>#REF!</v>
      </c>
      <c r="AC20" s="1" t="e">
        <f t="shared" si="22"/>
        <v>#REF!</v>
      </c>
      <c r="AD20" s="1" t="e">
        <f t="shared" si="23"/>
        <v>#REF!</v>
      </c>
      <c r="AE20" s="1" t="e">
        <f t="shared" si="24"/>
        <v>#REF!</v>
      </c>
      <c r="AF20" s="1" t="e">
        <f t="shared" si="25"/>
        <v>#REF!</v>
      </c>
      <c r="AG20" s="1" t="e">
        <f t="shared" si="26"/>
        <v>#REF!</v>
      </c>
      <c r="BG20" s="1" t="e">
        <f>I20+#REF!</f>
        <v>#REF!</v>
      </c>
      <c r="BH20" s="1" t="e">
        <f>J20+Q20+R20+#REF!</f>
        <v>#REF!</v>
      </c>
      <c r="BM20" s="1" t="e">
        <f>L20+Q20+2*R20-P20+#REF!</f>
        <v>#REF!</v>
      </c>
      <c r="BN20" s="1" t="e">
        <f t="shared" si="27"/>
        <v>#REF!</v>
      </c>
      <c r="BO20" s="1" t="e">
        <f t="shared" si="28"/>
        <v>#REF!</v>
      </c>
      <c r="BT20" s="1" t="e">
        <f t="shared" si="29"/>
        <v>#REF!</v>
      </c>
      <c r="BU20" t="e" cm="1">
        <f t="array" ref="BU20">MAX(ABS(BN20:BT20/B20:E20))</f>
        <v>#REF!</v>
      </c>
      <c r="BV20" t="e">
        <f>1+L20*J20*#REF!</f>
        <v>#REF!</v>
      </c>
      <c r="BW20" t="e">
        <f>I20*L20*#REF!</f>
        <v>#REF!</v>
      </c>
      <c r="BX20" t="e">
        <f>L20*J20*#REF!</f>
        <v>#REF!</v>
      </c>
      <c r="BY20" t="e">
        <f>1+L20*$Q$4+L20^2*$R$4+I20*L20*#REF!</f>
        <v>#REF!</v>
      </c>
      <c r="BZ20" s="11" t="e">
        <f>I20*J20*#REF!</f>
        <v>#REF!</v>
      </c>
      <c r="CA20" s="11" t="e">
        <f>J20*$Q$4+2*L20*J20*$R$4+I20*J20*#REF!</f>
        <v>#REF!</v>
      </c>
      <c r="CB20" s="11" t="e">
        <f>L20*J20*#REF!</f>
        <v>#REF!</v>
      </c>
      <c r="CC20" s="11" t="e">
        <f>L20*$Q$4+2*L20^2*$R$4+I20*L20*#REF!</f>
        <v>#REF!</v>
      </c>
      <c r="CD20" s="11" t="e">
        <f>1+J20*$Q$4+4*L20*J20*$R$4+I20*J20*#REF!+L20^-2*$P$4</f>
        <v>#REF!</v>
      </c>
      <c r="CE20" t="e" cm="1">
        <f t="array" ref="CE20">TRANSPOSE(MMULT(MINVERSE(_xlfn.WRAPCOLS(BV20:BY20,2)),TRANSPOSE(BN20:BO20)))</f>
        <v>#REF!</v>
      </c>
      <c r="CF20" s="1"/>
      <c r="CG20">
        <v>0</v>
      </c>
    </row>
    <row r="21" spans="1:85" x14ac:dyDescent="0.25">
      <c r="A21">
        <f t="shared" si="31"/>
        <v>9</v>
      </c>
      <c r="B21" s="1">
        <f t="shared" si="30"/>
        <v>9.9999999999999995E-7</v>
      </c>
      <c r="C21" s="1">
        <f t="shared" si="30"/>
        <v>1E-3</v>
      </c>
      <c r="E21" s="1" t="e">
        <f>L21+Q21+2*R21-P21+#REF!</f>
        <v>#REF!</v>
      </c>
      <c r="I21" s="1" t="e">
        <f t="shared" si="8"/>
        <v>#REF!</v>
      </c>
      <c r="J21" s="1">
        <f t="shared" si="9"/>
        <v>5.0000000000000001E-4</v>
      </c>
      <c r="L21" s="1">
        <f t="shared" si="10"/>
        <v>2.6915348039269097E-8</v>
      </c>
      <c r="P21" s="1">
        <f t="shared" si="32"/>
        <v>3.7411058827205313E-7</v>
      </c>
      <c r="Q21" s="1">
        <f t="shared" si="33"/>
        <v>4.064152580820491E-19</v>
      </c>
      <c r="R21" s="1">
        <f t="shared" si="11"/>
        <v>9.0985042930498791E-19</v>
      </c>
      <c r="S21" s="1" t="e">
        <f t="shared" si="12"/>
        <v>#REF!</v>
      </c>
      <c r="T21" s="1" t="e">
        <f t="shared" si="13"/>
        <v>#REF!</v>
      </c>
      <c r="U21" s="1" t="e">
        <f t="shared" si="14"/>
        <v>#REF!</v>
      </c>
      <c r="V21" s="1" t="e">
        <f t="shared" si="15"/>
        <v>#REF!</v>
      </c>
      <c r="W21" s="1" t="e">
        <f t="shared" si="16"/>
        <v>#REF!</v>
      </c>
      <c r="X21" s="1" t="e">
        <f t="shared" si="17"/>
        <v>#REF!</v>
      </c>
      <c r="Y21" s="1" t="e">
        <f t="shared" si="18"/>
        <v>#REF!</v>
      </c>
      <c r="Z21" s="1">
        <f t="shared" si="19"/>
        <v>0</v>
      </c>
      <c r="AA21" s="1">
        <f t="shared" si="20"/>
        <v>0</v>
      </c>
      <c r="AB21" s="1" t="e">
        <f t="shared" si="21"/>
        <v>#REF!</v>
      </c>
      <c r="AC21" s="1" t="e">
        <f t="shared" si="22"/>
        <v>#REF!</v>
      </c>
      <c r="AD21" s="1" t="e">
        <f t="shared" si="23"/>
        <v>#REF!</v>
      </c>
      <c r="AE21" s="1" t="e">
        <f t="shared" si="24"/>
        <v>#REF!</v>
      </c>
      <c r="AF21" s="1" t="e">
        <f t="shared" si="25"/>
        <v>#REF!</v>
      </c>
      <c r="AG21" s="1" t="e">
        <f t="shared" si="26"/>
        <v>#REF!</v>
      </c>
      <c r="BG21" s="1" t="e">
        <f>I21+#REF!</f>
        <v>#REF!</v>
      </c>
      <c r="BH21" s="1" t="e">
        <f>J21+Q21+R21+#REF!</f>
        <v>#REF!</v>
      </c>
      <c r="BM21" s="1" t="e">
        <f>L21+Q21+2*R21-P21+#REF!</f>
        <v>#REF!</v>
      </c>
      <c r="BN21" s="1" t="e">
        <f t="shared" si="27"/>
        <v>#REF!</v>
      </c>
      <c r="BO21" s="1" t="e">
        <f t="shared" si="28"/>
        <v>#REF!</v>
      </c>
      <c r="BT21" s="1" t="e">
        <f t="shared" si="29"/>
        <v>#REF!</v>
      </c>
      <c r="BU21" t="e" cm="1">
        <f t="array" ref="BU21">MAX(ABS(BN21:BT21/B21:E21))</f>
        <v>#REF!</v>
      </c>
      <c r="BV21" t="e">
        <f>1+L21*J21*#REF!</f>
        <v>#REF!</v>
      </c>
      <c r="BW21" t="e">
        <f>I21*L21*#REF!</f>
        <v>#REF!</v>
      </c>
      <c r="BX21" t="e">
        <f>L21*J21*#REF!</f>
        <v>#REF!</v>
      </c>
      <c r="BY21" t="e">
        <f>1+L21*$Q$4+L21^2*$R$4+I21*L21*#REF!</f>
        <v>#REF!</v>
      </c>
      <c r="BZ21" s="11" t="e">
        <f>I21*J21*#REF!</f>
        <v>#REF!</v>
      </c>
      <c r="CA21" s="11" t="e">
        <f>J21*$Q$4+2*L21*J21*$R$4+I21*J21*#REF!</f>
        <v>#REF!</v>
      </c>
      <c r="CB21" s="11" t="e">
        <f>L21*J21*#REF!</f>
        <v>#REF!</v>
      </c>
      <c r="CC21" s="11" t="e">
        <f>L21*$Q$4+2*L21^2*$R$4+I21*L21*#REF!</f>
        <v>#REF!</v>
      </c>
      <c r="CD21" s="11" t="e">
        <f>1+J21*$Q$4+4*L21*J21*$R$4+I21*J21*#REF!+L21^-2*$P$4</f>
        <v>#REF!</v>
      </c>
      <c r="CE21" t="e" cm="1">
        <f t="array" ref="CE21">TRANSPOSE(MMULT(MINVERSE(_xlfn.WRAPCOLS(BV21:BY21,2)),TRANSPOSE(BN21:BO21)))</f>
        <v>#REF!</v>
      </c>
      <c r="CF21" s="1"/>
      <c r="CG21">
        <v>0</v>
      </c>
    </row>
    <row r="22" spans="1:85" x14ac:dyDescent="0.25">
      <c r="A22">
        <f t="shared" si="31"/>
        <v>10</v>
      </c>
      <c r="B22" s="1">
        <f t="shared" si="30"/>
        <v>9.9999999999999995E-7</v>
      </c>
      <c r="C22" s="1">
        <f t="shared" si="30"/>
        <v>1E-3</v>
      </c>
      <c r="E22" s="1" t="e">
        <f>L22+Q22+2*R22-P22+#REF!</f>
        <v>#REF!</v>
      </c>
      <c r="I22" s="1" t="e">
        <f t="shared" si="8"/>
        <v>#REF!</v>
      </c>
      <c r="J22" s="1">
        <f t="shared" si="9"/>
        <v>5.0000000000000001E-4</v>
      </c>
      <c r="L22" s="1">
        <f t="shared" si="10"/>
        <v>2.6915348039269097E-8</v>
      </c>
      <c r="P22" s="1">
        <f t="shared" si="32"/>
        <v>3.7411058827205313E-7</v>
      </c>
      <c r="Q22" s="1">
        <f t="shared" si="33"/>
        <v>4.064152580820491E-19</v>
      </c>
      <c r="R22" s="1">
        <f t="shared" si="11"/>
        <v>9.0985042930498791E-19</v>
      </c>
      <c r="S22" s="1" t="e">
        <f t="shared" si="12"/>
        <v>#REF!</v>
      </c>
      <c r="T22" s="1" t="e">
        <f t="shared" si="13"/>
        <v>#REF!</v>
      </c>
      <c r="U22" s="1" t="e">
        <f t="shared" si="14"/>
        <v>#REF!</v>
      </c>
      <c r="V22" s="1" t="e">
        <f t="shared" si="15"/>
        <v>#REF!</v>
      </c>
      <c r="W22" s="1" t="e">
        <f t="shared" si="16"/>
        <v>#REF!</v>
      </c>
      <c r="X22" s="1" t="e">
        <f t="shared" si="17"/>
        <v>#REF!</v>
      </c>
      <c r="Y22" s="1" t="e">
        <f t="shared" si="18"/>
        <v>#REF!</v>
      </c>
      <c r="Z22" s="1">
        <f t="shared" si="19"/>
        <v>0</v>
      </c>
      <c r="AA22" s="1">
        <f t="shared" si="20"/>
        <v>0</v>
      </c>
      <c r="AB22" s="1" t="e">
        <f t="shared" si="21"/>
        <v>#REF!</v>
      </c>
      <c r="AC22" s="1" t="e">
        <f t="shared" si="22"/>
        <v>#REF!</v>
      </c>
      <c r="AD22" s="1" t="e">
        <f t="shared" si="23"/>
        <v>#REF!</v>
      </c>
      <c r="AE22" s="1" t="e">
        <f t="shared" si="24"/>
        <v>#REF!</v>
      </c>
      <c r="AF22" s="1" t="e">
        <f t="shared" si="25"/>
        <v>#REF!</v>
      </c>
      <c r="AG22" s="1" t="e">
        <f t="shared" si="26"/>
        <v>#REF!</v>
      </c>
      <c r="BG22" s="1" t="e">
        <f>I22+#REF!</f>
        <v>#REF!</v>
      </c>
      <c r="BH22" s="1" t="e">
        <f>J22+Q22+R22+#REF!</f>
        <v>#REF!</v>
      </c>
      <c r="BM22" s="1" t="e">
        <f>L22+Q22+2*R22-P22+#REF!</f>
        <v>#REF!</v>
      </c>
      <c r="BN22" s="1" t="e">
        <f t="shared" si="27"/>
        <v>#REF!</v>
      </c>
      <c r="BO22" s="1" t="e">
        <f t="shared" si="28"/>
        <v>#REF!</v>
      </c>
      <c r="BT22" s="1" t="e">
        <f t="shared" si="29"/>
        <v>#REF!</v>
      </c>
      <c r="BU22" t="e" cm="1">
        <f t="array" ref="BU22">MAX(ABS(BN22:BT22/B22:E22))</f>
        <v>#REF!</v>
      </c>
      <c r="BV22" t="e">
        <f>1+L22*J22*#REF!</f>
        <v>#REF!</v>
      </c>
      <c r="BW22" t="e">
        <f>I22*L22*#REF!</f>
        <v>#REF!</v>
      </c>
      <c r="BX22" t="e">
        <f>L22*J22*#REF!</f>
        <v>#REF!</v>
      </c>
      <c r="BY22" t="e">
        <f>1+L22*$Q$4+L22^2*$R$4+I22*L22*#REF!</f>
        <v>#REF!</v>
      </c>
      <c r="BZ22" s="11" t="e">
        <f>I22*J22*#REF!</f>
        <v>#REF!</v>
      </c>
      <c r="CA22" s="11" t="e">
        <f>J22*$Q$4+2*L22*J22*$R$4+I22*J22*#REF!</f>
        <v>#REF!</v>
      </c>
      <c r="CB22" s="11" t="e">
        <f>L22*J22*#REF!</f>
        <v>#REF!</v>
      </c>
      <c r="CC22" s="11" t="e">
        <f>L22*$Q$4+2*L22^2*$R$4+I22*L22*#REF!</f>
        <v>#REF!</v>
      </c>
      <c r="CD22" s="11" t="e">
        <f>1+J22*$Q$4+4*L22*J22*$R$4+I22*J22*#REF!+L22^-2*$P$4</f>
        <v>#REF!</v>
      </c>
      <c r="CE22" t="e" cm="1">
        <f t="array" ref="CE22">TRANSPOSE(MMULT(MINVERSE(_xlfn.WRAPCOLS(BV22:BY22,2)),TRANSPOSE(BN22:BO22)))</f>
        <v>#REF!</v>
      </c>
      <c r="CF22" s="1"/>
      <c r="CG22">
        <v>0</v>
      </c>
    </row>
    <row r="23" spans="1:85" x14ac:dyDescent="0.25">
      <c r="A23">
        <f t="shared" si="31"/>
        <v>11</v>
      </c>
      <c r="B23" s="1">
        <f t="shared" si="30"/>
        <v>9.9999999999999995E-7</v>
      </c>
      <c r="C23" s="1">
        <f t="shared" si="30"/>
        <v>1E-3</v>
      </c>
      <c r="E23" s="1" t="e">
        <f>L23+Q23+2*R23-P23+#REF!</f>
        <v>#REF!</v>
      </c>
      <c r="I23" s="1" t="e">
        <f t="shared" si="8"/>
        <v>#REF!</v>
      </c>
      <c r="J23" s="1">
        <f t="shared" si="9"/>
        <v>5.0000000000000001E-4</v>
      </c>
      <c r="L23" s="1">
        <f t="shared" si="10"/>
        <v>2.6915348039269097E-8</v>
      </c>
      <c r="P23" s="1">
        <f t="shared" si="32"/>
        <v>3.7411058827205313E-7</v>
      </c>
      <c r="Q23" s="1">
        <f t="shared" si="33"/>
        <v>4.064152580820491E-19</v>
      </c>
      <c r="R23" s="1">
        <f t="shared" si="11"/>
        <v>9.0985042930498791E-19</v>
      </c>
      <c r="S23" s="1" t="e">
        <f t="shared" si="12"/>
        <v>#REF!</v>
      </c>
      <c r="T23" s="1" t="e">
        <f t="shared" si="13"/>
        <v>#REF!</v>
      </c>
      <c r="U23" s="1" t="e">
        <f t="shared" si="14"/>
        <v>#REF!</v>
      </c>
      <c r="V23" s="1" t="e">
        <f t="shared" si="15"/>
        <v>#REF!</v>
      </c>
      <c r="W23" s="1" t="e">
        <f t="shared" si="16"/>
        <v>#REF!</v>
      </c>
      <c r="X23" s="1" t="e">
        <f t="shared" si="17"/>
        <v>#REF!</v>
      </c>
      <c r="Y23" s="1" t="e">
        <f t="shared" si="18"/>
        <v>#REF!</v>
      </c>
      <c r="Z23" s="1">
        <f t="shared" si="19"/>
        <v>0</v>
      </c>
      <c r="AA23" s="1">
        <f t="shared" si="20"/>
        <v>0</v>
      </c>
      <c r="AB23" s="1" t="e">
        <f t="shared" si="21"/>
        <v>#REF!</v>
      </c>
      <c r="AC23" s="1" t="e">
        <f t="shared" si="22"/>
        <v>#REF!</v>
      </c>
      <c r="AD23" s="1" t="e">
        <f t="shared" si="23"/>
        <v>#REF!</v>
      </c>
      <c r="AE23" s="1" t="e">
        <f t="shared" si="24"/>
        <v>#REF!</v>
      </c>
      <c r="AF23" s="1" t="e">
        <f t="shared" si="25"/>
        <v>#REF!</v>
      </c>
      <c r="AG23" s="1" t="e">
        <f t="shared" si="26"/>
        <v>#REF!</v>
      </c>
      <c r="BG23" s="1" t="e">
        <f>I23+#REF!</f>
        <v>#REF!</v>
      </c>
      <c r="BH23" s="1" t="e">
        <f>J23+Q23+R23+#REF!</f>
        <v>#REF!</v>
      </c>
      <c r="BM23" s="1" t="e">
        <f>L23+Q23+2*R23-P23+#REF!</f>
        <v>#REF!</v>
      </c>
      <c r="BN23" s="1" t="e">
        <f t="shared" si="27"/>
        <v>#REF!</v>
      </c>
      <c r="BO23" s="1" t="e">
        <f t="shared" si="28"/>
        <v>#REF!</v>
      </c>
      <c r="BT23" s="1" t="e">
        <f t="shared" si="29"/>
        <v>#REF!</v>
      </c>
      <c r="BU23" t="e" cm="1">
        <f t="array" ref="BU23">MAX(ABS(BN23:BT23/B23:E23))</f>
        <v>#REF!</v>
      </c>
      <c r="BV23" t="e">
        <f>1+L23*J23*#REF!</f>
        <v>#REF!</v>
      </c>
      <c r="BW23" t="e">
        <f>I23*L23*#REF!</f>
        <v>#REF!</v>
      </c>
      <c r="BX23" t="e">
        <f>L23*J23*#REF!</f>
        <v>#REF!</v>
      </c>
      <c r="BY23" t="e">
        <f>1+L23*$Q$4+L23^2*$R$4+I23*L23*#REF!</f>
        <v>#REF!</v>
      </c>
      <c r="BZ23" s="11" t="e">
        <f>I23*J23*#REF!</f>
        <v>#REF!</v>
      </c>
      <c r="CA23" s="11" t="e">
        <f>J23*$Q$4+2*L23*J23*$R$4+I23*J23*#REF!</f>
        <v>#REF!</v>
      </c>
      <c r="CB23" s="11" t="e">
        <f>L23*J23*#REF!</f>
        <v>#REF!</v>
      </c>
      <c r="CC23" s="11" t="e">
        <f>L23*$Q$4+2*L23^2*$R$4+I23*L23*#REF!</f>
        <v>#REF!</v>
      </c>
      <c r="CD23" s="11" t="e">
        <f>1+J23*$Q$4+4*L23*J23*$R$4+I23*J23*#REF!+L23^-2*$P$4</f>
        <v>#REF!</v>
      </c>
      <c r="CE23" t="e" cm="1">
        <f t="array" ref="CE23">TRANSPOSE(MMULT(MINVERSE(_xlfn.WRAPCOLS(BV23:BY23,2)),TRANSPOSE(BN23:BO23)))</f>
        <v>#REF!</v>
      </c>
      <c r="CF23" s="1"/>
      <c r="CG23">
        <v>0</v>
      </c>
    </row>
    <row r="24" spans="1:85" x14ac:dyDescent="0.25">
      <c r="A24">
        <f t="shared" si="31"/>
        <v>12</v>
      </c>
      <c r="B24" s="1">
        <f t="shared" si="30"/>
        <v>9.9999999999999995E-7</v>
      </c>
      <c r="C24" s="1">
        <f t="shared" si="30"/>
        <v>1E-3</v>
      </c>
      <c r="E24" s="1" t="e">
        <f>L24+Q24+2*R24-P24+#REF!</f>
        <v>#REF!</v>
      </c>
      <c r="I24" s="1" t="e">
        <f t="shared" si="8"/>
        <v>#REF!</v>
      </c>
      <c r="J24" s="1">
        <f t="shared" si="9"/>
        <v>5.0000000000000001E-4</v>
      </c>
      <c r="L24" s="1">
        <f t="shared" si="10"/>
        <v>2.6915348039269097E-8</v>
      </c>
      <c r="P24" s="1">
        <f t="shared" si="32"/>
        <v>3.7411058827205313E-7</v>
      </c>
      <c r="Q24" s="1">
        <f t="shared" si="33"/>
        <v>4.064152580820491E-19</v>
      </c>
      <c r="R24" s="1">
        <f t="shared" si="11"/>
        <v>9.0985042930498791E-19</v>
      </c>
      <c r="S24" s="1" t="e">
        <f t="shared" si="12"/>
        <v>#REF!</v>
      </c>
      <c r="T24" s="1" t="e">
        <f t="shared" si="13"/>
        <v>#REF!</v>
      </c>
      <c r="U24" s="1" t="e">
        <f t="shared" si="14"/>
        <v>#REF!</v>
      </c>
      <c r="V24" s="1" t="e">
        <f t="shared" si="15"/>
        <v>#REF!</v>
      </c>
      <c r="W24" s="1" t="e">
        <f t="shared" si="16"/>
        <v>#REF!</v>
      </c>
      <c r="X24" s="1" t="e">
        <f t="shared" si="17"/>
        <v>#REF!</v>
      </c>
      <c r="Y24" s="1" t="e">
        <f t="shared" si="18"/>
        <v>#REF!</v>
      </c>
      <c r="Z24" s="1">
        <f t="shared" si="19"/>
        <v>0</v>
      </c>
      <c r="AA24" s="1">
        <f t="shared" si="20"/>
        <v>0</v>
      </c>
      <c r="AB24" s="1" t="e">
        <f t="shared" si="21"/>
        <v>#REF!</v>
      </c>
      <c r="AC24" s="1" t="e">
        <f t="shared" si="22"/>
        <v>#REF!</v>
      </c>
      <c r="AD24" s="1" t="e">
        <f t="shared" si="23"/>
        <v>#REF!</v>
      </c>
      <c r="AE24" s="1" t="e">
        <f t="shared" si="24"/>
        <v>#REF!</v>
      </c>
      <c r="AF24" s="1" t="e">
        <f t="shared" si="25"/>
        <v>#REF!</v>
      </c>
      <c r="AG24" s="1" t="e">
        <f t="shared" si="26"/>
        <v>#REF!</v>
      </c>
      <c r="BG24" s="1" t="e">
        <f>I24+#REF!</f>
        <v>#REF!</v>
      </c>
      <c r="BH24" s="1" t="e">
        <f>J24+Q24+R24+#REF!</f>
        <v>#REF!</v>
      </c>
      <c r="BM24" s="1" t="e">
        <f>L24+Q24+2*R24-P24+#REF!</f>
        <v>#REF!</v>
      </c>
      <c r="BN24" s="1" t="e">
        <f t="shared" si="27"/>
        <v>#REF!</v>
      </c>
      <c r="BO24" s="1" t="e">
        <f t="shared" si="28"/>
        <v>#REF!</v>
      </c>
      <c r="BT24" s="1" t="e">
        <f t="shared" si="29"/>
        <v>#REF!</v>
      </c>
      <c r="BU24" t="e" cm="1">
        <f t="array" ref="BU24">MAX(ABS(BN24:BT24/B24:E24))</f>
        <v>#REF!</v>
      </c>
      <c r="BV24" t="e">
        <f>1+L24*J24*#REF!</f>
        <v>#REF!</v>
      </c>
      <c r="BW24" t="e">
        <f>I24*L24*#REF!</f>
        <v>#REF!</v>
      </c>
      <c r="BX24" t="e">
        <f>L24*J24*#REF!</f>
        <v>#REF!</v>
      </c>
      <c r="BY24" t="e">
        <f>1+L24*$Q$4+L24^2*$R$4+I24*L24*#REF!</f>
        <v>#REF!</v>
      </c>
      <c r="BZ24" s="11" t="e">
        <f>I24*J24*#REF!</f>
        <v>#REF!</v>
      </c>
      <c r="CA24" s="11" t="e">
        <f>J24*$Q$4+2*L24*J24*$R$4+I24*J24*#REF!</f>
        <v>#REF!</v>
      </c>
      <c r="CB24" s="11" t="e">
        <f>L24*J24*#REF!</f>
        <v>#REF!</v>
      </c>
      <c r="CC24" s="11" t="e">
        <f>L24*$Q$4+2*L24^2*$R$4+I24*L24*#REF!</f>
        <v>#REF!</v>
      </c>
      <c r="CD24" s="11" t="e">
        <f>1+J24*$Q$4+4*L24*J24*$R$4+I24*J24*#REF!+L24^-2*$P$4</f>
        <v>#REF!</v>
      </c>
      <c r="CE24" t="e" cm="1">
        <f t="array" ref="CE24">TRANSPOSE(MMULT(MINVERSE(_xlfn.WRAPCOLS(BV24:BY24,2)),TRANSPOSE(BN24:BO24)))</f>
        <v>#REF!</v>
      </c>
      <c r="CF24" s="1"/>
      <c r="CG24">
        <v>0</v>
      </c>
    </row>
    <row r="25" spans="1:85" x14ac:dyDescent="0.25">
      <c r="A25">
        <f t="shared" si="31"/>
        <v>13</v>
      </c>
      <c r="B25" s="1">
        <f t="shared" si="30"/>
        <v>9.9999999999999995E-7</v>
      </c>
      <c r="C25" s="1">
        <f t="shared" si="30"/>
        <v>1E-3</v>
      </c>
      <c r="E25" s="1" t="e">
        <f>L25+Q25+2*R25-P25+#REF!</f>
        <v>#REF!</v>
      </c>
      <c r="I25" s="1" t="e">
        <f t="shared" si="8"/>
        <v>#REF!</v>
      </c>
      <c r="J25" s="1">
        <f t="shared" si="9"/>
        <v>5.0000000000000001E-4</v>
      </c>
      <c r="L25" s="1">
        <f t="shared" si="10"/>
        <v>2.6915348039269097E-8</v>
      </c>
      <c r="P25" s="1">
        <f t="shared" si="32"/>
        <v>3.7411058827205313E-7</v>
      </c>
      <c r="Q25" s="1">
        <f t="shared" si="33"/>
        <v>4.064152580820491E-19</v>
      </c>
      <c r="R25" s="1">
        <f t="shared" si="11"/>
        <v>9.0985042930498791E-19</v>
      </c>
      <c r="S25" s="1" t="e">
        <f t="shared" si="12"/>
        <v>#REF!</v>
      </c>
      <c r="T25" s="1" t="e">
        <f t="shared" si="13"/>
        <v>#REF!</v>
      </c>
      <c r="U25" s="1" t="e">
        <f t="shared" si="14"/>
        <v>#REF!</v>
      </c>
      <c r="V25" s="1" t="e">
        <f t="shared" si="15"/>
        <v>#REF!</v>
      </c>
      <c r="W25" s="1" t="e">
        <f t="shared" si="16"/>
        <v>#REF!</v>
      </c>
      <c r="X25" s="1" t="e">
        <f t="shared" si="17"/>
        <v>#REF!</v>
      </c>
      <c r="Y25" s="1" t="e">
        <f t="shared" si="18"/>
        <v>#REF!</v>
      </c>
      <c r="Z25" s="1">
        <f t="shared" si="19"/>
        <v>0</v>
      </c>
      <c r="AA25" s="1">
        <f t="shared" si="20"/>
        <v>0</v>
      </c>
      <c r="AB25" s="1" t="e">
        <f t="shared" si="21"/>
        <v>#REF!</v>
      </c>
      <c r="AC25" s="1" t="e">
        <f t="shared" si="22"/>
        <v>#REF!</v>
      </c>
      <c r="AD25" s="1" t="e">
        <f t="shared" si="23"/>
        <v>#REF!</v>
      </c>
      <c r="AE25" s="1" t="e">
        <f t="shared" si="24"/>
        <v>#REF!</v>
      </c>
      <c r="AF25" s="1" t="e">
        <f t="shared" si="25"/>
        <v>#REF!</v>
      </c>
      <c r="AG25" s="1" t="e">
        <f t="shared" si="26"/>
        <v>#REF!</v>
      </c>
      <c r="BG25" s="1" t="e">
        <f>I25+#REF!</f>
        <v>#REF!</v>
      </c>
      <c r="BH25" s="1" t="e">
        <f>J25+Q25+R25+#REF!</f>
        <v>#REF!</v>
      </c>
      <c r="BM25" s="1" t="e">
        <f>L25+Q25+2*R25-P25+#REF!</f>
        <v>#REF!</v>
      </c>
      <c r="BN25" s="1" t="e">
        <f t="shared" si="27"/>
        <v>#REF!</v>
      </c>
      <c r="BO25" s="1" t="e">
        <f t="shared" si="28"/>
        <v>#REF!</v>
      </c>
      <c r="BT25" s="1" t="e">
        <f t="shared" si="29"/>
        <v>#REF!</v>
      </c>
      <c r="BU25" t="e" cm="1">
        <f t="array" ref="BU25">MAX(ABS(BN25:BT25/B25:E25))</f>
        <v>#REF!</v>
      </c>
      <c r="BV25" t="e">
        <f>1+L25*J25*#REF!</f>
        <v>#REF!</v>
      </c>
      <c r="BW25" t="e">
        <f>I25*L25*#REF!</f>
        <v>#REF!</v>
      </c>
      <c r="BX25" t="e">
        <f>L25*J25*#REF!</f>
        <v>#REF!</v>
      </c>
      <c r="BY25" t="e">
        <f>1+L25*$Q$4+L25^2*$R$4+I25*L25*#REF!</f>
        <v>#REF!</v>
      </c>
      <c r="BZ25" s="11" t="e">
        <f>I25*J25*#REF!</f>
        <v>#REF!</v>
      </c>
      <c r="CA25" s="11" t="e">
        <f>J25*$Q$4+2*L25*J25*$R$4+I25*J25*#REF!</f>
        <v>#REF!</v>
      </c>
      <c r="CB25" s="11" t="e">
        <f>L25*J25*#REF!</f>
        <v>#REF!</v>
      </c>
      <c r="CC25" s="11" t="e">
        <f>L25*$Q$4+2*L25^2*$R$4+I25*L25*#REF!</f>
        <v>#REF!</v>
      </c>
      <c r="CD25" s="11" t="e">
        <f>1+J25*$Q$4+4*L25*J25*$R$4+I25*J25*#REF!+L25^-2*$P$4</f>
        <v>#REF!</v>
      </c>
      <c r="CE25" t="e" cm="1">
        <f t="array" ref="CE25">TRANSPOSE(MMULT(MINVERSE(_xlfn.WRAPCOLS(BV25:BY25,2)),TRANSPOSE(BN25:BO25)))</f>
        <v>#REF!</v>
      </c>
      <c r="CF25" s="1"/>
      <c r="CG25">
        <v>0</v>
      </c>
    </row>
    <row r="26" spans="1:85" x14ac:dyDescent="0.25">
      <c r="A26">
        <f t="shared" si="31"/>
        <v>14</v>
      </c>
      <c r="B26" s="1">
        <f t="shared" si="30"/>
        <v>9.9999999999999995E-7</v>
      </c>
      <c r="C26" s="1">
        <f t="shared" si="30"/>
        <v>1E-3</v>
      </c>
      <c r="E26" s="1" t="e">
        <f>L26+Q26+2*R26-P26+#REF!</f>
        <v>#REF!</v>
      </c>
      <c r="I26" s="1" t="e">
        <f t="shared" si="8"/>
        <v>#REF!</v>
      </c>
      <c r="J26" s="1">
        <f t="shared" si="9"/>
        <v>5.0000000000000001E-4</v>
      </c>
      <c r="L26" s="1">
        <f t="shared" si="10"/>
        <v>2.6915348039269097E-8</v>
      </c>
      <c r="P26" s="1">
        <f t="shared" si="32"/>
        <v>3.7411058827205313E-7</v>
      </c>
      <c r="Q26" s="1">
        <f t="shared" si="33"/>
        <v>4.064152580820491E-19</v>
      </c>
      <c r="R26" s="1">
        <f t="shared" si="11"/>
        <v>9.0985042930498791E-19</v>
      </c>
      <c r="S26" s="1" t="e">
        <f t="shared" si="12"/>
        <v>#REF!</v>
      </c>
      <c r="T26" s="1" t="e">
        <f t="shared" si="13"/>
        <v>#REF!</v>
      </c>
      <c r="U26" s="1" t="e">
        <f t="shared" si="14"/>
        <v>#REF!</v>
      </c>
      <c r="V26" s="1" t="e">
        <f t="shared" si="15"/>
        <v>#REF!</v>
      </c>
      <c r="W26" s="1" t="e">
        <f t="shared" si="16"/>
        <v>#REF!</v>
      </c>
      <c r="X26" s="1" t="e">
        <f t="shared" si="17"/>
        <v>#REF!</v>
      </c>
      <c r="Y26" s="1" t="e">
        <f t="shared" si="18"/>
        <v>#REF!</v>
      </c>
      <c r="Z26" s="1">
        <f t="shared" si="19"/>
        <v>0</v>
      </c>
      <c r="AA26" s="1">
        <f t="shared" si="20"/>
        <v>0</v>
      </c>
      <c r="AB26" s="1" t="e">
        <f t="shared" si="21"/>
        <v>#REF!</v>
      </c>
      <c r="AC26" s="1" t="e">
        <f t="shared" si="22"/>
        <v>#REF!</v>
      </c>
      <c r="AD26" s="1" t="e">
        <f t="shared" si="23"/>
        <v>#REF!</v>
      </c>
      <c r="AE26" s="1" t="e">
        <f t="shared" si="24"/>
        <v>#REF!</v>
      </c>
      <c r="AF26" s="1" t="e">
        <f t="shared" si="25"/>
        <v>#REF!</v>
      </c>
      <c r="AG26" s="1" t="e">
        <f t="shared" si="26"/>
        <v>#REF!</v>
      </c>
      <c r="BG26" s="1" t="e">
        <f>I26+#REF!</f>
        <v>#REF!</v>
      </c>
      <c r="BH26" s="1" t="e">
        <f>J26+Q26+R26+#REF!</f>
        <v>#REF!</v>
      </c>
      <c r="BM26" s="1" t="e">
        <f>L26+Q26+2*R26-P26+#REF!</f>
        <v>#REF!</v>
      </c>
      <c r="BN26" s="1" t="e">
        <f t="shared" si="27"/>
        <v>#REF!</v>
      </c>
      <c r="BO26" s="1" t="e">
        <f t="shared" si="28"/>
        <v>#REF!</v>
      </c>
      <c r="BT26" s="1" t="e">
        <f t="shared" si="29"/>
        <v>#REF!</v>
      </c>
      <c r="BU26" t="e" cm="1">
        <f t="array" ref="BU26">MAX(ABS(BN26:BT26/B26:E26))</f>
        <v>#REF!</v>
      </c>
      <c r="BV26" t="e">
        <f>1+L26*J26*#REF!</f>
        <v>#REF!</v>
      </c>
      <c r="BW26" t="e">
        <f>I26*L26*#REF!</f>
        <v>#REF!</v>
      </c>
      <c r="BX26" t="e">
        <f>L26*J26*#REF!</f>
        <v>#REF!</v>
      </c>
      <c r="BY26" t="e">
        <f>1+L26*$Q$4+L26^2*$R$4+I26*L26*#REF!</f>
        <v>#REF!</v>
      </c>
      <c r="BZ26" s="11" t="e">
        <f>I26*J26*#REF!</f>
        <v>#REF!</v>
      </c>
      <c r="CA26" s="11" t="e">
        <f>J26*$Q$4+2*L26*J26*$R$4+I26*J26*#REF!</f>
        <v>#REF!</v>
      </c>
      <c r="CB26" s="11" t="e">
        <f>L26*J26*#REF!</f>
        <v>#REF!</v>
      </c>
      <c r="CC26" s="11" t="e">
        <f>L26*$Q$4+2*L26^2*$R$4+I26*L26*#REF!</f>
        <v>#REF!</v>
      </c>
      <c r="CD26" s="11" t="e">
        <f>1+J26*$Q$4+4*L26*J26*$R$4+I26*J26*#REF!+L26^-2*$P$4</f>
        <v>#REF!</v>
      </c>
      <c r="CE26" t="e" cm="1">
        <f t="array" ref="CE26">TRANSPOSE(MMULT(MINVERSE(_xlfn.WRAPCOLS(BV26:BY26,2)),TRANSPOSE(BN26:BO26)))</f>
        <v>#REF!</v>
      </c>
      <c r="CF26" s="1"/>
      <c r="CG26">
        <v>0</v>
      </c>
    </row>
    <row r="27" spans="1:85" x14ac:dyDescent="0.25">
      <c r="A27">
        <f t="shared" si="31"/>
        <v>15</v>
      </c>
      <c r="B27" s="1">
        <f t="shared" si="30"/>
        <v>9.9999999999999995E-7</v>
      </c>
      <c r="C27" s="1">
        <f t="shared" si="30"/>
        <v>1E-3</v>
      </c>
      <c r="E27" s="1" t="e">
        <f>L27+Q27+2*R27-P27+#REF!</f>
        <v>#REF!</v>
      </c>
      <c r="I27" s="1" t="e">
        <f t="shared" si="8"/>
        <v>#REF!</v>
      </c>
      <c r="J27" s="1">
        <f t="shared" si="9"/>
        <v>5.0000000000000001E-4</v>
      </c>
      <c r="L27" s="1">
        <f t="shared" si="10"/>
        <v>2.6915348039269097E-8</v>
      </c>
      <c r="P27" s="1">
        <f t="shared" si="32"/>
        <v>3.7411058827205313E-7</v>
      </c>
      <c r="Q27" s="1">
        <f t="shared" si="33"/>
        <v>4.064152580820491E-19</v>
      </c>
      <c r="R27" s="1">
        <f t="shared" si="11"/>
        <v>9.0985042930498791E-19</v>
      </c>
      <c r="S27" s="1" t="e">
        <f t="shared" si="12"/>
        <v>#REF!</v>
      </c>
      <c r="T27" s="1" t="e">
        <f t="shared" si="13"/>
        <v>#REF!</v>
      </c>
      <c r="U27" s="1" t="e">
        <f t="shared" si="14"/>
        <v>#REF!</v>
      </c>
      <c r="V27" s="1" t="e">
        <f t="shared" si="15"/>
        <v>#REF!</v>
      </c>
      <c r="W27" s="1" t="e">
        <f t="shared" si="16"/>
        <v>#REF!</v>
      </c>
      <c r="X27" s="1" t="e">
        <f t="shared" si="17"/>
        <v>#REF!</v>
      </c>
      <c r="Y27" s="1" t="e">
        <f t="shared" si="18"/>
        <v>#REF!</v>
      </c>
      <c r="Z27" s="1">
        <f t="shared" si="19"/>
        <v>0</v>
      </c>
      <c r="AA27" s="1">
        <f t="shared" si="20"/>
        <v>0</v>
      </c>
      <c r="AB27" s="1" t="e">
        <f t="shared" si="21"/>
        <v>#REF!</v>
      </c>
      <c r="AC27" s="1" t="e">
        <f t="shared" si="22"/>
        <v>#REF!</v>
      </c>
      <c r="AD27" s="1" t="e">
        <f t="shared" si="23"/>
        <v>#REF!</v>
      </c>
      <c r="AE27" s="1" t="e">
        <f t="shared" si="24"/>
        <v>#REF!</v>
      </c>
      <c r="AF27" s="1" t="e">
        <f t="shared" si="25"/>
        <v>#REF!</v>
      </c>
      <c r="AG27" s="1" t="e">
        <f t="shared" si="26"/>
        <v>#REF!</v>
      </c>
      <c r="BG27" s="1" t="e">
        <f>I27+#REF!</f>
        <v>#REF!</v>
      </c>
      <c r="BH27" s="1" t="e">
        <f>J27+Q27+R27+#REF!</f>
        <v>#REF!</v>
      </c>
      <c r="BM27" s="1" t="e">
        <f>L27+Q27+2*R27-P27+#REF!</f>
        <v>#REF!</v>
      </c>
      <c r="BN27" s="1" t="e">
        <f t="shared" si="27"/>
        <v>#REF!</v>
      </c>
      <c r="BO27" s="1" t="e">
        <f t="shared" si="28"/>
        <v>#REF!</v>
      </c>
      <c r="BT27" s="1" t="e">
        <f t="shared" si="29"/>
        <v>#REF!</v>
      </c>
      <c r="BU27" t="e" cm="1">
        <f t="array" ref="BU27">MAX(ABS(BN27:BT27/B27:E27))</f>
        <v>#REF!</v>
      </c>
      <c r="BV27" t="e">
        <f>1+L27*J27*#REF!</f>
        <v>#REF!</v>
      </c>
      <c r="BW27" t="e">
        <f>I27*L27*#REF!</f>
        <v>#REF!</v>
      </c>
      <c r="BX27" t="e">
        <f>L27*J27*#REF!</f>
        <v>#REF!</v>
      </c>
      <c r="BY27" t="e">
        <f>1+L27*$Q$4+L27^2*$R$4+I27*L27*#REF!</f>
        <v>#REF!</v>
      </c>
      <c r="BZ27" s="11" t="e">
        <f>I27*J27*#REF!</f>
        <v>#REF!</v>
      </c>
      <c r="CA27" s="11" t="e">
        <f>J27*$Q$4+2*L27*J27*$R$4+I27*J27*#REF!</f>
        <v>#REF!</v>
      </c>
      <c r="CB27" s="11" t="e">
        <f>L27*J27*#REF!</f>
        <v>#REF!</v>
      </c>
      <c r="CC27" s="11" t="e">
        <f>L27*$Q$4+2*L27^2*$R$4+I27*L27*#REF!</f>
        <v>#REF!</v>
      </c>
      <c r="CD27" s="11" t="e">
        <f>1+J27*$Q$4+4*L27*J27*$R$4+I27*J27*#REF!+L27^-2*$P$4</f>
        <v>#REF!</v>
      </c>
      <c r="CE27" t="e" cm="1">
        <f t="array" ref="CE27">TRANSPOSE(MMULT(MINVERSE(_xlfn.WRAPCOLS(BV27:BY27,2)),TRANSPOSE(BN27:BO27)))</f>
        <v>#REF!</v>
      </c>
      <c r="CF27" s="1"/>
      <c r="CG27">
        <v>0</v>
      </c>
    </row>
    <row r="28" spans="1:85" x14ac:dyDescent="0.25">
      <c r="A28">
        <f t="shared" si="31"/>
        <v>16</v>
      </c>
      <c r="B28" s="1">
        <f t="shared" si="30"/>
        <v>9.9999999999999995E-7</v>
      </c>
      <c r="C28" s="1">
        <f t="shared" si="30"/>
        <v>1E-3</v>
      </c>
      <c r="E28" s="1" t="e">
        <f>L28+Q28+2*R28-P28+#REF!</f>
        <v>#REF!</v>
      </c>
      <c r="I28" s="1" t="e">
        <f t="shared" si="8"/>
        <v>#REF!</v>
      </c>
      <c r="J28" s="1">
        <f t="shared" si="9"/>
        <v>5.0000000000000001E-4</v>
      </c>
      <c r="L28" s="1">
        <f t="shared" si="10"/>
        <v>2.6915348039269097E-8</v>
      </c>
      <c r="P28" s="1">
        <f t="shared" si="32"/>
        <v>3.7411058827205313E-7</v>
      </c>
      <c r="Q28" s="1">
        <f t="shared" si="33"/>
        <v>4.064152580820491E-19</v>
      </c>
      <c r="R28" s="1">
        <f t="shared" si="11"/>
        <v>9.0985042930498791E-19</v>
      </c>
      <c r="S28" s="1" t="e">
        <f t="shared" si="12"/>
        <v>#REF!</v>
      </c>
      <c r="T28" s="1" t="e">
        <f t="shared" si="13"/>
        <v>#REF!</v>
      </c>
      <c r="U28" s="1" t="e">
        <f t="shared" si="14"/>
        <v>#REF!</v>
      </c>
      <c r="V28" s="1" t="e">
        <f t="shared" si="15"/>
        <v>#REF!</v>
      </c>
      <c r="W28" s="1" t="e">
        <f t="shared" si="16"/>
        <v>#REF!</v>
      </c>
      <c r="X28" s="1" t="e">
        <f t="shared" si="17"/>
        <v>#REF!</v>
      </c>
      <c r="Y28" s="1" t="e">
        <f t="shared" si="18"/>
        <v>#REF!</v>
      </c>
      <c r="Z28" s="1">
        <f t="shared" si="19"/>
        <v>0</v>
      </c>
      <c r="AA28" s="1">
        <f t="shared" si="20"/>
        <v>0</v>
      </c>
      <c r="AB28" s="1" t="e">
        <f t="shared" si="21"/>
        <v>#REF!</v>
      </c>
      <c r="AC28" s="1" t="e">
        <f t="shared" si="22"/>
        <v>#REF!</v>
      </c>
      <c r="AD28" s="1" t="e">
        <f t="shared" si="23"/>
        <v>#REF!</v>
      </c>
      <c r="AE28" s="1" t="e">
        <f t="shared" si="24"/>
        <v>#REF!</v>
      </c>
      <c r="AF28" s="1" t="e">
        <f t="shared" si="25"/>
        <v>#REF!</v>
      </c>
      <c r="AG28" s="1" t="e">
        <f t="shared" si="26"/>
        <v>#REF!</v>
      </c>
      <c r="BG28" s="1" t="e">
        <f>I28+#REF!</f>
        <v>#REF!</v>
      </c>
      <c r="BH28" s="1" t="e">
        <f>J28+Q28+R28+#REF!</f>
        <v>#REF!</v>
      </c>
      <c r="BM28" s="1" t="e">
        <f>L28+Q28+2*R28-P28+#REF!</f>
        <v>#REF!</v>
      </c>
      <c r="BN28" s="1" t="e">
        <f t="shared" si="27"/>
        <v>#REF!</v>
      </c>
      <c r="BO28" s="1" t="e">
        <f t="shared" si="28"/>
        <v>#REF!</v>
      </c>
      <c r="BT28" s="1" t="e">
        <f t="shared" si="29"/>
        <v>#REF!</v>
      </c>
      <c r="BU28" t="e" cm="1">
        <f t="array" ref="BU28">MAX(ABS(BN28:BT28/B28:E28))</f>
        <v>#REF!</v>
      </c>
      <c r="BV28" t="e">
        <f>1+L28*J28*#REF!</f>
        <v>#REF!</v>
      </c>
      <c r="BW28" t="e">
        <f>I28*L28*#REF!</f>
        <v>#REF!</v>
      </c>
      <c r="BX28" t="e">
        <f>L28*J28*#REF!</f>
        <v>#REF!</v>
      </c>
      <c r="BY28" t="e">
        <f>1+L28*$Q$4+L28^2*$R$4+I28*L28*#REF!</f>
        <v>#REF!</v>
      </c>
      <c r="BZ28" s="11" t="e">
        <f>I28*J28*#REF!</f>
        <v>#REF!</v>
      </c>
      <c r="CA28" s="11" t="e">
        <f>J28*$Q$4+2*L28*J28*$R$4+I28*J28*#REF!</f>
        <v>#REF!</v>
      </c>
      <c r="CB28" s="11" t="e">
        <f>L28*J28*#REF!</f>
        <v>#REF!</v>
      </c>
      <c r="CC28" s="11" t="e">
        <f>L28*$Q$4+2*L28^2*$R$4+I28*L28*#REF!</f>
        <v>#REF!</v>
      </c>
      <c r="CD28" s="11" t="e">
        <f>1+J28*$Q$4+4*L28*J28*$R$4+I28*J28*#REF!+L28^-2*$P$4</f>
        <v>#REF!</v>
      </c>
      <c r="CE28" t="e" cm="1">
        <f t="array" ref="CE28">TRANSPOSE(MMULT(MINVERSE(_xlfn.WRAPCOLS(BV28:BY28,2)),TRANSPOSE(BN28:BO28)))</f>
        <v>#REF!</v>
      </c>
      <c r="CF28" s="1"/>
      <c r="CG28">
        <v>0</v>
      </c>
    </row>
    <row r="29" spans="1:85" x14ac:dyDescent="0.25">
      <c r="A29">
        <f t="shared" si="31"/>
        <v>17</v>
      </c>
      <c r="B29" s="1">
        <f t="shared" si="30"/>
        <v>9.9999999999999995E-7</v>
      </c>
      <c r="C29" s="1">
        <f t="shared" si="30"/>
        <v>1E-3</v>
      </c>
      <c r="E29" s="1" t="e">
        <f>L29+Q29+2*R29-P29+#REF!</f>
        <v>#REF!</v>
      </c>
      <c r="I29" s="1" t="e">
        <f t="shared" si="8"/>
        <v>#REF!</v>
      </c>
      <c r="J29" s="1">
        <f t="shared" si="9"/>
        <v>5.0000000000000001E-4</v>
      </c>
      <c r="L29" s="1">
        <f t="shared" si="10"/>
        <v>2.6915348039269097E-8</v>
      </c>
      <c r="P29" s="1">
        <f t="shared" si="32"/>
        <v>3.7411058827205313E-7</v>
      </c>
      <c r="Q29" s="1">
        <f t="shared" si="33"/>
        <v>4.064152580820491E-19</v>
      </c>
      <c r="R29" s="1">
        <f t="shared" si="11"/>
        <v>9.0985042930498791E-19</v>
      </c>
      <c r="S29" s="1" t="e">
        <f t="shared" si="12"/>
        <v>#REF!</v>
      </c>
      <c r="T29" s="1" t="e">
        <f t="shared" si="13"/>
        <v>#REF!</v>
      </c>
      <c r="U29" s="1" t="e">
        <f t="shared" si="14"/>
        <v>#REF!</v>
      </c>
      <c r="V29" s="1" t="e">
        <f t="shared" si="15"/>
        <v>#REF!</v>
      </c>
      <c r="W29" s="1" t="e">
        <f t="shared" si="16"/>
        <v>#REF!</v>
      </c>
      <c r="X29" s="1" t="e">
        <f t="shared" si="17"/>
        <v>#REF!</v>
      </c>
      <c r="Y29" s="1" t="e">
        <f t="shared" si="18"/>
        <v>#REF!</v>
      </c>
      <c r="Z29" s="1">
        <f t="shared" si="19"/>
        <v>0</v>
      </c>
      <c r="AA29" s="1">
        <f t="shared" si="20"/>
        <v>0</v>
      </c>
      <c r="AB29" s="1" t="e">
        <f t="shared" si="21"/>
        <v>#REF!</v>
      </c>
      <c r="AC29" s="1" t="e">
        <f t="shared" si="22"/>
        <v>#REF!</v>
      </c>
      <c r="AD29" s="1" t="e">
        <f t="shared" si="23"/>
        <v>#REF!</v>
      </c>
      <c r="AE29" s="1" t="e">
        <f t="shared" si="24"/>
        <v>#REF!</v>
      </c>
      <c r="AF29" s="1" t="e">
        <f t="shared" si="25"/>
        <v>#REF!</v>
      </c>
      <c r="AG29" s="1" t="e">
        <f t="shared" si="26"/>
        <v>#REF!</v>
      </c>
      <c r="BG29" s="1" t="e">
        <f>I29+#REF!</f>
        <v>#REF!</v>
      </c>
      <c r="BH29" s="1" t="e">
        <f>J29+Q29+R29+#REF!</f>
        <v>#REF!</v>
      </c>
      <c r="BM29" s="1" t="e">
        <f>L29+Q29+2*R29-P29+#REF!</f>
        <v>#REF!</v>
      </c>
      <c r="BN29" s="1" t="e">
        <f t="shared" si="27"/>
        <v>#REF!</v>
      </c>
      <c r="BO29" s="1" t="e">
        <f t="shared" si="28"/>
        <v>#REF!</v>
      </c>
      <c r="BT29" s="1" t="e">
        <f t="shared" si="29"/>
        <v>#REF!</v>
      </c>
      <c r="BU29" t="e" cm="1">
        <f t="array" ref="BU29">MAX(ABS(BN29:BT29/B29:E29))</f>
        <v>#REF!</v>
      </c>
      <c r="BV29" t="e">
        <f>1+L29*J29*#REF!</f>
        <v>#REF!</v>
      </c>
      <c r="BW29" t="e">
        <f>I29*L29*#REF!</f>
        <v>#REF!</v>
      </c>
      <c r="BX29" t="e">
        <f>L29*J29*#REF!</f>
        <v>#REF!</v>
      </c>
      <c r="BY29" t="e">
        <f>1+L29*$Q$4+L29^2*$R$4+I29*L29*#REF!</f>
        <v>#REF!</v>
      </c>
      <c r="BZ29" s="11" t="e">
        <f>I29*J29*#REF!</f>
        <v>#REF!</v>
      </c>
      <c r="CA29" s="11" t="e">
        <f>J29*$Q$4+2*L29*J29*$R$4+I29*J29*#REF!</f>
        <v>#REF!</v>
      </c>
      <c r="CB29" s="11" t="e">
        <f>L29*J29*#REF!</f>
        <v>#REF!</v>
      </c>
      <c r="CC29" s="11" t="e">
        <f>L29*$Q$4+2*L29^2*$R$4+I29*L29*#REF!</f>
        <v>#REF!</v>
      </c>
      <c r="CD29" s="11" t="e">
        <f>1+J29*$Q$4+4*L29*J29*$R$4+I29*J29*#REF!+L29^-2*$P$4</f>
        <v>#REF!</v>
      </c>
      <c r="CE29" t="e" cm="1">
        <f t="array" ref="CE29">TRANSPOSE(MMULT(MINVERSE(_xlfn.WRAPCOLS(BV29:BY29,2)),TRANSPOSE(BN29:BO29)))</f>
        <v>#REF!</v>
      </c>
      <c r="CF29" s="1"/>
      <c r="CG29">
        <v>0</v>
      </c>
    </row>
    <row r="30" spans="1:85" x14ac:dyDescent="0.25">
      <c r="A30">
        <f t="shared" si="31"/>
        <v>18</v>
      </c>
      <c r="B30" s="1">
        <f t="shared" ref="B30:C39" si="34">B29</f>
        <v>9.9999999999999995E-7</v>
      </c>
      <c r="C30" s="1">
        <f t="shared" si="34"/>
        <v>1E-3</v>
      </c>
      <c r="E30" s="1" t="e">
        <f>L30+Q30+2*R30-P30+#REF!</f>
        <v>#REF!</v>
      </c>
      <c r="I30" s="1" t="e">
        <f t="shared" si="8"/>
        <v>#REF!</v>
      </c>
      <c r="J30" s="1">
        <f t="shared" si="9"/>
        <v>5.0000000000000001E-4</v>
      </c>
      <c r="L30" s="1">
        <f t="shared" si="10"/>
        <v>2.6915348039269097E-8</v>
      </c>
      <c r="P30" s="1">
        <f t="shared" si="32"/>
        <v>3.7411058827205313E-7</v>
      </c>
      <c r="Q30" s="1">
        <f t="shared" si="33"/>
        <v>4.064152580820491E-19</v>
      </c>
      <c r="R30" s="1">
        <f t="shared" si="11"/>
        <v>9.0985042930498791E-19</v>
      </c>
      <c r="S30" s="1" t="e">
        <f t="shared" si="12"/>
        <v>#REF!</v>
      </c>
      <c r="T30" s="1" t="e">
        <f t="shared" si="13"/>
        <v>#REF!</v>
      </c>
      <c r="U30" s="1" t="e">
        <f t="shared" si="14"/>
        <v>#REF!</v>
      </c>
      <c r="V30" s="1" t="e">
        <f t="shared" si="15"/>
        <v>#REF!</v>
      </c>
      <c r="W30" s="1" t="e">
        <f t="shared" si="16"/>
        <v>#REF!</v>
      </c>
      <c r="X30" s="1" t="e">
        <f t="shared" si="17"/>
        <v>#REF!</v>
      </c>
      <c r="Y30" s="1" t="e">
        <f t="shared" si="18"/>
        <v>#REF!</v>
      </c>
      <c r="Z30" s="1">
        <f t="shared" si="19"/>
        <v>0</v>
      </c>
      <c r="AA30" s="1">
        <f t="shared" si="20"/>
        <v>0</v>
      </c>
      <c r="AB30" s="1" t="e">
        <f t="shared" si="21"/>
        <v>#REF!</v>
      </c>
      <c r="AC30" s="1" t="e">
        <f t="shared" si="22"/>
        <v>#REF!</v>
      </c>
      <c r="AD30" s="1" t="e">
        <f t="shared" si="23"/>
        <v>#REF!</v>
      </c>
      <c r="AE30" s="1" t="e">
        <f t="shared" si="24"/>
        <v>#REF!</v>
      </c>
      <c r="AF30" s="1" t="e">
        <f t="shared" si="25"/>
        <v>#REF!</v>
      </c>
      <c r="AG30" s="1" t="e">
        <f t="shared" si="26"/>
        <v>#REF!</v>
      </c>
      <c r="BG30" s="1" t="e">
        <f>I30+#REF!</f>
        <v>#REF!</v>
      </c>
      <c r="BH30" s="1" t="e">
        <f>J30+Q30+R30+#REF!</f>
        <v>#REF!</v>
      </c>
      <c r="BM30" s="1" t="e">
        <f>L30+Q30+2*R30-P30+#REF!</f>
        <v>#REF!</v>
      </c>
      <c r="BN30" s="1" t="e">
        <f t="shared" si="27"/>
        <v>#REF!</v>
      </c>
      <c r="BO30" s="1" t="e">
        <f t="shared" si="28"/>
        <v>#REF!</v>
      </c>
      <c r="BT30" s="1" t="e">
        <f t="shared" si="29"/>
        <v>#REF!</v>
      </c>
      <c r="BU30" t="e" cm="1">
        <f t="array" ref="BU30">MAX(ABS(BN30:BT30/B30:E30))</f>
        <v>#REF!</v>
      </c>
      <c r="BV30" t="e">
        <f>1+L30*J30*#REF!</f>
        <v>#REF!</v>
      </c>
      <c r="BW30" t="e">
        <f>I30*L30*#REF!</f>
        <v>#REF!</v>
      </c>
      <c r="BX30" t="e">
        <f>L30*J30*#REF!</f>
        <v>#REF!</v>
      </c>
      <c r="BY30" t="e">
        <f>1+L30*$Q$4+L30^2*$R$4+I30*L30*#REF!</f>
        <v>#REF!</v>
      </c>
      <c r="BZ30" s="11" t="e">
        <f>I30*J30*#REF!</f>
        <v>#REF!</v>
      </c>
      <c r="CA30" s="11" t="e">
        <f>J30*$Q$4+2*L30*J30*$R$4+I30*J30*#REF!</f>
        <v>#REF!</v>
      </c>
      <c r="CB30" s="11" t="e">
        <f>L30*J30*#REF!</f>
        <v>#REF!</v>
      </c>
      <c r="CC30" s="11" t="e">
        <f>L30*$Q$4+2*L30^2*$R$4+I30*L30*#REF!</f>
        <v>#REF!</v>
      </c>
      <c r="CD30" s="11" t="e">
        <f>1+J30*$Q$4+4*L30*J30*$R$4+I30*J30*#REF!+L30^-2*$P$4</f>
        <v>#REF!</v>
      </c>
      <c r="CE30" t="e" cm="1">
        <f t="array" ref="CE30">TRANSPOSE(MMULT(MINVERSE(_xlfn.WRAPCOLS(BV30:BY30,2)),TRANSPOSE(BN30:BO30)))</f>
        <v>#REF!</v>
      </c>
      <c r="CF30" s="1"/>
      <c r="CG30">
        <v>0</v>
      </c>
    </row>
    <row r="31" spans="1:85" x14ac:dyDescent="0.25">
      <c r="A31">
        <f t="shared" si="31"/>
        <v>19</v>
      </c>
      <c r="B31" s="1">
        <f t="shared" si="34"/>
        <v>9.9999999999999995E-7</v>
      </c>
      <c r="C31" s="1">
        <f t="shared" si="34"/>
        <v>1E-3</v>
      </c>
      <c r="E31" s="1" t="e">
        <f>L31+Q31+2*R31-P31+#REF!</f>
        <v>#REF!</v>
      </c>
      <c r="I31" s="1" t="e">
        <f t="shared" si="8"/>
        <v>#REF!</v>
      </c>
      <c r="J31" s="1">
        <f t="shared" si="9"/>
        <v>5.0000000000000001E-4</v>
      </c>
      <c r="L31" s="1">
        <f t="shared" si="10"/>
        <v>2.6915348039269097E-8</v>
      </c>
      <c r="P31" s="1">
        <f t="shared" si="32"/>
        <v>3.7411058827205313E-7</v>
      </c>
      <c r="Q31" s="1">
        <f t="shared" si="33"/>
        <v>4.064152580820491E-19</v>
      </c>
      <c r="R31" s="1">
        <f t="shared" si="11"/>
        <v>9.0985042930498791E-19</v>
      </c>
      <c r="BG31" s="1" t="e">
        <f>I31+#REF!</f>
        <v>#REF!</v>
      </c>
      <c r="BH31" s="1" t="e">
        <f>J31+Q31+R31+#REF!</f>
        <v>#REF!</v>
      </c>
      <c r="BM31" s="1" t="e">
        <f>L31+Q31+2*R31-P31+#REF!</f>
        <v>#REF!</v>
      </c>
      <c r="BN31" s="1" t="e">
        <f t="shared" si="27"/>
        <v>#REF!</v>
      </c>
      <c r="BO31" s="1" t="e">
        <f t="shared" si="28"/>
        <v>#REF!</v>
      </c>
      <c r="BT31" s="1" t="e">
        <f t="shared" si="29"/>
        <v>#REF!</v>
      </c>
      <c r="BU31" t="e" cm="1">
        <f t="array" ref="BU31">MAX(ABS(BN31:BT31/B31:E31))</f>
        <v>#REF!</v>
      </c>
      <c r="BV31" t="e">
        <f>1+L31*J31*#REF!</f>
        <v>#REF!</v>
      </c>
      <c r="BW31" t="e">
        <f>I31*L31*#REF!</f>
        <v>#REF!</v>
      </c>
      <c r="BX31" t="e">
        <f>L31*J31*#REF!</f>
        <v>#REF!</v>
      </c>
      <c r="BY31" t="e">
        <f>1+L31*$Q$4+L31^2*$R$4+I31*L31*#REF!</f>
        <v>#REF!</v>
      </c>
      <c r="BZ31" s="11" t="e">
        <f>I31*J31*#REF!</f>
        <v>#REF!</v>
      </c>
      <c r="CA31" s="11" t="e">
        <f>J31*$Q$4+2*L31*J31*$R$4+I31*J31*#REF!</f>
        <v>#REF!</v>
      </c>
      <c r="CB31" s="11" t="e">
        <f>L31*J31*#REF!</f>
        <v>#REF!</v>
      </c>
      <c r="CC31" s="11" t="e">
        <f>L31*$Q$4+2*L31^2*$R$4+I31*L31*#REF!</f>
        <v>#REF!</v>
      </c>
      <c r="CD31" s="11" t="e">
        <f>1+J31*$Q$4+4*L31*J31*$R$4+I31*J31*#REF!+L31^-2*$P$4</f>
        <v>#REF!</v>
      </c>
      <c r="CE31" t="e" cm="1">
        <f t="array" ref="CE31">TRANSPOSE(MMULT(MINVERSE(_xlfn.WRAPCOLS(BV31:BY31,2)),TRANSPOSE(BN31:BO31)))</f>
        <v>#REF!</v>
      </c>
      <c r="CF31" s="1"/>
      <c r="CG31">
        <v>0</v>
      </c>
    </row>
    <row r="32" spans="1:85" x14ac:dyDescent="0.25">
      <c r="A32">
        <f t="shared" si="31"/>
        <v>20</v>
      </c>
      <c r="B32" s="1">
        <f t="shared" si="34"/>
        <v>9.9999999999999995E-7</v>
      </c>
      <c r="C32" s="1">
        <f t="shared" si="34"/>
        <v>1E-3</v>
      </c>
      <c r="E32" s="1" t="e">
        <f>L32+Q32+2*R32-P32+#REF!</f>
        <v>#REF!</v>
      </c>
      <c r="I32" s="1" t="e">
        <f t="shared" si="8"/>
        <v>#REF!</v>
      </c>
      <c r="J32" s="1">
        <f t="shared" si="9"/>
        <v>5.0000000000000001E-4</v>
      </c>
      <c r="L32" s="1">
        <f t="shared" si="10"/>
        <v>2.6915348039269097E-8</v>
      </c>
      <c r="P32" s="1">
        <f t="shared" si="32"/>
        <v>3.7411058827205313E-7</v>
      </c>
      <c r="Q32" s="1">
        <f t="shared" si="33"/>
        <v>4.064152580820491E-19</v>
      </c>
      <c r="R32" s="1">
        <f t="shared" si="11"/>
        <v>9.0985042930498791E-19</v>
      </c>
      <c r="BG32" s="1" t="e">
        <f>I32+#REF!</f>
        <v>#REF!</v>
      </c>
      <c r="BH32" s="1" t="e">
        <f>J32+Q32+R32+#REF!</f>
        <v>#REF!</v>
      </c>
      <c r="BM32" s="1" t="e">
        <f>L32+Q32+2*R32-P32+#REF!</f>
        <v>#REF!</v>
      </c>
      <c r="BN32" s="1" t="e">
        <f t="shared" si="27"/>
        <v>#REF!</v>
      </c>
      <c r="BO32" s="1" t="e">
        <f t="shared" si="28"/>
        <v>#REF!</v>
      </c>
      <c r="BT32" s="1" t="e">
        <f t="shared" si="29"/>
        <v>#REF!</v>
      </c>
      <c r="BU32" t="e" cm="1">
        <f t="array" ref="BU32">MAX(ABS(BN32:BT32/B32:E32))</f>
        <v>#REF!</v>
      </c>
      <c r="BV32" t="e">
        <f>1+L32*J32*#REF!</f>
        <v>#REF!</v>
      </c>
      <c r="BW32" t="e">
        <f>I32*L32*#REF!</f>
        <v>#REF!</v>
      </c>
      <c r="BX32" t="e">
        <f>L32*J32*#REF!</f>
        <v>#REF!</v>
      </c>
      <c r="BY32" t="e">
        <f>1+L32*$Q$4+L32^2*$R$4+I32*L32*#REF!</f>
        <v>#REF!</v>
      </c>
      <c r="BZ32" s="11" t="e">
        <f>I32*J32*#REF!</f>
        <v>#REF!</v>
      </c>
      <c r="CA32" s="11" t="e">
        <f>J32*$Q$4+2*L32*J32*$R$4+I32*J32*#REF!</f>
        <v>#REF!</v>
      </c>
      <c r="CB32" s="11" t="e">
        <f>L32*J32*#REF!</f>
        <v>#REF!</v>
      </c>
      <c r="CC32" s="11" t="e">
        <f>L32*$Q$4+2*L32^2*$R$4+I32*L32*#REF!</f>
        <v>#REF!</v>
      </c>
      <c r="CD32" s="11" t="e">
        <f>1+J32*$Q$4+4*L32*J32*$R$4+I32*J32*#REF!+L32^-2*$P$4</f>
        <v>#REF!</v>
      </c>
      <c r="CE32" t="e" cm="1">
        <f t="array" ref="CE32">TRANSPOSE(MMULT(MINVERSE(_xlfn.WRAPCOLS(BV32:BY32,2)),TRANSPOSE(BN32:BO32)))</f>
        <v>#REF!</v>
      </c>
      <c r="CF32" s="1"/>
      <c r="CG32">
        <v>0</v>
      </c>
    </row>
    <row r="33" spans="1:85" x14ac:dyDescent="0.25">
      <c r="A33">
        <f t="shared" si="31"/>
        <v>21</v>
      </c>
      <c r="B33" s="1">
        <f t="shared" si="34"/>
        <v>9.9999999999999995E-7</v>
      </c>
      <c r="C33" s="1">
        <f t="shared" si="34"/>
        <v>1E-3</v>
      </c>
      <c r="E33" s="1" t="e">
        <f>L33+Q33+2*R33-P33+#REF!</f>
        <v>#REF!</v>
      </c>
      <c r="I33" s="1" t="e">
        <f t="shared" si="8"/>
        <v>#REF!</v>
      </c>
      <c r="J33" s="1">
        <f t="shared" si="9"/>
        <v>5.0000000000000001E-4</v>
      </c>
      <c r="L33" s="1">
        <f t="shared" si="10"/>
        <v>2.6915348039269097E-8</v>
      </c>
      <c r="P33" s="1">
        <f t="shared" si="32"/>
        <v>3.7411058827205313E-7</v>
      </c>
      <c r="Q33" s="1">
        <f t="shared" si="33"/>
        <v>4.064152580820491E-19</v>
      </c>
      <c r="R33" s="1">
        <f t="shared" si="11"/>
        <v>9.0985042930498791E-19</v>
      </c>
      <c r="BG33" s="1" t="e">
        <f>I33+#REF!</f>
        <v>#REF!</v>
      </c>
      <c r="BH33" s="1" t="e">
        <f>J33+Q33+R33+#REF!</f>
        <v>#REF!</v>
      </c>
      <c r="BM33" s="1" t="e">
        <f>L33+Q33+2*R33-P33+#REF!</f>
        <v>#REF!</v>
      </c>
      <c r="BN33" s="1" t="e">
        <f t="shared" si="27"/>
        <v>#REF!</v>
      </c>
      <c r="BO33" s="1" t="e">
        <f t="shared" si="28"/>
        <v>#REF!</v>
      </c>
      <c r="BT33" s="1" t="e">
        <f t="shared" si="29"/>
        <v>#REF!</v>
      </c>
      <c r="BU33" t="e" cm="1">
        <f t="array" ref="BU33">MAX(ABS(BN33:BT33/B33:E33))</f>
        <v>#REF!</v>
      </c>
      <c r="BV33" t="e">
        <f>1+L33*J33*#REF!</f>
        <v>#REF!</v>
      </c>
      <c r="BW33" t="e">
        <f>I33*L33*#REF!</f>
        <v>#REF!</v>
      </c>
      <c r="BX33" t="e">
        <f>L33*J33*#REF!</f>
        <v>#REF!</v>
      </c>
      <c r="BY33" t="e">
        <f>1+L33*$Q$4+L33^2*$R$4+I33*L33*#REF!</f>
        <v>#REF!</v>
      </c>
      <c r="BZ33" s="11" t="e">
        <f>I33*J33*#REF!</f>
        <v>#REF!</v>
      </c>
      <c r="CA33" s="11" t="e">
        <f>J33*$Q$4+2*L33*J33*$R$4+I33*J33*#REF!</f>
        <v>#REF!</v>
      </c>
      <c r="CB33" s="11" t="e">
        <f>L33*J33*#REF!</f>
        <v>#REF!</v>
      </c>
      <c r="CC33" s="11" t="e">
        <f>L33*$Q$4+2*L33^2*$R$4+I33*L33*#REF!</f>
        <v>#REF!</v>
      </c>
      <c r="CD33" s="11" t="e">
        <f>1+J33*$Q$4+4*L33*J33*$R$4+I33*J33*#REF!+L33^-2*$P$4</f>
        <v>#REF!</v>
      </c>
      <c r="CE33" t="e" cm="1">
        <f t="array" ref="CE33">TRANSPOSE(MMULT(MINVERSE(_xlfn.WRAPCOLS(BV33:BY33,2)),TRANSPOSE(BN33:BO33)))</f>
        <v>#REF!</v>
      </c>
      <c r="CF33" s="1"/>
      <c r="CG33">
        <v>0</v>
      </c>
    </row>
    <row r="34" spans="1:85" x14ac:dyDescent="0.25">
      <c r="A34">
        <f t="shared" si="31"/>
        <v>22</v>
      </c>
      <c r="B34" s="1">
        <f t="shared" si="34"/>
        <v>9.9999999999999995E-7</v>
      </c>
      <c r="C34" s="1">
        <f t="shared" si="34"/>
        <v>1E-3</v>
      </c>
      <c r="E34" s="1" t="e">
        <f>L34+Q34+2*R34-P34+#REF!</f>
        <v>#REF!</v>
      </c>
      <c r="I34" s="1" t="e">
        <f t="shared" si="8"/>
        <v>#REF!</v>
      </c>
      <c r="J34" s="1">
        <f t="shared" si="9"/>
        <v>5.0000000000000001E-4</v>
      </c>
      <c r="L34" s="1">
        <f t="shared" si="10"/>
        <v>2.6915348039269097E-8</v>
      </c>
      <c r="P34" s="1">
        <f t="shared" si="32"/>
        <v>3.7411058827205313E-7</v>
      </c>
      <c r="Q34" s="1">
        <f t="shared" si="33"/>
        <v>4.064152580820491E-19</v>
      </c>
      <c r="R34" s="1">
        <f t="shared" si="11"/>
        <v>9.0985042930498791E-19</v>
      </c>
      <c r="BG34" s="1" t="e">
        <f>I34+#REF!</f>
        <v>#REF!</v>
      </c>
      <c r="BH34" s="1" t="e">
        <f>J34+Q34+R34+#REF!</f>
        <v>#REF!</v>
      </c>
      <c r="BM34" s="1" t="e">
        <f>L34+Q34+2*R34-P34+#REF!</f>
        <v>#REF!</v>
      </c>
      <c r="BN34" s="1" t="e">
        <f t="shared" si="27"/>
        <v>#REF!</v>
      </c>
      <c r="BO34" s="1" t="e">
        <f t="shared" si="28"/>
        <v>#REF!</v>
      </c>
      <c r="BT34" s="1" t="e">
        <f t="shared" si="29"/>
        <v>#REF!</v>
      </c>
      <c r="BU34" t="e" cm="1">
        <f t="array" ref="BU34">MAX(ABS(BN34:BT34/B34:E34))</f>
        <v>#REF!</v>
      </c>
      <c r="BV34" t="e">
        <f>1+L34*J34*#REF!</f>
        <v>#REF!</v>
      </c>
      <c r="BW34" t="e">
        <f>I34*L34*#REF!</f>
        <v>#REF!</v>
      </c>
      <c r="BX34" t="e">
        <f>L34*J34*#REF!</f>
        <v>#REF!</v>
      </c>
      <c r="BY34" t="e">
        <f>1+L34*$Q$4+L34^2*$R$4+I34*L34*#REF!</f>
        <v>#REF!</v>
      </c>
      <c r="BZ34" s="11" t="e">
        <f>I34*J34*#REF!</f>
        <v>#REF!</v>
      </c>
      <c r="CA34" s="11" t="e">
        <f>J34*$Q$4+2*L34*J34*$R$4+I34*J34*#REF!</f>
        <v>#REF!</v>
      </c>
      <c r="CB34" s="11" t="e">
        <f>L34*J34*#REF!</f>
        <v>#REF!</v>
      </c>
      <c r="CC34" s="11" t="e">
        <f>L34*$Q$4+2*L34^2*$R$4+I34*L34*#REF!</f>
        <v>#REF!</v>
      </c>
      <c r="CD34" s="11" t="e">
        <f>1+J34*$Q$4+4*L34*J34*$R$4+I34*J34*#REF!+L34^-2*$P$4</f>
        <v>#REF!</v>
      </c>
      <c r="CE34" t="e" cm="1">
        <f t="array" ref="CE34">TRANSPOSE(MMULT(MINVERSE(_xlfn.WRAPCOLS(BV34:BY34,2)),TRANSPOSE(BN34:BO34)))</f>
        <v>#REF!</v>
      </c>
      <c r="CF34" s="1"/>
      <c r="CG34">
        <v>0</v>
      </c>
    </row>
    <row r="35" spans="1:85" x14ac:dyDescent="0.25">
      <c r="A35">
        <f t="shared" si="31"/>
        <v>23</v>
      </c>
      <c r="B35" s="1">
        <f t="shared" si="34"/>
        <v>9.9999999999999995E-7</v>
      </c>
      <c r="C35" s="1">
        <f t="shared" si="34"/>
        <v>1E-3</v>
      </c>
      <c r="E35" s="1" t="e">
        <f>L35+Q35+2*R35-P35+#REF!</f>
        <v>#REF!</v>
      </c>
      <c r="I35" s="1" t="e">
        <f t="shared" si="8"/>
        <v>#REF!</v>
      </c>
      <c r="J35" s="1">
        <f t="shared" si="9"/>
        <v>5.0000000000000001E-4</v>
      </c>
      <c r="L35" s="1">
        <f t="shared" si="10"/>
        <v>2.6915348039269097E-8</v>
      </c>
      <c r="P35" s="1">
        <f t="shared" si="32"/>
        <v>3.7411058827205313E-7</v>
      </c>
      <c r="Q35" s="1">
        <f t="shared" si="33"/>
        <v>4.064152580820491E-19</v>
      </c>
      <c r="R35" s="1">
        <f t="shared" si="11"/>
        <v>9.0985042930498791E-19</v>
      </c>
      <c r="BG35" s="1" t="e">
        <f>I35+#REF!</f>
        <v>#REF!</v>
      </c>
      <c r="BH35" s="1" t="e">
        <f>J35+Q35+R35+#REF!</f>
        <v>#REF!</v>
      </c>
      <c r="BM35" s="1" t="e">
        <f>L35+Q35+2*R35-P35+#REF!</f>
        <v>#REF!</v>
      </c>
      <c r="BN35" s="1" t="e">
        <f t="shared" si="27"/>
        <v>#REF!</v>
      </c>
      <c r="BO35" s="1" t="e">
        <f t="shared" si="28"/>
        <v>#REF!</v>
      </c>
      <c r="BT35" s="1" t="e">
        <f t="shared" si="29"/>
        <v>#REF!</v>
      </c>
      <c r="BU35" t="e" cm="1">
        <f t="array" ref="BU35">MAX(ABS(BN35:BT35/B35:E35))</f>
        <v>#REF!</v>
      </c>
      <c r="BV35" t="e">
        <f>1+L35*J35*#REF!</f>
        <v>#REF!</v>
      </c>
      <c r="BW35" t="e">
        <f>I35*L35*#REF!</f>
        <v>#REF!</v>
      </c>
      <c r="BX35" t="e">
        <f>L35*J35*#REF!</f>
        <v>#REF!</v>
      </c>
      <c r="BY35" t="e">
        <f>1+L35*$Q$4+L35^2*$R$4+I35*L35*#REF!</f>
        <v>#REF!</v>
      </c>
      <c r="BZ35" s="11" t="e">
        <f>I35*J35*#REF!</f>
        <v>#REF!</v>
      </c>
      <c r="CA35" s="11" t="e">
        <f>J35*$Q$4+2*L35*J35*$R$4+I35*J35*#REF!</f>
        <v>#REF!</v>
      </c>
      <c r="CB35" s="11" t="e">
        <f>L35*J35*#REF!</f>
        <v>#REF!</v>
      </c>
      <c r="CC35" s="11" t="e">
        <f>L35*$Q$4+2*L35^2*$R$4+I35*L35*#REF!</f>
        <v>#REF!</v>
      </c>
      <c r="CD35" s="11" t="e">
        <f>1+J35*$Q$4+4*L35*J35*$R$4+I35*J35*#REF!+L35^-2*$P$4</f>
        <v>#REF!</v>
      </c>
      <c r="CE35" t="e" cm="1">
        <f t="array" ref="CE35">TRANSPOSE(MMULT(MINVERSE(_xlfn.WRAPCOLS(BV35:BY35,2)),TRANSPOSE(BN35:BO35)))</f>
        <v>#REF!</v>
      </c>
      <c r="CF35" s="1"/>
      <c r="CG35">
        <v>0</v>
      </c>
    </row>
    <row r="36" spans="1:85" x14ac:dyDescent="0.25">
      <c r="A36">
        <f t="shared" si="31"/>
        <v>24</v>
      </c>
      <c r="B36" s="1">
        <f t="shared" si="34"/>
        <v>9.9999999999999995E-7</v>
      </c>
      <c r="C36" s="1">
        <f t="shared" si="34"/>
        <v>1E-3</v>
      </c>
      <c r="E36" s="1" t="e">
        <f>L36+Q36+2*R36-P36+#REF!</f>
        <v>#REF!</v>
      </c>
      <c r="I36" s="1" t="e">
        <f t="shared" si="8"/>
        <v>#REF!</v>
      </c>
      <c r="J36" s="1">
        <f t="shared" si="9"/>
        <v>5.0000000000000001E-4</v>
      </c>
      <c r="L36" s="1">
        <f t="shared" si="10"/>
        <v>2.6915348039269097E-8</v>
      </c>
      <c r="P36" s="1">
        <f t="shared" si="32"/>
        <v>3.7411058827205313E-7</v>
      </c>
      <c r="Q36" s="1">
        <f t="shared" si="33"/>
        <v>4.064152580820491E-19</v>
      </c>
      <c r="R36" s="1">
        <f t="shared" si="11"/>
        <v>9.0985042930498791E-19</v>
      </c>
      <c r="BG36" s="1" t="e">
        <f>I36+#REF!</f>
        <v>#REF!</v>
      </c>
      <c r="BH36" s="1" t="e">
        <f>J36+Q36+R36+#REF!</f>
        <v>#REF!</v>
      </c>
      <c r="BM36" s="1" t="e">
        <f>L36+Q36+2*R36-P36+#REF!</f>
        <v>#REF!</v>
      </c>
      <c r="BN36" s="1" t="e">
        <f t="shared" si="27"/>
        <v>#REF!</v>
      </c>
      <c r="BO36" s="1" t="e">
        <f t="shared" si="28"/>
        <v>#REF!</v>
      </c>
      <c r="BT36" s="1" t="e">
        <f t="shared" si="29"/>
        <v>#REF!</v>
      </c>
      <c r="BU36" t="e" cm="1">
        <f t="array" ref="BU36">MAX(ABS(BN36:BT36/B36:E36))</f>
        <v>#REF!</v>
      </c>
      <c r="BV36" t="e">
        <f>1+L36*J36*#REF!</f>
        <v>#REF!</v>
      </c>
      <c r="BW36" t="e">
        <f>I36*L36*#REF!</f>
        <v>#REF!</v>
      </c>
      <c r="BX36" t="e">
        <f>L36*J36*#REF!</f>
        <v>#REF!</v>
      </c>
      <c r="BY36" t="e">
        <f>1+L36*$Q$4+L36^2*$R$4+I36*L36*#REF!</f>
        <v>#REF!</v>
      </c>
      <c r="BZ36" s="11" t="e">
        <f>I36*J36*#REF!</f>
        <v>#REF!</v>
      </c>
      <c r="CA36" s="11" t="e">
        <f>J36*$Q$4+2*L36*J36*$R$4+I36*J36*#REF!</f>
        <v>#REF!</v>
      </c>
      <c r="CB36" s="11" t="e">
        <f>L36*J36*#REF!</f>
        <v>#REF!</v>
      </c>
      <c r="CC36" s="11" t="e">
        <f>L36*$Q$4+2*L36^2*$R$4+I36*L36*#REF!</f>
        <v>#REF!</v>
      </c>
      <c r="CD36" s="11" t="e">
        <f>1+J36*$Q$4+4*L36*J36*$R$4+I36*J36*#REF!+L36^-2*$P$4</f>
        <v>#REF!</v>
      </c>
      <c r="CE36" t="e" cm="1">
        <f t="array" ref="CE36">TRANSPOSE(MMULT(MINVERSE(_xlfn.WRAPCOLS(BV36:BY36,2)),TRANSPOSE(BN36:BO36)))</f>
        <v>#REF!</v>
      </c>
      <c r="CF36" s="1"/>
      <c r="CG36">
        <v>0</v>
      </c>
    </row>
    <row r="37" spans="1:85" x14ac:dyDescent="0.25">
      <c r="A37">
        <f t="shared" si="31"/>
        <v>25</v>
      </c>
      <c r="B37" s="1">
        <f t="shared" si="34"/>
        <v>9.9999999999999995E-7</v>
      </c>
      <c r="C37" s="1">
        <f t="shared" si="34"/>
        <v>1E-3</v>
      </c>
      <c r="E37" s="1" t="e">
        <f>L37+Q37+2*R37-P37+#REF!</f>
        <v>#REF!</v>
      </c>
      <c r="I37" s="1" t="e">
        <f t="shared" si="8"/>
        <v>#REF!</v>
      </c>
      <c r="J37" s="1">
        <f t="shared" si="9"/>
        <v>5.0000000000000001E-4</v>
      </c>
      <c r="L37" s="1">
        <f t="shared" si="10"/>
        <v>2.6915348039269097E-8</v>
      </c>
      <c r="P37" s="1">
        <f t="shared" si="32"/>
        <v>3.7411058827205313E-7</v>
      </c>
      <c r="Q37" s="1">
        <f t="shared" si="33"/>
        <v>4.064152580820491E-19</v>
      </c>
      <c r="R37" s="1">
        <f t="shared" si="11"/>
        <v>9.0985042930498791E-19</v>
      </c>
      <c r="BG37" s="1" t="e">
        <f>I37+#REF!</f>
        <v>#REF!</v>
      </c>
      <c r="BH37" s="1" t="e">
        <f>J37+Q37+R37+#REF!</f>
        <v>#REF!</v>
      </c>
      <c r="BM37" s="1" t="e">
        <f>L37+Q37+2*R37-P37+#REF!</f>
        <v>#REF!</v>
      </c>
      <c r="BN37" s="1" t="e">
        <f t="shared" si="27"/>
        <v>#REF!</v>
      </c>
      <c r="BO37" s="1" t="e">
        <f t="shared" si="28"/>
        <v>#REF!</v>
      </c>
      <c r="BT37" s="1" t="e">
        <f t="shared" si="29"/>
        <v>#REF!</v>
      </c>
      <c r="BU37" t="e" cm="1">
        <f t="array" ref="BU37">MAX(ABS(BN37:BT37/B37:E37))</f>
        <v>#REF!</v>
      </c>
      <c r="BV37" t="e">
        <f>1+L37*J37*#REF!</f>
        <v>#REF!</v>
      </c>
      <c r="BW37" t="e">
        <f>I37*L37*#REF!</f>
        <v>#REF!</v>
      </c>
      <c r="BX37" t="e">
        <f>L37*J37*#REF!</f>
        <v>#REF!</v>
      </c>
      <c r="BY37" t="e">
        <f>1+L37*$Q$4+L37^2*$R$4+I37*L37*#REF!</f>
        <v>#REF!</v>
      </c>
      <c r="BZ37" s="11" t="e">
        <f>I37*J37*#REF!</f>
        <v>#REF!</v>
      </c>
      <c r="CA37" s="11" t="e">
        <f>J37*$Q$4+2*L37*J37*$R$4+I37*J37*#REF!</f>
        <v>#REF!</v>
      </c>
      <c r="CB37" s="11" t="e">
        <f>L37*J37*#REF!</f>
        <v>#REF!</v>
      </c>
      <c r="CC37" s="11" t="e">
        <f>L37*$Q$4+2*L37^2*$R$4+I37*L37*#REF!</f>
        <v>#REF!</v>
      </c>
      <c r="CD37" s="11" t="e">
        <f>1+J37*$Q$4+4*L37*J37*$R$4+I37*J37*#REF!+L37^-2*$P$4</f>
        <v>#REF!</v>
      </c>
      <c r="CE37" t="e" cm="1">
        <f t="array" ref="CE37">TRANSPOSE(MMULT(MINVERSE(_xlfn.WRAPCOLS(BV37:BY37,2)),TRANSPOSE(BN37:BO37)))</f>
        <v>#REF!</v>
      </c>
      <c r="CF37" s="1"/>
      <c r="CG37">
        <v>0</v>
      </c>
    </row>
    <row r="38" spans="1:85" x14ac:dyDescent="0.25">
      <c r="A38">
        <f t="shared" si="31"/>
        <v>26</v>
      </c>
      <c r="B38" s="1">
        <f t="shared" si="34"/>
        <v>9.9999999999999995E-7</v>
      </c>
      <c r="C38" s="1">
        <f t="shared" si="34"/>
        <v>1E-3</v>
      </c>
      <c r="E38" s="1" t="e">
        <f>L38+Q38+2*R38-P38+#REF!</f>
        <v>#REF!</v>
      </c>
      <c r="I38" s="1" t="e">
        <f t="shared" si="8"/>
        <v>#REF!</v>
      </c>
      <c r="J38" s="1">
        <f t="shared" si="9"/>
        <v>5.0000000000000001E-4</v>
      </c>
      <c r="L38" s="1">
        <f t="shared" si="10"/>
        <v>2.6915348039269097E-8</v>
      </c>
      <c r="P38" s="1">
        <f t="shared" si="32"/>
        <v>3.7411058827205313E-7</v>
      </c>
      <c r="Q38" s="1">
        <f t="shared" si="33"/>
        <v>4.064152580820491E-19</v>
      </c>
      <c r="R38" s="1">
        <f t="shared" si="11"/>
        <v>9.0985042930498791E-19</v>
      </c>
      <c r="BG38" s="1" t="e">
        <f>I38+#REF!</f>
        <v>#REF!</v>
      </c>
      <c r="BH38" s="1" t="e">
        <f>J38+Q38+R38+#REF!</f>
        <v>#REF!</v>
      </c>
      <c r="BM38" s="1" t="e">
        <f>L38+Q38+2*R38-P38+#REF!</f>
        <v>#REF!</v>
      </c>
      <c r="BN38" s="1" t="e">
        <f t="shared" si="27"/>
        <v>#REF!</v>
      </c>
      <c r="BO38" s="1" t="e">
        <f t="shared" si="28"/>
        <v>#REF!</v>
      </c>
      <c r="BT38" s="1" t="e">
        <f t="shared" si="29"/>
        <v>#REF!</v>
      </c>
      <c r="BU38" t="e" cm="1">
        <f t="array" ref="BU38">MAX(ABS(BN38:BT38/B38:E38))</f>
        <v>#REF!</v>
      </c>
      <c r="BV38" t="e">
        <f>1+L38*J38*#REF!</f>
        <v>#REF!</v>
      </c>
      <c r="BW38" t="e">
        <f>I38*L38*#REF!</f>
        <v>#REF!</v>
      </c>
      <c r="BX38" t="e">
        <f>L38*J38*#REF!</f>
        <v>#REF!</v>
      </c>
      <c r="BY38" t="e">
        <f>1+L38*$Q$4+L38^2*$R$4+I38*L38*#REF!</f>
        <v>#REF!</v>
      </c>
      <c r="BZ38" s="11" t="e">
        <f>I38*J38*#REF!</f>
        <v>#REF!</v>
      </c>
      <c r="CA38" s="11" t="e">
        <f>J38*$Q$4+2*L38*J38*$R$4+I38*J38*#REF!</f>
        <v>#REF!</v>
      </c>
      <c r="CB38" s="11" t="e">
        <f>L38*J38*#REF!</f>
        <v>#REF!</v>
      </c>
      <c r="CC38" s="11" t="e">
        <f>L38*$Q$4+2*L38^2*$R$4+I38*L38*#REF!</f>
        <v>#REF!</v>
      </c>
      <c r="CD38" s="11" t="e">
        <f>1+J38*$Q$4+4*L38*J38*$R$4+I38*J38*#REF!+L38^-2*$P$4</f>
        <v>#REF!</v>
      </c>
      <c r="CE38" t="e" cm="1">
        <f t="array" ref="CE38">TRANSPOSE(MMULT(MINVERSE(_xlfn.WRAPCOLS(BV38:BY38,2)),TRANSPOSE(BN38:BO38)))</f>
        <v>#REF!</v>
      </c>
      <c r="CF38" s="1"/>
      <c r="CG38">
        <v>0</v>
      </c>
    </row>
    <row r="39" spans="1:85" x14ac:dyDescent="0.25">
      <c r="A39">
        <f t="shared" si="31"/>
        <v>27</v>
      </c>
      <c r="B39" s="1">
        <f t="shared" si="34"/>
        <v>9.9999999999999995E-7</v>
      </c>
      <c r="C39" s="1">
        <f t="shared" si="34"/>
        <v>1E-3</v>
      </c>
      <c r="E39" s="1" t="e">
        <f>L39+Q39+2*R39-P39+#REF!</f>
        <v>#REF!</v>
      </c>
      <c r="I39" s="1" t="e">
        <f t="shared" si="8"/>
        <v>#REF!</v>
      </c>
      <c r="J39" s="1">
        <f t="shared" si="9"/>
        <v>5.0000000000000001E-4</v>
      </c>
      <c r="L39" s="1">
        <f t="shared" si="10"/>
        <v>2.6915348039269097E-8</v>
      </c>
      <c r="P39" s="1">
        <f t="shared" si="32"/>
        <v>3.7411058827205313E-7</v>
      </c>
      <c r="Q39" s="1">
        <f t="shared" si="33"/>
        <v>4.064152580820491E-19</v>
      </c>
      <c r="R39" s="1">
        <f t="shared" si="11"/>
        <v>9.0985042930498791E-19</v>
      </c>
      <c r="BG39" s="1" t="e">
        <f>I39+#REF!</f>
        <v>#REF!</v>
      </c>
      <c r="BH39" s="1" t="e">
        <f>J39+Q39+R39+#REF!</f>
        <v>#REF!</v>
      </c>
      <c r="BM39" s="1" t="e">
        <f>L39+Q39+2*R39-P39+#REF!</f>
        <v>#REF!</v>
      </c>
      <c r="BN39" s="1" t="e">
        <f t="shared" si="27"/>
        <v>#REF!</v>
      </c>
      <c r="BO39" s="1" t="e">
        <f t="shared" si="28"/>
        <v>#REF!</v>
      </c>
      <c r="BT39" s="1" t="e">
        <f t="shared" si="29"/>
        <v>#REF!</v>
      </c>
      <c r="BU39" t="e" cm="1">
        <f t="array" ref="BU39">MAX(ABS(BN39:BT39/B39:E39))</f>
        <v>#REF!</v>
      </c>
      <c r="BV39" t="e">
        <f>1+L39*J39*#REF!</f>
        <v>#REF!</v>
      </c>
      <c r="BW39" t="e">
        <f>I39*L39*#REF!</f>
        <v>#REF!</v>
      </c>
      <c r="BX39" t="e">
        <f>L39*J39*#REF!</f>
        <v>#REF!</v>
      </c>
      <c r="BY39" t="e">
        <f>1+L39*$Q$4+L39^2*$R$4+I39*L39*#REF!</f>
        <v>#REF!</v>
      </c>
      <c r="BZ39" s="11" t="e">
        <f>I39*J39*#REF!</f>
        <v>#REF!</v>
      </c>
      <c r="CA39" s="11" t="e">
        <f>J39*$Q$4+2*L39*J39*$R$4+I39*J39*#REF!</f>
        <v>#REF!</v>
      </c>
      <c r="CB39" s="11" t="e">
        <f>L39*J39*#REF!</f>
        <v>#REF!</v>
      </c>
      <c r="CC39" s="11" t="e">
        <f>L39*$Q$4+2*L39^2*$R$4+I39*L39*#REF!</f>
        <v>#REF!</v>
      </c>
      <c r="CD39" s="11" t="e">
        <f>1+J39*$Q$4+4*L39*J39*$R$4+I39*J39*#REF!+L39^-2*$P$4</f>
        <v>#REF!</v>
      </c>
      <c r="CE39" t="e" cm="1">
        <f t="array" ref="CE39">TRANSPOSE(MMULT(MINVERSE(_xlfn.WRAPCOLS(BV39:BY39,2)),TRANSPOSE(BN39:BO39)))</f>
        <v>#REF!</v>
      </c>
      <c r="CF39" s="1"/>
      <c r="CG39">
        <v>0</v>
      </c>
    </row>
  </sheetData>
  <mergeCells count="1">
    <mergeCell ref="BZ9:C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2E86-C025-449E-8295-CF31CA975259}">
  <dimension ref="A1:Y471"/>
  <sheetViews>
    <sheetView tabSelected="1" workbookViewId="0">
      <selection activeCell="Q7" sqref="Q7"/>
    </sheetView>
  </sheetViews>
  <sheetFormatPr defaultRowHeight="15" x14ac:dyDescent="0.25"/>
  <cols>
    <col min="1" max="1" width="22.85546875" style="51" bestFit="1" customWidth="1"/>
    <col min="2" max="2" width="15.85546875" style="50" bestFit="1" customWidth="1"/>
    <col min="3" max="4" width="12.85546875" style="51" bestFit="1" customWidth="1"/>
    <col min="5" max="5" width="9.42578125" style="51" bestFit="1" customWidth="1"/>
    <col min="6" max="7" width="12" style="51" bestFit="1" customWidth="1"/>
    <col min="8" max="8" width="10" style="51" bestFit="1" customWidth="1"/>
    <col min="9" max="9" width="11" style="51" bestFit="1" customWidth="1"/>
    <col min="10" max="10" width="12.28515625" style="51" bestFit="1" customWidth="1"/>
    <col min="11" max="11" width="12.7109375" style="51" bestFit="1" customWidth="1"/>
    <col min="12" max="12" width="12" style="51" bestFit="1" customWidth="1"/>
    <col min="13" max="18" width="9.28515625" style="51" bestFit="1" customWidth="1"/>
    <col min="19" max="19" width="12" style="51" bestFit="1" customWidth="1"/>
    <col min="20" max="20" width="9.28515625" style="51" bestFit="1" customWidth="1"/>
    <col min="21" max="21" width="11" style="51" bestFit="1" customWidth="1"/>
    <col min="22" max="25" width="9.28515625" style="51" bestFit="1" customWidth="1"/>
    <col min="26" max="16384" width="9.140625" style="51"/>
  </cols>
  <sheetData>
    <row r="1" spans="2:25" x14ac:dyDescent="0.25">
      <c r="B1" s="50" t="s">
        <v>189</v>
      </c>
      <c r="C1" s="51">
        <v>7</v>
      </c>
    </row>
    <row r="2" spans="2:25" x14ac:dyDescent="0.25">
      <c r="B2" s="50" t="s">
        <v>190</v>
      </c>
      <c r="C2" s="51">
        <v>23</v>
      </c>
    </row>
    <row r="3" spans="2:25" x14ac:dyDescent="0.25">
      <c r="B3" s="50" t="s">
        <v>193</v>
      </c>
      <c r="C3" s="51" cm="1">
        <f t="array" ref="C3:Y3">_xlfn.SEQUENCE(1,$C$2,1,1)</f>
        <v>1</v>
      </c>
      <c r="D3" s="51">
        <v>2</v>
      </c>
      <c r="E3" s="51">
        <v>3</v>
      </c>
      <c r="F3" s="51">
        <v>4</v>
      </c>
      <c r="G3" s="51">
        <v>5</v>
      </c>
      <c r="H3" s="51">
        <v>6</v>
      </c>
      <c r="I3" s="51">
        <v>7</v>
      </c>
      <c r="J3" s="51">
        <v>8</v>
      </c>
      <c r="K3" s="51">
        <v>9</v>
      </c>
      <c r="L3" s="51">
        <v>10</v>
      </c>
      <c r="M3" s="51">
        <v>11</v>
      </c>
      <c r="N3" s="51">
        <v>12</v>
      </c>
      <c r="O3" s="51">
        <v>13</v>
      </c>
      <c r="P3" s="51">
        <v>14</v>
      </c>
      <c r="Q3" s="51">
        <v>15</v>
      </c>
      <c r="R3" s="51">
        <v>16</v>
      </c>
      <c r="S3" s="51">
        <v>17</v>
      </c>
      <c r="T3" s="51">
        <v>18</v>
      </c>
      <c r="U3" s="51">
        <v>19</v>
      </c>
      <c r="V3" s="51">
        <v>20</v>
      </c>
      <c r="W3" s="51">
        <v>21</v>
      </c>
      <c r="X3" s="51">
        <v>22</v>
      </c>
      <c r="Y3" s="51">
        <v>23</v>
      </c>
    </row>
    <row r="4" spans="2:25" x14ac:dyDescent="0.25">
      <c r="B4" s="50" t="s">
        <v>194</v>
      </c>
      <c r="C4" s="51" cm="1">
        <f t="array" ref="C4:Y4">_xlfn.SEQUENCE(1,$C$2,0,1)</f>
        <v>0</v>
      </c>
      <c r="D4" s="51">
        <v>1</v>
      </c>
      <c r="E4" s="51">
        <v>2</v>
      </c>
      <c r="F4" s="51">
        <v>3</v>
      </c>
      <c r="G4" s="51">
        <v>4</v>
      </c>
      <c r="H4" s="51">
        <v>5</v>
      </c>
      <c r="I4" s="51">
        <v>6</v>
      </c>
      <c r="J4" s="51">
        <v>7</v>
      </c>
      <c r="K4" s="51">
        <v>8</v>
      </c>
      <c r="L4" s="51">
        <v>9</v>
      </c>
      <c r="M4" s="51">
        <v>10</v>
      </c>
      <c r="N4" s="51">
        <v>11</v>
      </c>
      <c r="O4" s="51">
        <v>12</v>
      </c>
      <c r="P4" s="51">
        <v>13</v>
      </c>
      <c r="Q4" s="51">
        <v>14</v>
      </c>
      <c r="R4" s="51">
        <v>15</v>
      </c>
      <c r="S4" s="51">
        <v>16</v>
      </c>
      <c r="T4" s="51">
        <v>17</v>
      </c>
      <c r="U4" s="51">
        <v>18</v>
      </c>
      <c r="V4" s="51">
        <v>19</v>
      </c>
      <c r="W4" s="51">
        <v>20</v>
      </c>
      <c r="X4" s="51">
        <v>21</v>
      </c>
      <c r="Y4" s="51">
        <v>22</v>
      </c>
    </row>
    <row r="5" spans="2:25" x14ac:dyDescent="0.25">
      <c r="B5" s="50" t="s">
        <v>191</v>
      </c>
      <c r="C5" s="51" t="str" cm="1">
        <f t="array" aca="1" ref="C5:I5" ca="1">OFFSET(C7,0,0,1,C1)</f>
        <v>Cu</v>
      </c>
      <c r="D5" s="51" t="str">
        <f ca="1"/>
        <v>Na</v>
      </c>
      <c r="E5" s="51" t="str">
        <f ca="1"/>
        <v>Cl</v>
      </c>
      <c r="F5" s="51" t="str">
        <f ca="1"/>
        <v>H</v>
      </c>
      <c r="G5" s="51" t="str">
        <f ca="1"/>
        <v>DonnanFA</v>
      </c>
      <c r="H5" s="51" t="str">
        <f ca="1"/>
        <v>DOC-FA_1H</v>
      </c>
      <c r="I5" s="51" t="str">
        <f ca="1"/>
        <v>DOC-FA_8H</v>
      </c>
    </row>
    <row r="6" spans="2:25" x14ac:dyDescent="0.25">
      <c r="B6" s="50" t="s">
        <v>208</v>
      </c>
      <c r="C6" s="51" t="s">
        <v>209</v>
      </c>
      <c r="D6" s="51" t="s">
        <v>209</v>
      </c>
      <c r="E6" s="51" t="s">
        <v>209</v>
      </c>
      <c r="F6" s="51" t="s">
        <v>210</v>
      </c>
      <c r="G6" s="51" t="s">
        <v>211</v>
      </c>
      <c r="H6" s="51" t="s">
        <v>209</v>
      </c>
      <c r="I6" s="51" t="s">
        <v>209</v>
      </c>
    </row>
    <row r="7" spans="2:25" x14ac:dyDescent="0.25">
      <c r="B7" s="50" t="s">
        <v>188</v>
      </c>
      <c r="C7" s="51" t="s">
        <v>51</v>
      </c>
      <c r="D7" s="51" t="s">
        <v>195</v>
      </c>
      <c r="E7" s="51" t="s">
        <v>196</v>
      </c>
      <c r="F7" s="51" t="s">
        <v>33</v>
      </c>
      <c r="G7" s="51" t="s">
        <v>197</v>
      </c>
      <c r="H7" s="51" t="s">
        <v>198</v>
      </c>
      <c r="I7" s="51" t="s">
        <v>199</v>
      </c>
      <c r="J7" s="51" t="s">
        <v>200</v>
      </c>
      <c r="K7" s="51" t="s">
        <v>201</v>
      </c>
      <c r="L7" s="51" t="s">
        <v>202</v>
      </c>
      <c r="M7" s="51" t="s">
        <v>124</v>
      </c>
      <c r="N7" s="51" t="s">
        <v>125</v>
      </c>
      <c r="O7" s="51" t="s">
        <v>126</v>
      </c>
      <c r="P7" s="51" t="s">
        <v>127</v>
      </c>
      <c r="Q7" s="51" t="s">
        <v>128</v>
      </c>
      <c r="R7" s="51" t="s">
        <v>129</v>
      </c>
      <c r="S7" s="51" t="s">
        <v>130</v>
      </c>
      <c r="T7" s="51" t="s">
        <v>131</v>
      </c>
      <c r="U7" s="51" t="s">
        <v>132</v>
      </c>
      <c r="V7" s="51" t="s">
        <v>133</v>
      </c>
      <c r="W7" s="51" t="s">
        <v>134</v>
      </c>
      <c r="X7" s="51" t="s">
        <v>135</v>
      </c>
      <c r="Y7" s="51" t="s">
        <v>136</v>
      </c>
    </row>
    <row r="8" spans="2:25" x14ac:dyDescent="0.25">
      <c r="B8" s="50" t="s">
        <v>34</v>
      </c>
      <c r="C8" s="51" cm="1">
        <f t="array" aca="1" ref="C8:Y8" ca="1">LOG10(OFFSET($C$9,0,0,1,$C$2))</f>
        <v>0</v>
      </c>
      <c r="D8" s="51">
        <f ca="1"/>
        <v>0</v>
      </c>
      <c r="E8" s="51">
        <f ca="1"/>
        <v>0</v>
      </c>
      <c r="F8" s="51">
        <f ca="1"/>
        <v>0</v>
      </c>
      <c r="G8" s="51">
        <f ca="1"/>
        <v>0</v>
      </c>
      <c r="H8" s="51">
        <f ca="1"/>
        <v>0</v>
      </c>
      <c r="I8" s="51">
        <f ca="1"/>
        <v>0</v>
      </c>
      <c r="J8" s="51">
        <f ca="1"/>
        <v>-13.997000000000002</v>
      </c>
      <c r="K8" s="51">
        <f ca="1"/>
        <v>-7.52</v>
      </c>
      <c r="L8" s="51">
        <f ca="1"/>
        <v>0.4</v>
      </c>
      <c r="M8" s="51">
        <f ca="1"/>
        <v>0</v>
      </c>
      <c r="N8" s="51">
        <f ca="1"/>
        <v>0</v>
      </c>
      <c r="O8" s="51">
        <f ca="1"/>
        <v>0</v>
      </c>
      <c r="P8" s="51">
        <f ca="1"/>
        <v>0</v>
      </c>
      <c r="Q8" s="51">
        <f ca="1"/>
        <v>-13.997000000000002</v>
      </c>
      <c r="R8" s="51">
        <f ca="1"/>
        <v>-7.52</v>
      </c>
      <c r="S8" s="51">
        <f ca="1"/>
        <v>0.4</v>
      </c>
      <c r="T8" s="51">
        <f ca="1"/>
        <v>-1.5900000000000005</v>
      </c>
      <c r="U8" s="51">
        <f ca="1"/>
        <v>-12.4</v>
      </c>
      <c r="V8" s="51">
        <f ca="1"/>
        <v>-0.80000000000000093</v>
      </c>
      <c r="W8" s="51">
        <f ca="1"/>
        <v>-3.1680000000000001</v>
      </c>
      <c r="X8" s="51">
        <f ca="1"/>
        <v>-8.32</v>
      </c>
      <c r="Y8" s="51">
        <f ca="1"/>
        <v>-10.687999999999999</v>
      </c>
    </row>
    <row r="9" spans="2:25" x14ac:dyDescent="0.25">
      <c r="B9" s="50" t="s">
        <v>35</v>
      </c>
      <c r="C9" s="51">
        <v>1</v>
      </c>
      <c r="D9" s="51">
        <v>1</v>
      </c>
      <c r="E9" s="51">
        <v>1</v>
      </c>
      <c r="F9" s="51">
        <v>1</v>
      </c>
      <c r="G9" s="51">
        <v>1</v>
      </c>
      <c r="H9" s="51">
        <v>1</v>
      </c>
      <c r="I9" s="51">
        <v>1</v>
      </c>
      <c r="J9" s="51">
        <v>1.0069316688518E-14</v>
      </c>
      <c r="K9" s="51">
        <v>3.0199517204020201E-8</v>
      </c>
      <c r="L9" s="51">
        <v>2.5118864315095801</v>
      </c>
      <c r="M9" s="51">
        <v>1</v>
      </c>
      <c r="N9" s="51">
        <v>1</v>
      </c>
      <c r="O9" s="51">
        <v>1</v>
      </c>
      <c r="P9" s="51">
        <v>1</v>
      </c>
      <c r="Q9" s="51">
        <v>1.0069316688518E-14</v>
      </c>
      <c r="R9" s="51">
        <v>3.0199517204020201E-8</v>
      </c>
      <c r="S9" s="51">
        <v>2.5118864315095801</v>
      </c>
      <c r="T9" s="51">
        <v>2.5703957827688601E-2</v>
      </c>
      <c r="U9" s="51">
        <v>3.9810717055349702E-13</v>
      </c>
      <c r="V9" s="51">
        <v>0.15848931924611101</v>
      </c>
      <c r="W9" s="51">
        <v>6.7920363261718397E-4</v>
      </c>
      <c r="X9" s="51">
        <v>4.7863009232263802E-9</v>
      </c>
      <c r="Y9" s="51">
        <v>2.0511621788255701E-11</v>
      </c>
    </row>
    <row r="10" spans="2:25" x14ac:dyDescent="0.25">
      <c r="B10" s="50" t="s">
        <v>107</v>
      </c>
      <c r="C10" s="51">
        <v>2</v>
      </c>
      <c r="D10" s="51">
        <v>1</v>
      </c>
      <c r="E10" s="51">
        <v>-1</v>
      </c>
      <c r="F10" s="51">
        <v>1</v>
      </c>
      <c r="G10" s="51">
        <v>0</v>
      </c>
      <c r="H10" s="51">
        <v>0</v>
      </c>
      <c r="I10" s="51">
        <v>0</v>
      </c>
      <c r="J10" s="51">
        <v>-1</v>
      </c>
      <c r="K10" s="51">
        <v>1</v>
      </c>
      <c r="L10" s="51">
        <v>1</v>
      </c>
      <c r="M10" s="51">
        <v>2</v>
      </c>
      <c r="N10" s="51">
        <v>1</v>
      </c>
      <c r="O10" s="51">
        <v>-1</v>
      </c>
      <c r="P10" s="51">
        <v>1</v>
      </c>
      <c r="Q10" s="51">
        <v>-1</v>
      </c>
      <c r="R10" s="51">
        <v>1</v>
      </c>
      <c r="S10" s="51">
        <v>1</v>
      </c>
      <c r="T10" s="51">
        <v>-1</v>
      </c>
      <c r="U10" s="51">
        <v>-1</v>
      </c>
      <c r="V10" s="51">
        <v>1</v>
      </c>
      <c r="W10" s="51">
        <v>1</v>
      </c>
      <c r="X10" s="51">
        <v>0</v>
      </c>
      <c r="Y10" s="51">
        <v>0</v>
      </c>
    </row>
    <row r="11" spans="2:25" x14ac:dyDescent="0.25">
      <c r="B11" s="50" t="s">
        <v>203</v>
      </c>
      <c r="C11" s="51" t="s">
        <v>204</v>
      </c>
      <c r="D11" s="51" t="s">
        <v>204</v>
      </c>
      <c r="E11" s="51" t="s">
        <v>204</v>
      </c>
      <c r="F11" s="51" t="s">
        <v>204</v>
      </c>
      <c r="G11" s="51" t="s">
        <v>197</v>
      </c>
      <c r="H11" s="51" t="s">
        <v>205</v>
      </c>
      <c r="I11" s="51" t="s">
        <v>205</v>
      </c>
      <c r="J11" s="51" t="s">
        <v>204</v>
      </c>
      <c r="K11" s="51" t="s">
        <v>204</v>
      </c>
      <c r="L11" s="51" t="s">
        <v>204</v>
      </c>
      <c r="M11" s="51" t="s">
        <v>197</v>
      </c>
      <c r="N11" s="51" t="s">
        <v>197</v>
      </c>
      <c r="O11" s="51" t="s">
        <v>197</v>
      </c>
      <c r="P11" s="51" t="s">
        <v>197</v>
      </c>
      <c r="Q11" s="51" t="s">
        <v>197</v>
      </c>
      <c r="R11" s="51" t="s">
        <v>197</v>
      </c>
      <c r="S11" s="51" t="s">
        <v>197</v>
      </c>
      <c r="T11" s="51" t="s">
        <v>205</v>
      </c>
      <c r="U11" s="51" t="s">
        <v>205</v>
      </c>
      <c r="V11" s="51" t="s">
        <v>205</v>
      </c>
      <c r="W11" s="51" t="s">
        <v>205</v>
      </c>
      <c r="X11" s="51" t="s">
        <v>205</v>
      </c>
      <c r="Y11" s="51" t="s">
        <v>205</v>
      </c>
    </row>
    <row r="12" spans="2:25" x14ac:dyDescent="0.25">
      <c r="B12" s="50" t="s">
        <v>206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0</v>
      </c>
      <c r="J12" s="51">
        <v>-55810</v>
      </c>
      <c r="K12" s="51">
        <v>50200</v>
      </c>
      <c r="L12" s="51">
        <v>8300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</row>
    <row r="13" spans="2:25" x14ac:dyDescent="0.25">
      <c r="B13" s="50" t="s">
        <v>207</v>
      </c>
      <c r="C13" s="51">
        <f>$C$17</f>
        <v>288.14999999999998</v>
      </c>
      <c r="D13" s="51">
        <f>$C$17</f>
        <v>288.14999999999998</v>
      </c>
      <c r="E13" s="51">
        <f>$C$17</f>
        <v>288.14999999999998</v>
      </c>
      <c r="F13" s="51">
        <f>$C$17</f>
        <v>288.14999999999998</v>
      </c>
      <c r="G13" s="51">
        <v>298.14999999999998</v>
      </c>
      <c r="H13" s="51">
        <v>298.14999999999998</v>
      </c>
      <c r="I13" s="51">
        <v>298.14999999999998</v>
      </c>
      <c r="J13" s="51">
        <v>298.14999999999998</v>
      </c>
      <c r="K13" s="51">
        <v>298.14999999999998</v>
      </c>
      <c r="L13" s="51">
        <v>298.14999999999998</v>
      </c>
      <c r="M13" s="51">
        <v>298.14999999999998</v>
      </c>
      <c r="N13" s="51">
        <v>298.14999999999998</v>
      </c>
      <c r="O13" s="51">
        <v>298.14999999999998</v>
      </c>
      <c r="P13" s="51">
        <v>298.14999999999998</v>
      </c>
      <c r="Q13" s="51">
        <v>298.14999999999998</v>
      </c>
      <c r="R13" s="51">
        <v>298.14999999999998</v>
      </c>
      <c r="S13" s="51">
        <v>298.14999999999998</v>
      </c>
      <c r="T13" s="51">
        <v>298.14999999999998</v>
      </c>
      <c r="U13" s="51">
        <v>298.14999999999998</v>
      </c>
      <c r="V13" s="51">
        <v>298.14999999999998</v>
      </c>
      <c r="W13" s="51">
        <v>298.14999999999998</v>
      </c>
      <c r="X13" s="51">
        <v>298.14999999999998</v>
      </c>
      <c r="Y13" s="51">
        <v>298.14999999999998</v>
      </c>
    </row>
    <row r="14" spans="2:25" x14ac:dyDescent="0.25">
      <c r="B14" s="50" t="s">
        <v>150</v>
      </c>
      <c r="C14" s="51">
        <v>1</v>
      </c>
      <c r="D14" s="51">
        <v>1</v>
      </c>
      <c r="E14" s="51">
        <v>1</v>
      </c>
      <c r="F14" s="51">
        <v>1</v>
      </c>
      <c r="G14" s="51">
        <v>1</v>
      </c>
      <c r="H14" s="51">
        <v>1</v>
      </c>
      <c r="I14" s="51">
        <v>1</v>
      </c>
      <c r="J14" s="51">
        <v>1</v>
      </c>
      <c r="K14" s="51">
        <v>1</v>
      </c>
      <c r="L14" s="51">
        <v>1</v>
      </c>
      <c r="M14" s="51">
        <v>1</v>
      </c>
      <c r="N14" s="51">
        <v>1</v>
      </c>
      <c r="O14" s="51">
        <v>1</v>
      </c>
      <c r="P14" s="51">
        <v>1</v>
      </c>
      <c r="Q14" s="51">
        <v>1</v>
      </c>
      <c r="R14" s="51">
        <v>1</v>
      </c>
      <c r="S14" s="51">
        <v>1</v>
      </c>
      <c r="T14" s="51">
        <v>1</v>
      </c>
      <c r="U14" s="51">
        <v>1</v>
      </c>
      <c r="V14" s="51">
        <v>1</v>
      </c>
      <c r="W14" s="51">
        <v>1</v>
      </c>
      <c r="X14" s="51">
        <v>1</v>
      </c>
      <c r="Y14" s="51">
        <v>1</v>
      </c>
    </row>
    <row r="15" spans="2:25" x14ac:dyDescent="0.25">
      <c r="B15" s="50" t="s">
        <v>105</v>
      </c>
      <c r="C15" s="51">
        <v>9.9999999999999995E-7</v>
      </c>
      <c r="D15" s="51">
        <v>1E-3</v>
      </c>
      <c r="E15" s="51">
        <v>2.9999999999999997E-4</v>
      </c>
      <c r="F15" s="51">
        <v>2.6915348039269101E-8</v>
      </c>
      <c r="G15" s="51">
        <v>1</v>
      </c>
      <c r="H15" s="51">
        <v>7.0949999999999997E-8</v>
      </c>
      <c r="I15" s="51">
        <v>3.5474999999999998E-8</v>
      </c>
    </row>
    <row r="17" spans="2:19" x14ac:dyDescent="0.25">
      <c r="B17" s="50" t="s">
        <v>219</v>
      </c>
      <c r="C17" s="51">
        <v>288.14999999999998</v>
      </c>
    </row>
    <row r="18" spans="2:19" x14ac:dyDescent="0.25">
      <c r="B18" s="50" t="s">
        <v>212</v>
      </c>
      <c r="C18" s="51">
        <v>1</v>
      </c>
    </row>
    <row r="19" spans="2:19" x14ac:dyDescent="0.25">
      <c r="B19" s="50" t="s">
        <v>217</v>
      </c>
      <c r="C19" s="51">
        <v>0.25</v>
      </c>
    </row>
    <row r="20" spans="2:19" x14ac:dyDescent="0.25">
      <c r="B20" s="50" t="s">
        <v>218</v>
      </c>
      <c r="C20" s="51">
        <v>1000</v>
      </c>
    </row>
    <row r="22" spans="2:19" x14ac:dyDescent="0.25">
      <c r="C22" s="51" t="s">
        <v>220</v>
      </c>
      <c r="D22" s="51" t="s">
        <v>221</v>
      </c>
    </row>
    <row r="23" spans="2:19" x14ac:dyDescent="0.25">
      <c r="B23" s="50" t="s">
        <v>213</v>
      </c>
      <c r="C23" s="51">
        <v>0</v>
      </c>
      <c r="D23" s="51">
        <v>1.06425E-7</v>
      </c>
    </row>
    <row r="24" spans="2:19" x14ac:dyDescent="0.25">
      <c r="B24" s="50" t="s">
        <v>214</v>
      </c>
      <c r="C24" s="51">
        <v>15000</v>
      </c>
      <c r="D24" s="51">
        <v>1500</v>
      </c>
    </row>
    <row r="25" spans="2:19" x14ac:dyDescent="0.25">
      <c r="B25" s="50" t="s">
        <v>215</v>
      </c>
      <c r="C25" s="51">
        <v>1.7200000000000001E-9</v>
      </c>
      <c r="D25" s="51">
        <v>8.0000000000000003E-10</v>
      </c>
    </row>
    <row r="26" spans="2:19" x14ac:dyDescent="0.25">
      <c r="B26" s="50" t="s">
        <v>216</v>
      </c>
      <c r="C26" s="51">
        <v>-374</v>
      </c>
      <c r="D26" s="51">
        <v>-103</v>
      </c>
    </row>
    <row r="27" spans="2:19" x14ac:dyDescent="0.25">
      <c r="B27" s="51"/>
    </row>
    <row r="28" spans="2:19" x14ac:dyDescent="0.25">
      <c r="B28" s="50" t="s">
        <v>192</v>
      </c>
      <c r="C28" s="51" t="s">
        <v>51</v>
      </c>
      <c r="D28" s="51" t="s">
        <v>195</v>
      </c>
      <c r="E28" s="51" t="s">
        <v>196</v>
      </c>
      <c r="F28" s="51" t="s">
        <v>33</v>
      </c>
      <c r="G28" s="51" t="s">
        <v>197</v>
      </c>
      <c r="H28" s="51" t="s">
        <v>198</v>
      </c>
      <c r="I28" s="51" t="s">
        <v>199</v>
      </c>
    </row>
    <row r="29" spans="2:19" x14ac:dyDescent="0.25">
      <c r="B29" s="51" t="s">
        <v>51</v>
      </c>
      <c r="C29" s="51">
        <v>1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K29" s="51" cm="1">
        <f t="array" aca="1" ref="K29:Q29" ca="1">_xlfn.ANCHORARRAY($C$62)^C29:I29</f>
        <v>2.1893808081729881E-7</v>
      </c>
      <c r="L29" s="51">
        <f ca="1"/>
        <v>1</v>
      </c>
      <c r="M29" s="51">
        <f ca="1"/>
        <v>1</v>
      </c>
      <c r="N29" s="51">
        <f ca="1"/>
        <v>1</v>
      </c>
      <c r="O29" s="51">
        <f ca="1"/>
        <v>1</v>
      </c>
      <c r="P29" s="51">
        <f ca="1"/>
        <v>1</v>
      </c>
      <c r="Q29" s="51">
        <f ca="1"/>
        <v>1</v>
      </c>
      <c r="S29" s="51">
        <f ca="1">PRODUCT(_xlfn.ANCHORARRAY(K29))</f>
        <v>2.1893808081729881E-7</v>
      </c>
    </row>
    <row r="30" spans="2:19" x14ac:dyDescent="0.25">
      <c r="B30" s="51" t="s">
        <v>195</v>
      </c>
      <c r="C30" s="51">
        <v>0</v>
      </c>
      <c r="D30" s="51">
        <v>1</v>
      </c>
      <c r="E30" s="51">
        <v>0</v>
      </c>
      <c r="F30" s="51">
        <v>0</v>
      </c>
      <c r="G30" s="51">
        <v>0</v>
      </c>
      <c r="H30" s="51">
        <v>0</v>
      </c>
      <c r="I30" s="51">
        <v>0</v>
      </c>
      <c r="K30" s="51" cm="1">
        <f t="array" aca="1" ref="K30:Q30" ca="1">_xlfn.ANCHORARRAY($C$62)^C30:I30</f>
        <v>1</v>
      </c>
      <c r="L30" s="51">
        <f ca="1"/>
        <v>5.0000000000000001E-4</v>
      </c>
      <c r="M30" s="51">
        <f ca="1"/>
        <v>1</v>
      </c>
      <c r="N30" s="51">
        <f ca="1"/>
        <v>1</v>
      </c>
      <c r="O30" s="51">
        <f ca="1"/>
        <v>1</v>
      </c>
      <c r="P30" s="51">
        <f ca="1"/>
        <v>1</v>
      </c>
      <c r="Q30" s="51">
        <f ca="1"/>
        <v>1</v>
      </c>
      <c r="S30" s="51">
        <f t="shared" ref="S30:S51" ca="1" si="0">PRODUCT(_xlfn.ANCHORARRAY(K30))</f>
        <v>5.0000000000000001E-4</v>
      </c>
    </row>
    <row r="31" spans="2:19" x14ac:dyDescent="0.25">
      <c r="B31" s="51" t="s">
        <v>196</v>
      </c>
      <c r="C31" s="51">
        <v>0</v>
      </c>
      <c r="D31" s="51">
        <v>0</v>
      </c>
      <c r="E31" s="51">
        <v>1</v>
      </c>
      <c r="F31" s="51">
        <v>0</v>
      </c>
      <c r="G31" s="51">
        <v>0</v>
      </c>
      <c r="H31" s="51">
        <v>0</v>
      </c>
      <c r="I31" s="51">
        <v>0</v>
      </c>
      <c r="K31" s="51" cm="1">
        <f t="array" aca="1" ref="K31:Q31" ca="1">_xlfn.ANCHORARRAY($C$62)^C31:I31</f>
        <v>1</v>
      </c>
      <c r="L31" s="51">
        <f ca="1"/>
        <v>1</v>
      </c>
      <c r="M31" s="51">
        <f ca="1"/>
        <v>2.9999857554476478E-4</v>
      </c>
      <c r="N31" s="51">
        <f ca="1"/>
        <v>1</v>
      </c>
      <c r="O31" s="51">
        <f ca="1"/>
        <v>1</v>
      </c>
      <c r="P31" s="51">
        <f ca="1"/>
        <v>1</v>
      </c>
      <c r="Q31" s="51">
        <f ca="1"/>
        <v>1</v>
      </c>
      <c r="S31" s="51">
        <f t="shared" ca="1" si="0"/>
        <v>2.9999857554476478E-4</v>
      </c>
    </row>
    <row r="32" spans="2:19" x14ac:dyDescent="0.25">
      <c r="B32" s="51" t="s">
        <v>33</v>
      </c>
      <c r="C32" s="51">
        <v>0</v>
      </c>
      <c r="D32" s="51">
        <v>0</v>
      </c>
      <c r="E32" s="51">
        <v>0</v>
      </c>
      <c r="F32" s="51">
        <v>1</v>
      </c>
      <c r="G32" s="51">
        <v>0</v>
      </c>
      <c r="H32" s="51">
        <v>0</v>
      </c>
      <c r="I32" s="51">
        <v>0</v>
      </c>
      <c r="K32" s="51" cm="1">
        <f t="array" aca="1" ref="K32:Q32" ca="1">_xlfn.ANCHORARRAY($C$62)^C32:I32</f>
        <v>1</v>
      </c>
      <c r="L32" s="51">
        <f ca="1"/>
        <v>1</v>
      </c>
      <c r="M32" s="51">
        <f ca="1"/>
        <v>1</v>
      </c>
      <c r="N32" s="51">
        <f ca="1"/>
        <v>2.6915348039269101E-8</v>
      </c>
      <c r="O32" s="51">
        <f ca="1"/>
        <v>1</v>
      </c>
      <c r="P32" s="51">
        <f ca="1"/>
        <v>1</v>
      </c>
      <c r="Q32" s="51">
        <f ca="1"/>
        <v>1</v>
      </c>
      <c r="S32" s="51">
        <f t="shared" ca="1" si="0"/>
        <v>2.6915348039269101E-8</v>
      </c>
    </row>
    <row r="33" spans="2:19" x14ac:dyDescent="0.25">
      <c r="B33" s="51" t="s">
        <v>197</v>
      </c>
      <c r="C33" s="51">
        <v>0</v>
      </c>
      <c r="D33" s="51">
        <v>0</v>
      </c>
      <c r="E33" s="51">
        <v>0</v>
      </c>
      <c r="F33" s="51">
        <v>0</v>
      </c>
      <c r="G33" s="58">
        <v>0</v>
      </c>
      <c r="H33" s="51">
        <v>0</v>
      </c>
      <c r="I33" s="51">
        <v>0</v>
      </c>
      <c r="K33" s="51" cm="1">
        <f t="array" aca="1" ref="K33:Q33" ca="1">_xlfn.ANCHORARRAY($C$62)^C33:I33</f>
        <v>1</v>
      </c>
      <c r="L33" s="51">
        <f ca="1"/>
        <v>1</v>
      </c>
      <c r="M33" s="51">
        <f ca="1"/>
        <v>1</v>
      </c>
      <c r="N33" s="51">
        <f ca="1"/>
        <v>1</v>
      </c>
      <c r="O33" s="51">
        <f ca="1"/>
        <v>1</v>
      </c>
      <c r="P33" s="51">
        <f ca="1"/>
        <v>1</v>
      </c>
      <c r="Q33" s="51">
        <f ca="1"/>
        <v>1</v>
      </c>
      <c r="S33" s="51">
        <f t="shared" ca="1" si="0"/>
        <v>1</v>
      </c>
    </row>
    <row r="34" spans="2:19" x14ac:dyDescent="0.25">
      <c r="B34" s="51" t="s">
        <v>198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1</v>
      </c>
      <c r="I34" s="51">
        <v>0</v>
      </c>
      <c r="K34" s="51" cm="1">
        <f t="array" aca="1" ref="K34:Q34" ca="1">_xlfn.ANCHORARRAY($C$62)^C34:I34</f>
        <v>1</v>
      </c>
      <c r="L34" s="51">
        <f ca="1"/>
        <v>1</v>
      </c>
      <c r="M34" s="51">
        <f ca="1"/>
        <v>1</v>
      </c>
      <c r="N34" s="51">
        <f ca="1"/>
        <v>1</v>
      </c>
      <c r="O34" s="51">
        <f ca="1"/>
        <v>1</v>
      </c>
      <c r="P34" s="51">
        <f ca="1"/>
        <v>7.429272062493005E-14</v>
      </c>
      <c r="Q34" s="51">
        <f ca="1"/>
        <v>1</v>
      </c>
      <c r="S34" s="51">
        <f t="shared" ca="1" si="0"/>
        <v>7.429272062493005E-14</v>
      </c>
    </row>
    <row r="35" spans="2:19" x14ac:dyDescent="0.25">
      <c r="B35" s="51" t="s">
        <v>199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1</v>
      </c>
      <c r="K35" s="51" cm="1">
        <f t="array" aca="1" ref="K35:Q35" ca="1">_xlfn.ANCHORARRAY($C$62)^C35:I35</f>
        <v>1</v>
      </c>
      <c r="L35" s="51">
        <f ca="1"/>
        <v>1</v>
      </c>
      <c r="M35" s="51">
        <f ca="1"/>
        <v>1</v>
      </c>
      <c r="N35" s="51">
        <f ca="1"/>
        <v>1</v>
      </c>
      <c r="O35" s="51">
        <f ca="1"/>
        <v>1</v>
      </c>
      <c r="P35" s="51">
        <f ca="1"/>
        <v>1</v>
      </c>
      <c r="Q35" s="51">
        <f ca="1"/>
        <v>3.367143923275514E-8</v>
      </c>
      <c r="S35" s="51">
        <f t="shared" ca="1" si="0"/>
        <v>3.367143923275514E-8</v>
      </c>
    </row>
    <row r="36" spans="2:19" x14ac:dyDescent="0.25">
      <c r="B36" s="51" t="s">
        <v>200</v>
      </c>
      <c r="C36" s="51">
        <v>0</v>
      </c>
      <c r="D36" s="51">
        <v>0</v>
      </c>
      <c r="E36" s="51">
        <v>0</v>
      </c>
      <c r="F36" s="51">
        <v>-1</v>
      </c>
      <c r="G36" s="51">
        <v>0</v>
      </c>
      <c r="H36" s="51">
        <v>0</v>
      </c>
      <c r="I36" s="51">
        <v>0</v>
      </c>
      <c r="K36" s="51" cm="1">
        <f t="array" aca="1" ref="K36:Q36" ca="1">_xlfn.ANCHORARRAY($C$62)^C36:I36</f>
        <v>1</v>
      </c>
      <c r="L36" s="51">
        <f ca="1"/>
        <v>1</v>
      </c>
      <c r="M36" s="51">
        <f ca="1"/>
        <v>1</v>
      </c>
      <c r="N36" s="51">
        <f ca="1"/>
        <v>37153522.909717329</v>
      </c>
      <c r="O36" s="51">
        <f ca="1"/>
        <v>1</v>
      </c>
      <c r="P36" s="51">
        <f ca="1"/>
        <v>1</v>
      </c>
      <c r="Q36" s="51">
        <f ca="1"/>
        <v>1</v>
      </c>
      <c r="S36" s="51">
        <f t="shared" ca="1" si="0"/>
        <v>37153522.909717329</v>
      </c>
    </row>
    <row r="37" spans="2:19" x14ac:dyDescent="0.25">
      <c r="B37" s="51" t="s">
        <v>201</v>
      </c>
      <c r="C37" s="51">
        <v>1</v>
      </c>
      <c r="D37" s="51">
        <v>0</v>
      </c>
      <c r="E37" s="51">
        <v>0</v>
      </c>
      <c r="F37" s="51">
        <v>-1</v>
      </c>
      <c r="G37" s="51">
        <v>0</v>
      </c>
      <c r="H37" s="51">
        <v>0</v>
      </c>
      <c r="I37" s="51">
        <v>0</v>
      </c>
      <c r="K37" s="51" cm="1">
        <f t="array" aca="1" ref="K37:Q37" ca="1">_xlfn.ANCHORARRAY($C$62)^C37:I37</f>
        <v>2.1893808081729881E-7</v>
      </c>
      <c r="L37" s="51">
        <f ca="1"/>
        <v>1</v>
      </c>
      <c r="M37" s="51">
        <f ca="1"/>
        <v>1</v>
      </c>
      <c r="N37" s="51">
        <f ca="1"/>
        <v>37153522.909717329</v>
      </c>
      <c r="O37" s="51">
        <f ca="1"/>
        <v>1</v>
      </c>
      <c r="P37" s="51">
        <f ca="1"/>
        <v>1</v>
      </c>
      <c r="Q37" s="51">
        <f ca="1"/>
        <v>1</v>
      </c>
      <c r="S37" s="51">
        <f t="shared" ca="1" si="0"/>
        <v>8.1343210014550547</v>
      </c>
    </row>
    <row r="38" spans="2:19" x14ac:dyDescent="0.25">
      <c r="B38" s="51" t="s">
        <v>202</v>
      </c>
      <c r="C38" s="51">
        <v>1</v>
      </c>
      <c r="D38" s="51">
        <v>0</v>
      </c>
      <c r="E38" s="51">
        <v>1</v>
      </c>
      <c r="F38" s="51">
        <v>0</v>
      </c>
      <c r="G38" s="51">
        <v>0</v>
      </c>
      <c r="H38" s="51">
        <v>0</v>
      </c>
      <c r="I38" s="51">
        <v>0</v>
      </c>
      <c r="K38" s="51" cm="1">
        <f t="array" aca="1" ref="K38:Q38" ca="1">_xlfn.ANCHORARRAY($C$62)^C38:I38</f>
        <v>2.1893808081729881E-7</v>
      </c>
      <c r="L38" s="51">
        <f ca="1"/>
        <v>1</v>
      </c>
      <c r="M38" s="51">
        <f ca="1"/>
        <v>2.9999857554476478E-4</v>
      </c>
      <c r="N38" s="51">
        <f ca="1"/>
        <v>1</v>
      </c>
      <c r="O38" s="51">
        <f ca="1"/>
        <v>1</v>
      </c>
      <c r="P38" s="51">
        <f ca="1"/>
        <v>1</v>
      </c>
      <c r="Q38" s="51">
        <f ca="1"/>
        <v>1</v>
      </c>
      <c r="S38" s="51">
        <f t="shared" ca="1" si="0"/>
        <v>6.568111237769423E-11</v>
      </c>
    </row>
    <row r="39" spans="2:19" x14ac:dyDescent="0.25">
      <c r="B39" s="51" t="s">
        <v>124</v>
      </c>
      <c r="C39" s="51">
        <v>1</v>
      </c>
      <c r="D39" s="51">
        <v>0</v>
      </c>
      <c r="E39" s="51">
        <v>0</v>
      </c>
      <c r="F39" s="51">
        <v>0</v>
      </c>
      <c r="G39" s="51">
        <v>2</v>
      </c>
      <c r="H39" s="51">
        <v>0</v>
      </c>
      <c r="I39" s="51">
        <v>0</v>
      </c>
      <c r="K39" s="51" cm="1">
        <f t="array" aca="1" ref="K39:Q39" ca="1">_xlfn.ANCHORARRAY($C$62)^C39:I39</f>
        <v>2.1893808081729881E-7</v>
      </c>
      <c r="L39" s="51">
        <f ca="1"/>
        <v>1</v>
      </c>
      <c r="M39" s="51">
        <f ca="1"/>
        <v>1</v>
      </c>
      <c r="N39" s="51">
        <f ca="1"/>
        <v>1</v>
      </c>
      <c r="O39" s="51">
        <f ca="1"/>
        <v>4562.1330632233794</v>
      </c>
      <c r="P39" s="51">
        <f ca="1"/>
        <v>1</v>
      </c>
      <c r="Q39" s="51">
        <f ca="1"/>
        <v>1</v>
      </c>
      <c r="S39" s="51">
        <f t="shared" ca="1" si="0"/>
        <v>9.988246572952711E-4</v>
      </c>
    </row>
    <row r="40" spans="2:19" x14ac:dyDescent="0.25">
      <c r="B40" s="51" t="s">
        <v>125</v>
      </c>
      <c r="C40" s="51">
        <v>0</v>
      </c>
      <c r="D40" s="51">
        <v>1</v>
      </c>
      <c r="E40" s="51">
        <v>0</v>
      </c>
      <c r="F40" s="51">
        <v>0</v>
      </c>
      <c r="G40" s="51">
        <v>1</v>
      </c>
      <c r="H40" s="51">
        <v>0</v>
      </c>
      <c r="I40" s="51">
        <v>0</v>
      </c>
      <c r="K40" s="51" cm="1">
        <f t="array" aca="1" ref="K40:Q40" ca="1">_xlfn.ANCHORARRAY($C$62)^C40:I40</f>
        <v>1</v>
      </c>
      <c r="L40" s="51">
        <f ca="1"/>
        <v>5.0000000000000001E-4</v>
      </c>
      <c r="M40" s="51">
        <f ca="1"/>
        <v>1</v>
      </c>
      <c r="N40" s="51">
        <f ca="1"/>
        <v>1</v>
      </c>
      <c r="O40" s="51">
        <f ca="1"/>
        <v>67.543564188036299</v>
      </c>
      <c r="P40" s="51">
        <f ca="1"/>
        <v>1</v>
      </c>
      <c r="Q40" s="51">
        <f ca="1"/>
        <v>1</v>
      </c>
      <c r="S40" s="51">
        <f t="shared" ca="1" si="0"/>
        <v>3.3771782094018148E-2</v>
      </c>
    </row>
    <row r="41" spans="2:19" x14ac:dyDescent="0.25">
      <c r="B41" s="51" t="s">
        <v>126</v>
      </c>
      <c r="C41" s="51">
        <v>0</v>
      </c>
      <c r="D41" s="51">
        <v>0</v>
      </c>
      <c r="E41" s="51">
        <v>1</v>
      </c>
      <c r="F41" s="51">
        <v>0</v>
      </c>
      <c r="G41" s="51">
        <v>1</v>
      </c>
      <c r="H41" s="51">
        <v>0</v>
      </c>
      <c r="I41" s="51">
        <v>0</v>
      </c>
      <c r="K41" s="51" cm="1">
        <f t="array" aca="1" ref="K41:Q41" ca="1">_xlfn.ANCHORARRAY($C$62)^C41:I41</f>
        <v>1</v>
      </c>
      <c r="L41" s="51">
        <f ca="1"/>
        <v>1</v>
      </c>
      <c r="M41" s="51">
        <f ca="1"/>
        <v>2.9999857554476478E-4</v>
      </c>
      <c r="N41" s="51">
        <f ca="1"/>
        <v>1</v>
      </c>
      <c r="O41" s="51">
        <f ca="1"/>
        <v>67.543564188036299</v>
      </c>
      <c r="P41" s="51">
        <f ca="1"/>
        <v>1</v>
      </c>
      <c r="Q41" s="51">
        <f ca="1"/>
        <v>1</v>
      </c>
      <c r="S41" s="51">
        <f t="shared" ca="1" si="0"/>
        <v>2.0262973043627275E-2</v>
      </c>
    </row>
    <row r="42" spans="2:19" x14ac:dyDescent="0.25">
      <c r="B42" s="51" t="s">
        <v>127</v>
      </c>
      <c r="C42" s="51">
        <v>0</v>
      </c>
      <c r="D42" s="51">
        <v>0</v>
      </c>
      <c r="E42" s="51">
        <v>0</v>
      </c>
      <c r="F42" s="51">
        <v>1</v>
      </c>
      <c r="G42" s="51">
        <v>1</v>
      </c>
      <c r="H42" s="51">
        <v>0</v>
      </c>
      <c r="I42" s="51">
        <v>0</v>
      </c>
      <c r="K42" s="51" cm="1">
        <f t="array" aca="1" ref="K42:Q42" ca="1">_xlfn.ANCHORARRAY($C$62)^C42:I42</f>
        <v>1</v>
      </c>
      <c r="L42" s="51">
        <f ca="1"/>
        <v>1</v>
      </c>
      <c r="M42" s="51">
        <f ca="1"/>
        <v>1</v>
      </c>
      <c r="N42" s="51">
        <f ca="1"/>
        <v>2.6915348039269101E-8</v>
      </c>
      <c r="O42" s="51">
        <f ca="1"/>
        <v>67.543564188036299</v>
      </c>
      <c r="P42" s="51">
        <f ca="1"/>
        <v>1</v>
      </c>
      <c r="Q42" s="51">
        <f ca="1"/>
        <v>1</v>
      </c>
      <c r="S42" s="51">
        <f t="shared" ca="1" si="0"/>
        <v>1.8179585379337095E-6</v>
      </c>
    </row>
    <row r="43" spans="2:19" x14ac:dyDescent="0.25">
      <c r="B43" s="51" t="s">
        <v>128</v>
      </c>
      <c r="C43" s="51">
        <v>0</v>
      </c>
      <c r="D43" s="51">
        <v>0</v>
      </c>
      <c r="E43" s="51">
        <v>0</v>
      </c>
      <c r="F43" s="51">
        <v>-1</v>
      </c>
      <c r="G43" s="51">
        <v>1</v>
      </c>
      <c r="H43" s="51">
        <v>0</v>
      </c>
      <c r="I43" s="51">
        <v>0</v>
      </c>
      <c r="K43" s="51" cm="1">
        <f t="array" aca="1" ref="K43:Q43" ca="1">_xlfn.ANCHORARRAY($C$62)^C43:I43</f>
        <v>1</v>
      </c>
      <c r="L43" s="51">
        <f ca="1"/>
        <v>1</v>
      </c>
      <c r="M43" s="51">
        <f ca="1"/>
        <v>1</v>
      </c>
      <c r="N43" s="51">
        <f ca="1"/>
        <v>37153522.909717329</v>
      </c>
      <c r="O43" s="51">
        <f ca="1"/>
        <v>67.543564188036299</v>
      </c>
      <c r="P43" s="51">
        <f ca="1"/>
        <v>1</v>
      </c>
      <c r="Q43" s="51">
        <f ca="1"/>
        <v>1</v>
      </c>
      <c r="S43" s="51">
        <f t="shared" ca="1" si="0"/>
        <v>2509481359.4641695</v>
      </c>
    </row>
    <row r="44" spans="2:19" x14ac:dyDescent="0.25">
      <c r="B44" s="51" t="s">
        <v>129</v>
      </c>
      <c r="C44" s="51">
        <v>1</v>
      </c>
      <c r="D44" s="51">
        <v>0</v>
      </c>
      <c r="E44" s="51">
        <v>0</v>
      </c>
      <c r="F44" s="51">
        <v>-1</v>
      </c>
      <c r="G44" s="51">
        <v>1</v>
      </c>
      <c r="H44" s="51">
        <v>0</v>
      </c>
      <c r="I44" s="51">
        <v>0</v>
      </c>
      <c r="K44" s="51" cm="1">
        <f t="array" aca="1" ref="K44:Q44" ca="1">_xlfn.ANCHORARRAY($C$62)^C44:I44</f>
        <v>2.1893808081729881E-7</v>
      </c>
      <c r="L44" s="51">
        <f ca="1"/>
        <v>1</v>
      </c>
      <c r="M44" s="51">
        <f ca="1"/>
        <v>1</v>
      </c>
      <c r="N44" s="51">
        <f ca="1"/>
        <v>37153522.909717329</v>
      </c>
      <c r="O44" s="51">
        <f ca="1"/>
        <v>67.543564188036299</v>
      </c>
      <c r="P44" s="51">
        <f ca="1"/>
        <v>1</v>
      </c>
      <c r="Q44" s="51">
        <f ca="1"/>
        <v>1</v>
      </c>
      <c r="S44" s="51">
        <f t="shared" ca="1" si="0"/>
        <v>549.42103268787116</v>
      </c>
    </row>
    <row r="45" spans="2:19" x14ac:dyDescent="0.25">
      <c r="B45" s="51" t="s">
        <v>130</v>
      </c>
      <c r="C45" s="51">
        <v>1</v>
      </c>
      <c r="D45" s="51">
        <v>0</v>
      </c>
      <c r="E45" s="51">
        <v>1</v>
      </c>
      <c r="F45" s="51">
        <v>0</v>
      </c>
      <c r="G45" s="51">
        <v>1</v>
      </c>
      <c r="H45" s="51">
        <v>0</v>
      </c>
      <c r="I45" s="51">
        <v>0</v>
      </c>
      <c r="K45" s="51" cm="1">
        <f t="array" aca="1" ref="K45:Q45" ca="1">_xlfn.ANCHORARRAY($C$62)^C45:I45</f>
        <v>2.1893808081729881E-7</v>
      </c>
      <c r="L45" s="51">
        <f ca="1"/>
        <v>1</v>
      </c>
      <c r="M45" s="51">
        <f ca="1"/>
        <v>2.9999857554476478E-4</v>
      </c>
      <c r="N45" s="51">
        <f ca="1"/>
        <v>1</v>
      </c>
      <c r="O45" s="51">
        <f ca="1"/>
        <v>67.543564188036299</v>
      </c>
      <c r="P45" s="51">
        <f ca="1"/>
        <v>1</v>
      </c>
      <c r="Q45" s="51">
        <f ca="1"/>
        <v>1</v>
      </c>
      <c r="S45" s="51">
        <f t="shared" ca="1" si="0"/>
        <v>4.4363364298244161E-9</v>
      </c>
    </row>
    <row r="46" spans="2:19" x14ac:dyDescent="0.25">
      <c r="B46" s="51" t="s">
        <v>131</v>
      </c>
      <c r="C46" s="51">
        <v>0</v>
      </c>
      <c r="D46" s="51">
        <v>0</v>
      </c>
      <c r="E46" s="51">
        <v>0</v>
      </c>
      <c r="F46" s="51">
        <v>-1</v>
      </c>
      <c r="G46" s="51">
        <v>0</v>
      </c>
      <c r="H46" s="51">
        <v>1</v>
      </c>
      <c r="I46" s="51">
        <v>0</v>
      </c>
      <c r="K46" s="51" cm="1">
        <f t="array" aca="1" ref="K46:Q46" ca="1">_xlfn.ANCHORARRAY($C$62)^C46:I46</f>
        <v>1</v>
      </c>
      <c r="L46" s="51">
        <f ca="1"/>
        <v>1</v>
      </c>
      <c r="M46" s="51">
        <f ca="1"/>
        <v>1</v>
      </c>
      <c r="N46" s="51">
        <f ca="1"/>
        <v>37153522.909717329</v>
      </c>
      <c r="O46" s="51">
        <f ca="1"/>
        <v>1</v>
      </c>
      <c r="P46" s="51">
        <f ca="1"/>
        <v>7.429272062493005E-14</v>
      </c>
      <c r="Q46" s="51">
        <f ca="1"/>
        <v>1</v>
      </c>
      <c r="S46" s="51">
        <f t="shared" ca="1" si="0"/>
        <v>2.7602362977635677E-6</v>
      </c>
    </row>
    <row r="47" spans="2:19" x14ac:dyDescent="0.25">
      <c r="B47" s="51" t="s">
        <v>132</v>
      </c>
      <c r="C47" s="51">
        <v>0</v>
      </c>
      <c r="D47" s="51">
        <v>0</v>
      </c>
      <c r="E47" s="51">
        <v>0</v>
      </c>
      <c r="F47" s="51">
        <v>-1</v>
      </c>
      <c r="G47" s="51">
        <v>0</v>
      </c>
      <c r="H47" s="51">
        <v>0</v>
      </c>
      <c r="I47" s="51">
        <v>1</v>
      </c>
      <c r="K47" s="51" cm="1">
        <f t="array" aca="1" ref="K47:Q47" ca="1">_xlfn.ANCHORARRAY($C$62)^C47:I47</f>
        <v>1</v>
      </c>
      <c r="L47" s="51">
        <f ca="1"/>
        <v>1</v>
      </c>
      <c r="M47" s="51">
        <f ca="1"/>
        <v>1</v>
      </c>
      <c r="N47" s="51">
        <f ca="1"/>
        <v>37153522.909717329</v>
      </c>
      <c r="O47" s="51">
        <f ca="1"/>
        <v>1</v>
      </c>
      <c r="P47" s="51">
        <f ca="1"/>
        <v>1</v>
      </c>
      <c r="Q47" s="51">
        <f ca="1"/>
        <v>3.367143923275514E-8</v>
      </c>
      <c r="S47" s="51">
        <f t="shared" ca="1" si="0"/>
        <v>1.2510125889373229</v>
      </c>
    </row>
    <row r="48" spans="2:19" x14ac:dyDescent="0.25">
      <c r="B48" s="51" t="s">
        <v>133</v>
      </c>
      <c r="C48" s="51">
        <v>1</v>
      </c>
      <c r="D48" s="51">
        <v>0</v>
      </c>
      <c r="E48" s="51">
        <v>0</v>
      </c>
      <c r="F48" s="51">
        <v>-1</v>
      </c>
      <c r="G48" s="51">
        <v>0</v>
      </c>
      <c r="H48" s="51">
        <v>1</v>
      </c>
      <c r="I48" s="51">
        <v>0</v>
      </c>
      <c r="K48" s="51" cm="1">
        <f t="array" aca="1" ref="K48:Q48" ca="1">_xlfn.ANCHORARRAY($C$62)^C48:I48</f>
        <v>2.1893808081729881E-7</v>
      </c>
      <c r="L48" s="51">
        <f ca="1"/>
        <v>1</v>
      </c>
      <c r="M48" s="51">
        <f ca="1"/>
        <v>1</v>
      </c>
      <c r="N48" s="51">
        <f ca="1"/>
        <v>37153522.909717329</v>
      </c>
      <c r="O48" s="51">
        <f ca="1"/>
        <v>1</v>
      </c>
      <c r="P48" s="51">
        <f ca="1"/>
        <v>7.429272062493005E-14</v>
      </c>
      <c r="Q48" s="51">
        <f ca="1"/>
        <v>1</v>
      </c>
      <c r="S48" s="51">
        <f t="shared" ca="1" si="0"/>
        <v>6.043208376346016E-13</v>
      </c>
    </row>
    <row r="49" spans="1:25" x14ac:dyDescent="0.25">
      <c r="B49" s="51" t="s">
        <v>134</v>
      </c>
      <c r="C49" s="51">
        <v>1</v>
      </c>
      <c r="D49" s="51">
        <v>0</v>
      </c>
      <c r="E49" s="51">
        <v>0</v>
      </c>
      <c r="F49" s="51">
        <v>-1</v>
      </c>
      <c r="G49" s="51">
        <v>0</v>
      </c>
      <c r="H49" s="51">
        <v>0</v>
      </c>
      <c r="I49" s="51">
        <v>1</v>
      </c>
      <c r="K49" s="51" cm="1">
        <f t="array" aca="1" ref="K49:Q49" ca="1">_xlfn.ANCHORARRAY($C$62)^C49:I49</f>
        <v>2.1893808081729881E-7</v>
      </c>
      <c r="L49" s="51">
        <f ca="1"/>
        <v>1</v>
      </c>
      <c r="M49" s="51">
        <f ca="1"/>
        <v>1</v>
      </c>
      <c r="N49" s="51">
        <f ca="1"/>
        <v>37153522.909717329</v>
      </c>
      <c r="O49" s="51">
        <f ca="1"/>
        <v>1</v>
      </c>
      <c r="P49" s="51">
        <f ca="1"/>
        <v>1</v>
      </c>
      <c r="Q49" s="51">
        <f ca="1"/>
        <v>3.367143923275514E-8</v>
      </c>
      <c r="S49" s="51">
        <f t="shared" ca="1" si="0"/>
        <v>2.7389429530021779E-7</v>
      </c>
    </row>
    <row r="50" spans="1:25" x14ac:dyDescent="0.25">
      <c r="B50" s="51" t="s">
        <v>135</v>
      </c>
      <c r="C50" s="51">
        <v>1</v>
      </c>
      <c r="D50" s="51">
        <v>0</v>
      </c>
      <c r="E50" s="51">
        <v>0</v>
      </c>
      <c r="F50" s="51">
        <v>-2</v>
      </c>
      <c r="G50" s="51">
        <v>0</v>
      </c>
      <c r="H50" s="51">
        <v>1</v>
      </c>
      <c r="I50" s="51">
        <v>0</v>
      </c>
      <c r="K50" s="51" cm="1">
        <f t="array" aca="1" ref="K50:Q50" ca="1">_xlfn.ANCHORARRAY($C$62)^C50:I50</f>
        <v>2.1893808081729881E-7</v>
      </c>
      <c r="L50" s="51">
        <f ca="1"/>
        <v>1</v>
      </c>
      <c r="M50" s="51">
        <f ca="1"/>
        <v>1</v>
      </c>
      <c r="N50" s="51">
        <f ca="1"/>
        <v>1380384264602890.5</v>
      </c>
      <c r="O50" s="51">
        <f ca="1"/>
        <v>1</v>
      </c>
      <c r="P50" s="51">
        <f ca="1"/>
        <v>7.429272062493005E-14</v>
      </c>
      <c r="Q50" s="51">
        <f ca="1"/>
        <v>1</v>
      </c>
      <c r="S50" s="51">
        <f t="shared" ca="1" si="0"/>
        <v>2.2452648085876737E-5</v>
      </c>
    </row>
    <row r="51" spans="1:25" x14ac:dyDescent="0.25">
      <c r="B51" s="51" t="s">
        <v>136</v>
      </c>
      <c r="C51" s="51">
        <v>1</v>
      </c>
      <c r="D51" s="51">
        <v>0</v>
      </c>
      <c r="E51" s="51">
        <v>0</v>
      </c>
      <c r="F51" s="51">
        <v>-2</v>
      </c>
      <c r="G51" s="51">
        <v>0</v>
      </c>
      <c r="H51" s="51">
        <v>0</v>
      </c>
      <c r="I51" s="51">
        <v>1</v>
      </c>
      <c r="K51" s="51" cm="1">
        <f t="array" aca="1" ref="K51:Q51" ca="1">_xlfn.ANCHORARRAY($C$62)^C51:I51</f>
        <v>2.1893808081729881E-7</v>
      </c>
      <c r="L51" s="51">
        <f ca="1"/>
        <v>1</v>
      </c>
      <c r="M51" s="51">
        <f ca="1"/>
        <v>1</v>
      </c>
      <c r="N51" s="51">
        <f ca="1"/>
        <v>1380384264602890.5</v>
      </c>
      <c r="O51" s="51">
        <f ca="1"/>
        <v>1</v>
      </c>
      <c r="P51" s="51">
        <f ca="1"/>
        <v>1</v>
      </c>
      <c r="Q51" s="51">
        <f ca="1"/>
        <v>3.367143923275514E-8</v>
      </c>
      <c r="S51" s="51">
        <f t="shared" ca="1" si="0"/>
        <v>10.176137975277527</v>
      </c>
    </row>
    <row r="52" spans="1:25" x14ac:dyDescent="0.25">
      <c r="B52" s="51"/>
    </row>
    <row r="53" spans="1:25" x14ac:dyDescent="0.25">
      <c r="B53" s="50" t="s">
        <v>224</v>
      </c>
      <c r="C53" s="51" cm="1">
        <f t="array" aca="1" ref="C53:Y53" ca="1">OFFSET($C$9,0,0,1,$C$2)*EXP(OFFSET($C$12,0,0,1,$C$2)*((1/OFFSET($C$13,0,0,1,$C$2))-(1/$C$17))/8.314)</f>
        <v>1</v>
      </c>
      <c r="D53" s="51">
        <f ca="1"/>
        <v>1</v>
      </c>
      <c r="E53" s="51">
        <f ca="1"/>
        <v>1</v>
      </c>
      <c r="F53" s="51">
        <f ca="1"/>
        <v>1</v>
      </c>
      <c r="G53" s="51">
        <f ca="1"/>
        <v>1</v>
      </c>
      <c r="H53" s="51">
        <f ca="1"/>
        <v>1</v>
      </c>
      <c r="I53" s="51">
        <f ca="1"/>
        <v>1</v>
      </c>
      <c r="J53" s="51">
        <f ca="1"/>
        <v>2.1995725798065139E-14</v>
      </c>
      <c r="K53" s="51">
        <f ca="1"/>
        <v>1.4954498711240171E-8</v>
      </c>
      <c r="L53" s="51">
        <f ca="1"/>
        <v>2.2363202312453416</v>
      </c>
      <c r="M53" s="51">
        <f ca="1"/>
        <v>1</v>
      </c>
      <c r="N53" s="51">
        <f ca="1"/>
        <v>1</v>
      </c>
      <c r="O53" s="51">
        <f ca="1"/>
        <v>1</v>
      </c>
      <c r="P53" s="51">
        <f ca="1"/>
        <v>1</v>
      </c>
      <c r="Q53" s="51">
        <f ca="1"/>
        <v>1.0069316688518E-14</v>
      </c>
      <c r="R53" s="51">
        <f ca="1"/>
        <v>3.0199517204020201E-8</v>
      </c>
      <c r="S53" s="51">
        <f ca="1"/>
        <v>2.5118864315095801</v>
      </c>
      <c r="T53" s="51">
        <f ca="1"/>
        <v>2.5703957827688601E-2</v>
      </c>
      <c r="U53" s="51">
        <f ca="1"/>
        <v>3.9810717055349702E-13</v>
      </c>
      <c r="V53" s="51">
        <f ca="1"/>
        <v>0.15848931924611101</v>
      </c>
      <c r="W53" s="51">
        <f ca="1"/>
        <v>6.7920363261718397E-4</v>
      </c>
      <c r="X53" s="51">
        <f ca="1"/>
        <v>4.7863009232263802E-9</v>
      </c>
      <c r="Y53" s="51">
        <f ca="1"/>
        <v>2.0511621788255701E-11</v>
      </c>
    </row>
    <row r="55" spans="1:25" x14ac:dyDescent="0.25">
      <c r="A55" s="54" t="s">
        <v>225</v>
      </c>
    </row>
    <row r="56" spans="1:25" x14ac:dyDescent="0.25">
      <c r="B56" s="50" t="s">
        <v>226</v>
      </c>
      <c r="C56" s="51" cm="1">
        <f t="array" aca="1" ref="C56:I56" ca="1">OFFSET($C$15,0,0,1,$C$1)</f>
        <v>9.9999999999999995E-7</v>
      </c>
      <c r="D56" s="51">
        <f ca="1"/>
        <v>1E-3</v>
      </c>
      <c r="E56" s="51">
        <f ca="1"/>
        <v>2.9999999999999997E-4</v>
      </c>
      <c r="F56" s="51">
        <f ca="1"/>
        <v>2.6915348039269101E-8</v>
      </c>
      <c r="G56" s="51">
        <f ca="1"/>
        <v>1</v>
      </c>
      <c r="H56" s="51">
        <f ca="1"/>
        <v>7.0949999999999997E-8</v>
      </c>
      <c r="I56" s="51">
        <f ca="1"/>
        <v>3.5474999999999998E-8</v>
      </c>
    </row>
    <row r="57" spans="1:25" x14ac:dyDescent="0.25">
      <c r="B57" s="53" t="s">
        <v>227</v>
      </c>
    </row>
    <row r="58" spans="1:25" x14ac:dyDescent="0.25">
      <c r="B58" s="50" t="s">
        <v>228</v>
      </c>
      <c r="C58" s="51" cm="1">
        <f t="array" aca="1" ref="C58:Y58" ca="1">_xlfn.ANCHORARRAY(C53)*TRANSPOSE(_xlfn.BYROW(_xlfn.ANCHORARRAY(C56)^OFFSET($C$29,0,0,$C$2,$C$1),_xlfn.LAMBDA(_xlpm.array, PRODUCT(_xlpm.array))))</f>
        <v>9.9999999999999995E-7</v>
      </c>
      <c r="D58" s="51">
        <f ca="1"/>
        <v>1E-3</v>
      </c>
      <c r="E58" s="51">
        <f ca="1"/>
        <v>2.9999999999999997E-4</v>
      </c>
      <c r="F58" s="51">
        <f ca="1"/>
        <v>2.6915348039269101E-8</v>
      </c>
      <c r="G58" s="51">
        <f ca="1"/>
        <v>1</v>
      </c>
      <c r="H58" s="51">
        <f ca="1"/>
        <v>7.0949999999999997E-8</v>
      </c>
      <c r="I58" s="51">
        <f ca="1"/>
        <v>3.5474999999999998E-8</v>
      </c>
      <c r="J58" s="51">
        <f ca="1"/>
        <v>8.1721870235427361E-7</v>
      </c>
      <c r="K58" s="51">
        <f ca="1"/>
        <v>5.5561231047139988E-7</v>
      </c>
      <c r="L58" s="51">
        <f ca="1"/>
        <v>6.7089606937360238E-10</v>
      </c>
      <c r="M58" s="51">
        <f ca="1"/>
        <v>9.9999999999999995E-7</v>
      </c>
      <c r="N58" s="51">
        <f ca="1"/>
        <v>1E-3</v>
      </c>
      <c r="O58" s="51">
        <f ca="1"/>
        <v>2.9999999999999997E-4</v>
      </c>
      <c r="P58" s="51">
        <f ca="1"/>
        <v>2.6915348039269101E-8</v>
      </c>
      <c r="Q58" s="51">
        <f ca="1"/>
        <v>3.7411058827205255E-7</v>
      </c>
      <c r="R58" s="51">
        <f ca="1"/>
        <v>1.1220184543019671E-6</v>
      </c>
      <c r="S58" s="51">
        <f ca="1"/>
        <v>7.5356592945287387E-10</v>
      </c>
      <c r="T58" s="51">
        <f ca="1"/>
        <v>6.7756723978220912E-2</v>
      </c>
      <c r="U58" s="51">
        <f ca="1"/>
        <v>5.2471370070267227E-13</v>
      </c>
      <c r="V58" s="51">
        <f ca="1"/>
        <v>4.1778457347479023E-7</v>
      </c>
      <c r="W58" s="51">
        <f ca="1"/>
        <v>8.9520480403748475E-10</v>
      </c>
      <c r="X58" s="51">
        <f ca="1"/>
        <v>4.6876200136139092E-7</v>
      </c>
      <c r="Y58" s="51">
        <f ca="1"/>
        <v>1.0044363105098361E-9</v>
      </c>
    </row>
    <row r="59" spans="1:25" x14ac:dyDescent="0.25">
      <c r="B59" s="50" t="s">
        <v>233</v>
      </c>
      <c r="C59" s="51" cm="1">
        <f t="array" aca="1" ref="C59" ca="1">IFERROR(SUM(_xlfn._xlws.FILTER(_xlfn.ANCHORARRAY(C58)*OFFSET($C$10,0,0,1,$C$2),OFFSET($C$11,0,0,1,$C$2)="WHAMHA")),0)</f>
        <v>0</v>
      </c>
      <c r="D59" s="51" cm="1">
        <f t="array" aca="1" ref="D59" ca="1">IFERROR(SUM(_xlfn._xlws.FILTER(_xlfn.ANCHORARRAY(C58)*OFFSET($C$10,0,0,1,$C$2),OFFSET($C$11,0,0,1,$C$2)="WHAMFA")),0)</f>
        <v>-6.7756305298967354E-2</v>
      </c>
    </row>
    <row r="60" spans="1:25" x14ac:dyDescent="0.25">
      <c r="B60" s="50" t="s">
        <v>228</v>
      </c>
      <c r="C60" s="51" cm="1">
        <f t="array" aca="1" ref="C60:Y60" ca="1">IF((OFFSET($C$11,0,0,1,$C$2)="DonnanFA")*(SIGN(D59)=SIGN(OFFSET($C$10,0,0,1,$C$2))),0,_xlfn.ANCHORARRAY(C58))</f>
        <v>9.9999999999999995E-7</v>
      </c>
      <c r="D60" s="51">
        <f ca="1"/>
        <v>1E-3</v>
      </c>
      <c r="E60" s="51">
        <f ca="1"/>
        <v>2.9999999999999997E-4</v>
      </c>
      <c r="F60" s="51">
        <f ca="1"/>
        <v>2.6915348039269101E-8</v>
      </c>
      <c r="G60" s="51">
        <f ca="1"/>
        <v>1</v>
      </c>
      <c r="H60" s="51">
        <f ca="1"/>
        <v>7.0949999999999997E-8</v>
      </c>
      <c r="I60" s="51">
        <f ca="1"/>
        <v>3.5474999999999998E-8</v>
      </c>
      <c r="J60" s="51">
        <f ca="1"/>
        <v>8.1721870235427361E-7</v>
      </c>
      <c r="K60" s="51">
        <f ca="1"/>
        <v>5.5561231047139988E-7</v>
      </c>
      <c r="L60" s="51">
        <f ca="1"/>
        <v>6.7089606937360238E-10</v>
      </c>
      <c r="M60" s="51">
        <f ca="1"/>
        <v>9.9999999999999995E-7</v>
      </c>
      <c r="N60" s="51">
        <f ca="1"/>
        <v>1E-3</v>
      </c>
      <c r="O60" s="51">
        <f ca="1"/>
        <v>0</v>
      </c>
      <c r="P60" s="51">
        <f ca="1"/>
        <v>2.6915348039269101E-8</v>
      </c>
      <c r="Q60" s="51">
        <f ca="1"/>
        <v>0</v>
      </c>
      <c r="R60" s="51">
        <f ca="1"/>
        <v>1.1220184543019671E-6</v>
      </c>
      <c r="S60" s="51">
        <f ca="1"/>
        <v>7.5356592945287387E-10</v>
      </c>
      <c r="T60" s="51">
        <f ca="1"/>
        <v>6.7756723978220912E-2</v>
      </c>
      <c r="U60" s="51">
        <f ca="1"/>
        <v>5.2471370070267227E-13</v>
      </c>
      <c r="V60" s="51">
        <f ca="1"/>
        <v>4.1778457347479023E-7</v>
      </c>
      <c r="W60" s="51">
        <f ca="1"/>
        <v>8.9520480403748475E-10</v>
      </c>
      <c r="X60" s="51">
        <f ca="1"/>
        <v>4.6876200136139092E-7</v>
      </c>
      <c r="Y60" s="51">
        <f ca="1"/>
        <v>1.0044363105098361E-9</v>
      </c>
    </row>
    <row r="61" spans="1:25" x14ac:dyDescent="0.25">
      <c r="B61" s="50" t="s">
        <v>103</v>
      </c>
      <c r="C61" s="51" cm="1">
        <f t="array" aca="1" ref="C61:I61" ca="1">MMULT(_xlfn.ANCHORARRAY(C60),OFFSET($C$29,0,0,$C$2,$C$1))</f>
        <v>4.5675014427229221E-6</v>
      </c>
      <c r="D61" s="51">
        <f ca="1"/>
        <v>2E-3</v>
      </c>
      <c r="E61" s="51">
        <f ca="1"/>
        <v>3.000014244619988E-4</v>
      </c>
      <c r="F61" s="51">
        <f ca="1"/>
        <v>-6.7760523210170301E-2</v>
      </c>
      <c r="G61" s="51">
        <f ca="1"/>
        <v>1.0031496873682709E-3</v>
      </c>
      <c r="H61" s="51">
        <f ca="1"/>
        <v>6.7757681474795758E-2</v>
      </c>
      <c r="I61" s="51">
        <f ca="1"/>
        <v>3.7375165828248025E-8</v>
      </c>
    </row>
    <row r="62" spans="1:25" x14ac:dyDescent="0.25">
      <c r="B62" s="50" t="s">
        <v>229</v>
      </c>
      <c r="C62" s="51" cm="1">
        <f t="array" aca="1" ref="C62:I62" ca="1">IF(OFFSET($C$6,0,0,1,$C$1)="MassBal",_xlfn.ANCHORARRAY(C56)*OFFSET($C$15,0,0,1,$C$1)/_xlfn.ANCHORARRAY(C61),IF(OFFSET($C$6,0,0,1,$C$1)="DonnanChargeBal",MAX(1,_xlfn.ANCHORARRAY(C56)*-D59/_xlfn.ANCHORARRAY(C61)),_xlfn.ANCHORARRAY(C56)))</f>
        <v>2.1893808081729881E-7</v>
      </c>
      <c r="D62" s="51">
        <f ca="1"/>
        <v>5.0000000000000001E-4</v>
      </c>
      <c r="E62" s="51">
        <f ca="1"/>
        <v>2.9999857554476478E-4</v>
      </c>
      <c r="F62" s="51">
        <f ca="1"/>
        <v>2.6915348039269101E-8</v>
      </c>
      <c r="G62" s="51">
        <f ca="1"/>
        <v>67.543564188036299</v>
      </c>
      <c r="H62" s="51">
        <f ca="1"/>
        <v>7.429272062493005E-14</v>
      </c>
      <c r="I62" s="51">
        <f ca="1"/>
        <v>3.367143923275514E-8</v>
      </c>
    </row>
    <row r="63" spans="1:25" x14ac:dyDescent="0.25">
      <c r="B63" s="53" t="s">
        <v>230</v>
      </c>
    </row>
    <row r="64" spans="1:25" x14ac:dyDescent="0.25">
      <c r="B64" s="50" t="s">
        <v>228</v>
      </c>
      <c r="C64" s="51" cm="1">
        <f t="array" aca="1" ref="C64:Y64" ca="1">_xlfn.ANCHORARRAY(C53)*TRANSPOSE(_xlfn.BYROW(_xlfn.ANCHORARRAY(C62)^OFFSET($C$29,0,0,$C$2,$C$1),_xlfn.LAMBDA(_xlpm.array, PRODUCT(_xlpm.array))))</f>
        <v>2.1893808081729881E-7</v>
      </c>
      <c r="D64" s="51">
        <f ca="1"/>
        <v>5.0000000000000001E-4</v>
      </c>
      <c r="E64" s="51">
        <f ca="1"/>
        <v>2.9999857554476478E-4</v>
      </c>
      <c r="F64" s="51">
        <f ca="1"/>
        <v>2.6915348039269101E-8</v>
      </c>
      <c r="G64" s="51">
        <f ca="1"/>
        <v>1</v>
      </c>
      <c r="H64" s="51">
        <f ca="1"/>
        <v>7.429272062493005E-14</v>
      </c>
      <c r="I64" s="51">
        <f ca="1"/>
        <v>3.367143923275514E-8</v>
      </c>
      <c r="J64" s="51">
        <f ca="1"/>
        <v>8.1721870235427361E-7</v>
      </c>
      <c r="K64" s="51">
        <f ca="1"/>
        <v>1.2164469293307346E-7</v>
      </c>
      <c r="L64" s="51">
        <f ca="1"/>
        <v>1.4688400042093644E-10</v>
      </c>
      <c r="M64" s="51">
        <f ca="1"/>
        <v>9.988246572952711E-4</v>
      </c>
      <c r="N64" s="51">
        <f ca="1"/>
        <v>3.3771782094018148E-2</v>
      </c>
      <c r="O64" s="51">
        <f ca="1"/>
        <v>2.0262973043627275E-2</v>
      </c>
      <c r="P64" s="51">
        <f ca="1"/>
        <v>1.8179585379337095E-6</v>
      </c>
      <c r="Q64" s="51">
        <f ca="1"/>
        <v>2.5268762532377399E-5</v>
      </c>
      <c r="R64" s="51">
        <f ca="1"/>
        <v>1.6592249928907912E-5</v>
      </c>
      <c r="S64" s="51">
        <f ca="1"/>
        <v>1.1143573283687603E-8</v>
      </c>
      <c r="T64" s="51">
        <f ca="1"/>
        <v>7.0948997392170059E-8</v>
      </c>
      <c r="U64" s="51">
        <f ca="1"/>
        <v>4.9803708210864266E-13</v>
      </c>
      <c r="V64" s="51">
        <f ca="1"/>
        <v>9.5778398162947596E-14</v>
      </c>
      <c r="W64" s="51">
        <f ca="1"/>
        <v>1.8603000032103162E-10</v>
      </c>
      <c r="X64" s="51">
        <f ca="1"/>
        <v>1.0746513026230885E-13</v>
      </c>
      <c r="Y64" s="51">
        <f ca="1"/>
        <v>2.0872909341399878E-10</v>
      </c>
    </row>
    <row r="65" spans="1:25" x14ac:dyDescent="0.25">
      <c r="B65" s="50" t="s">
        <v>233</v>
      </c>
      <c r="C65" s="51" cm="1">
        <f t="array" aca="1" ref="C65" ca="1">IFERROR(SUM(_xlfn._xlws.FILTER(OFFSET(C64,0,0,1,$C$2)*OFFSET($C$10,0,0,1,$C$2),OFFSET($C$11,0,0,1,$C$2)="WHAMHA")),0)</f>
        <v>0</v>
      </c>
      <c r="D65" s="51" cm="1">
        <f t="array" aca="1" ref="D65" ca="1">IFERROR(SUM(_xlfn._xlws.FILTER(OFFSET(C64,0,0,1,$C$2)*OFFSET($C$10,0,0,1,$C$2),OFFSET($C$11,0,0,1,$C$2)="WHAMFA")),0)</f>
        <v>-7.0763369650532975E-8</v>
      </c>
    </row>
    <row r="66" spans="1:25" x14ac:dyDescent="0.25">
      <c r="B66" s="50" t="s">
        <v>228</v>
      </c>
      <c r="C66" s="51" cm="1">
        <f t="array" aca="1" ref="C66:Y66" ca="1">IF((OFFSET($C$11,0,0,1,$C$2)="DonnanFA")*(SIGN(D65)=SIGN(OFFSET($C$10,0,0,1,$C$2))),0,_xlfn.ANCHORARRAY(C64))</f>
        <v>2.1893808081729881E-7</v>
      </c>
      <c r="D66" s="51">
        <f ca="1"/>
        <v>5.0000000000000001E-4</v>
      </c>
      <c r="E66" s="51">
        <f ca="1"/>
        <v>2.9999857554476478E-4</v>
      </c>
      <c r="F66" s="51">
        <f ca="1"/>
        <v>2.6915348039269101E-8</v>
      </c>
      <c r="G66" s="51">
        <f ca="1"/>
        <v>1</v>
      </c>
      <c r="H66" s="51">
        <f ca="1"/>
        <v>7.429272062493005E-14</v>
      </c>
      <c r="I66" s="51">
        <f ca="1"/>
        <v>3.367143923275514E-8</v>
      </c>
      <c r="J66" s="51">
        <f ca="1"/>
        <v>8.1721870235427361E-7</v>
      </c>
      <c r="K66" s="51">
        <f ca="1"/>
        <v>1.2164469293307346E-7</v>
      </c>
      <c r="L66" s="51">
        <f ca="1"/>
        <v>1.4688400042093644E-10</v>
      </c>
      <c r="M66" s="51">
        <f ca="1"/>
        <v>9.988246572952711E-4</v>
      </c>
      <c r="N66" s="51">
        <f ca="1"/>
        <v>3.3771782094018148E-2</v>
      </c>
      <c r="O66" s="51">
        <f ca="1"/>
        <v>0</v>
      </c>
      <c r="P66" s="51">
        <f ca="1"/>
        <v>1.8179585379337095E-6</v>
      </c>
      <c r="Q66" s="51">
        <f ca="1"/>
        <v>0</v>
      </c>
      <c r="R66" s="51">
        <f ca="1"/>
        <v>1.6592249928907912E-5</v>
      </c>
      <c r="S66" s="51">
        <f ca="1"/>
        <v>1.1143573283687603E-8</v>
      </c>
      <c r="T66" s="51">
        <f ca="1"/>
        <v>7.0948997392170059E-8</v>
      </c>
      <c r="U66" s="51">
        <f ca="1"/>
        <v>4.9803708210864266E-13</v>
      </c>
      <c r="V66" s="51">
        <f ca="1"/>
        <v>9.5778398162947596E-14</v>
      </c>
      <c r="W66" s="51">
        <f ca="1"/>
        <v>1.8603000032103162E-10</v>
      </c>
      <c r="X66" s="51">
        <f ca="1"/>
        <v>1.0746513026230885E-13</v>
      </c>
      <c r="Y66" s="51">
        <f ca="1"/>
        <v>2.0872909341399878E-10</v>
      </c>
    </row>
    <row r="67" spans="1:25" x14ac:dyDescent="0.25">
      <c r="B67" s="50" t="s">
        <v>103</v>
      </c>
      <c r="C67" s="51" cm="1">
        <f t="array" aca="1" ref="C67:I67" ca="1">MMULT(_xlfn.ANCHORARRAY(C66),OFFSET($C$29,0,0,$C$2,$C$1))</f>
        <v>1.0157691754175506E-3</v>
      </c>
      <c r="D67" s="51">
        <f ca="1"/>
        <v>3.4271782094018148E-2</v>
      </c>
      <c r="E67" s="51">
        <f ca="1"/>
        <v>3.0000986600204889E-4</v>
      </c>
      <c r="F67" s="51">
        <f ca="1"/>
        <v>-1.5757792732547335E-5</v>
      </c>
      <c r="G67" s="51">
        <f ca="1"/>
        <v>3.5787852760648817E-2</v>
      </c>
      <c r="H67" s="51">
        <f ca="1"/>
        <v>7.0949274928419112E-8</v>
      </c>
      <c r="I67" s="51">
        <f ca="1"/>
        <v>3.4066696363572282E-8</v>
      </c>
    </row>
    <row r="68" spans="1:25" x14ac:dyDescent="0.25">
      <c r="B68" s="50" t="s">
        <v>229</v>
      </c>
      <c r="C68" s="51" cm="1">
        <f t="array" aca="1" ref="C68:I68" ca="1">IF(OFFSET($C$6,0,0,1,$C$1)="MassBal",_xlfn.ANCHORARRAY(C62)*OFFSET($C$15,0,0,1,$C$1)/_xlfn.ANCHORARRAY(C67),IF(OFFSET($C$6,0,0,1,$C$1)="DonnanChargeBal",MAX(1,_xlfn.ANCHORARRAY(C62)*-D65/_xlfn.ANCHORARRAY(C67)),_xlfn.ANCHORARRAY(C62)))</f>
        <v>2.1553920527988089E-10</v>
      </c>
      <c r="D68" s="51">
        <f ca="1"/>
        <v>1.4589261761420652E-5</v>
      </c>
      <c r="E68" s="51">
        <f ca="1"/>
        <v>2.9998870991400925E-4</v>
      </c>
      <c r="F68" s="51">
        <f ca="1"/>
        <v>2.6915348039269101E-8</v>
      </c>
      <c r="G68" s="51">
        <f ca="1"/>
        <v>1</v>
      </c>
      <c r="H68" s="51">
        <f ca="1"/>
        <v>7.4293479865111799E-14</v>
      </c>
      <c r="I68" s="51">
        <f ca="1"/>
        <v>3.5063403097086579E-8</v>
      </c>
    </row>
    <row r="69" spans="1:25" x14ac:dyDescent="0.25">
      <c r="B69" s="53" t="s">
        <v>231</v>
      </c>
    </row>
    <row r="70" spans="1:25" x14ac:dyDescent="0.25">
      <c r="B70" s="50" t="s">
        <v>228</v>
      </c>
      <c r="C70" s="51" cm="1">
        <f t="array" aca="1" ref="C70:Y70" ca="1">OFFSET($C$53,0,0,1,$C$2)*TRANSPOSE(_xlfn.BYROW(_xlfn.ANCHORARRAY(C68)^OFFSET($C$29,0,0,$C$2,$C$1),_xlfn.LAMBDA(_xlpm.array, PRODUCT(_xlpm.array))))</f>
        <v>2.1553920527988089E-10</v>
      </c>
      <c r="D70" s="51">
        <f ca="1"/>
        <v>1.4589261761420652E-5</v>
      </c>
      <c r="E70" s="51">
        <f ca="1"/>
        <v>2.9998870991400925E-4</v>
      </c>
      <c r="F70" s="51">
        <f ca="1"/>
        <v>2.6915348039269101E-8</v>
      </c>
      <c r="G70" s="51">
        <f ca="1"/>
        <v>1</v>
      </c>
      <c r="H70" s="51">
        <f ca="1"/>
        <v>7.4293479865111799E-14</v>
      </c>
      <c r="I70" s="51">
        <f ca="1"/>
        <v>3.5063403097086579E-8</v>
      </c>
      <c r="J70" s="51">
        <f ca="1"/>
        <v>8.1721870235427361E-7</v>
      </c>
      <c r="K70" s="51">
        <f ca="1"/>
        <v>1.19756235842724E-10</v>
      </c>
      <c r="L70" s="51">
        <f ca="1"/>
        <v>1.4459896363093522E-13</v>
      </c>
      <c r="M70" s="51">
        <f ca="1"/>
        <v>2.1553920527988089E-10</v>
      </c>
      <c r="N70" s="51">
        <f ca="1"/>
        <v>1.4589261761420652E-5</v>
      </c>
      <c r="O70" s="51">
        <f ca="1"/>
        <v>2.9998870991400925E-4</v>
      </c>
      <c r="P70" s="51">
        <f ca="1"/>
        <v>2.6915348039269101E-8</v>
      </c>
      <c r="Q70" s="51">
        <f ca="1"/>
        <v>3.7411058827205255E-7</v>
      </c>
      <c r="R70" s="51">
        <f ca="1"/>
        <v>2.4183896594960635E-10</v>
      </c>
      <c r="S70" s="51">
        <f ca="1"/>
        <v>1.6241688899475227E-13</v>
      </c>
      <c r="T70" s="51">
        <f ca="1"/>
        <v>7.094972246091464E-8</v>
      </c>
      <c r="U70" s="51">
        <f ca="1"/>
        <v>5.1862573638623932E-13</v>
      </c>
      <c r="V70" s="51">
        <f ca="1"/>
        <v>9.4292462594461249E-17</v>
      </c>
      <c r="W70" s="51">
        <f ca="1"/>
        <v>1.9071301926067902E-13</v>
      </c>
      <c r="X70" s="51">
        <f ca="1"/>
        <v>1.057978831325635E-16</v>
      </c>
      <c r="Y70" s="51">
        <f ca="1"/>
        <v>2.1398352708612876E-13</v>
      </c>
    </row>
    <row r="71" spans="1:25" x14ac:dyDescent="0.25">
      <c r="B71" s="50" t="s">
        <v>233</v>
      </c>
      <c r="C71" s="51" cm="1">
        <f t="array" aca="1" ref="C71" ca="1">IFERROR(SUM(_xlfn._xlws.FILTER(OFFSET(C70,0,0,1,$C$2)*OFFSET($C$10,0,0,1,$C$2),OFFSET($C$11,0,0,1,$C$2)="WHAMHA")),0)</f>
        <v>0</v>
      </c>
      <c r="D71" s="51" cm="1">
        <f t="array" aca="1" ref="D71" ca="1">IFERROR(SUM(_xlfn._xlws.FILTER(OFFSET(C70,0,0,1,$C$2)*OFFSET($C$10,0,0,1,$C$2),OFFSET($C$11,0,0,1,$C$2)="WHAMFA")),0)</f>
        <v>-7.0950050279339309E-8</v>
      </c>
    </row>
    <row r="72" spans="1:25" x14ac:dyDescent="0.25">
      <c r="B72" s="50" t="s">
        <v>228</v>
      </c>
      <c r="C72" s="51" cm="1">
        <f t="array" aca="1" ref="C72:Y72" ca="1">IF((OFFSET($C$11,0,0,1,$C$2)="DonnanFA")*(SIGN(D71)=SIGN(OFFSET($C$10,0,0,1,$C$2))),0,_xlfn.ANCHORARRAY(C70))</f>
        <v>2.1553920527988089E-10</v>
      </c>
      <c r="D72" s="51">
        <f ca="1"/>
        <v>1.4589261761420652E-5</v>
      </c>
      <c r="E72" s="51">
        <f ca="1"/>
        <v>2.9998870991400925E-4</v>
      </c>
      <c r="F72" s="51">
        <f ca="1"/>
        <v>2.6915348039269101E-8</v>
      </c>
      <c r="G72" s="51">
        <f ca="1"/>
        <v>1</v>
      </c>
      <c r="H72" s="51">
        <f ca="1"/>
        <v>7.4293479865111799E-14</v>
      </c>
      <c r="I72" s="51">
        <f ca="1"/>
        <v>3.5063403097086579E-8</v>
      </c>
      <c r="J72" s="51">
        <f ca="1"/>
        <v>8.1721870235427361E-7</v>
      </c>
      <c r="K72" s="51">
        <f ca="1"/>
        <v>1.19756235842724E-10</v>
      </c>
      <c r="L72" s="51">
        <f ca="1"/>
        <v>1.4459896363093522E-13</v>
      </c>
      <c r="M72" s="51">
        <f ca="1"/>
        <v>2.1553920527988089E-10</v>
      </c>
      <c r="N72" s="51">
        <f ca="1"/>
        <v>1.4589261761420652E-5</v>
      </c>
      <c r="O72" s="51">
        <f ca="1"/>
        <v>0</v>
      </c>
      <c r="P72" s="51">
        <f ca="1"/>
        <v>2.6915348039269101E-8</v>
      </c>
      <c r="Q72" s="51">
        <f ca="1"/>
        <v>0</v>
      </c>
      <c r="R72" s="51">
        <f ca="1"/>
        <v>2.4183896594960635E-10</v>
      </c>
      <c r="S72" s="51">
        <f ca="1"/>
        <v>1.6241688899475227E-13</v>
      </c>
      <c r="T72" s="51">
        <f ca="1"/>
        <v>7.094972246091464E-8</v>
      </c>
      <c r="U72" s="51">
        <f ca="1"/>
        <v>5.1862573638623932E-13</v>
      </c>
      <c r="V72" s="51">
        <f ca="1"/>
        <v>9.4292462594461249E-17</v>
      </c>
      <c r="W72" s="51">
        <f ca="1"/>
        <v>1.9071301926067902E-13</v>
      </c>
      <c r="X72" s="51">
        <f ca="1"/>
        <v>1.057978831325635E-16</v>
      </c>
      <c r="Y72" s="51">
        <f ca="1"/>
        <v>2.1398352708612876E-13</v>
      </c>
    </row>
    <row r="73" spans="1:25" x14ac:dyDescent="0.25">
      <c r="B73" s="50" t="s">
        <v>103</v>
      </c>
      <c r="C73" s="51" cm="1">
        <f t="array" aca="1" ref="C73:I73" ca="1">MMULT(_xlfn.ANCHORARRAY(C72),OFFSET($C$29,0,0,$C$2,$C$1))</f>
        <v>7.9338552484141036E-10</v>
      </c>
      <c r="D73" s="51">
        <f ca="1"/>
        <v>2.9178523522841303E-5</v>
      </c>
      <c r="E73" s="51">
        <f ca="1"/>
        <v>2.9998871022102511E-4</v>
      </c>
      <c r="F73" s="51">
        <f ca="1"/>
        <v>-8.347004615501406E-7</v>
      </c>
      <c r="G73" s="51">
        <f ca="1"/>
        <v>1.4616850189253321E-5</v>
      </c>
      <c r="H73" s="51">
        <f ca="1"/>
        <v>7.0949796954484845E-8</v>
      </c>
      <c r="I73" s="51">
        <f ca="1"/>
        <v>3.5064326419369308E-8</v>
      </c>
    </row>
    <row r="74" spans="1:25" x14ac:dyDescent="0.25">
      <c r="B74" s="50" t="s">
        <v>229</v>
      </c>
      <c r="C74" s="51" cm="1">
        <f t="array" aca="1" ref="C74:I74" ca="1">IF(OFFSET($C$6,0,0,1,$C$1)="MassBal",_xlfn.ANCHORARRAY(C68)*OFFSET($C$15,0,0,1,$C$1)/_xlfn.ANCHORARRAY(C73),IF(OFFSET($C$6,0,0,1,$C$1)="DonnanChargeBal",MAX(1,_xlfn.ANCHORARRAY(C68)*-D71/_xlfn.ANCHORARRAY(C73)),_xlfn.ANCHORARRAY(C68)))</f>
        <v>2.7167020134752897E-7</v>
      </c>
      <c r="D74" s="51">
        <f ca="1"/>
        <v>5.0000000000000001E-4</v>
      </c>
      <c r="E74" s="51">
        <f ca="1"/>
        <v>2.9999999969297257E-4</v>
      </c>
      <c r="F74" s="51">
        <f ca="1"/>
        <v>2.6915348039269101E-8</v>
      </c>
      <c r="G74" s="51">
        <f ca="1"/>
        <v>1</v>
      </c>
      <c r="H74" s="51">
        <f ca="1"/>
        <v>7.4293692479644037E-14</v>
      </c>
      <c r="I74" s="51">
        <f ca="1"/>
        <v>3.5474065863761704E-8</v>
      </c>
    </row>
    <row r="76" spans="1:25" x14ac:dyDescent="0.25">
      <c r="B76" s="51"/>
    </row>
    <row r="77" spans="1:25" s="53" customFormat="1" x14ac:dyDescent="0.25">
      <c r="A77" s="54" t="s">
        <v>223</v>
      </c>
    </row>
    <row r="78" spans="1:25" s="50" customFormat="1" x14ac:dyDescent="0.25">
      <c r="C78" s="50" t="str" cm="1">
        <f t="array" aca="1" ref="C78:Y78" ca="1">OFFSET($C$7,0,0,1,$C$2)</f>
        <v>Cu</v>
      </c>
      <c r="D78" s="50" t="str">
        <f ca="1"/>
        <v>Na</v>
      </c>
      <c r="E78" s="50" t="str">
        <f ca="1"/>
        <v>Cl</v>
      </c>
      <c r="F78" s="50" t="str">
        <f ca="1"/>
        <v>H</v>
      </c>
      <c r="G78" s="50" t="str">
        <f ca="1"/>
        <v>DonnanFA</v>
      </c>
      <c r="H78" s="50" t="str">
        <f ca="1"/>
        <v>DOC-FA_1H</v>
      </c>
      <c r="I78" s="50" t="str">
        <f ca="1"/>
        <v>DOC-FA_8H</v>
      </c>
      <c r="J78" s="50" t="str">
        <f ca="1"/>
        <v>OH</v>
      </c>
      <c r="K78" s="50" t="str">
        <f ca="1"/>
        <v>CuOH</v>
      </c>
      <c r="L78" s="50" t="str">
        <f ca="1"/>
        <v>CuCl</v>
      </c>
      <c r="M78" s="50" t="str">
        <f ca="1"/>
        <v>DonnanFA-Cu</v>
      </c>
      <c r="N78" s="50" t="str">
        <f ca="1"/>
        <v>DonnanFA-Na</v>
      </c>
      <c r="O78" s="50" t="str">
        <f ca="1"/>
        <v>DonnanFA-Cl</v>
      </c>
      <c r="P78" s="50" t="str">
        <f ca="1"/>
        <v>DonnanFA-H</v>
      </c>
      <c r="Q78" s="50" t="str">
        <f ca="1"/>
        <v>DonnanFA-OH</v>
      </c>
      <c r="R78" s="50" t="str">
        <f ca="1"/>
        <v>DonnanFA-CuOH</v>
      </c>
      <c r="S78" s="50" t="str">
        <f ca="1"/>
        <v>DonnanFA-CuCl</v>
      </c>
      <c r="T78" s="50" t="str">
        <f ca="1"/>
        <v>DOC-FA_1</v>
      </c>
      <c r="U78" s="50" t="str">
        <f ca="1"/>
        <v>DOC-FA_8</v>
      </c>
      <c r="V78" s="50" t="str">
        <f ca="1"/>
        <v>DOC-FA_1-Cu</v>
      </c>
      <c r="W78" s="50" t="str">
        <f ca="1"/>
        <v>DOC-FA_8-Cu</v>
      </c>
      <c r="X78" s="50" t="str">
        <f ca="1"/>
        <v>DOC-FA_1-CuOH</v>
      </c>
      <c r="Y78" s="50" t="str">
        <f ca="1"/>
        <v>DOC-FA_8-CuOH</v>
      </c>
    </row>
    <row r="79" spans="1:25" s="50" customFormat="1" x14ac:dyDescent="0.25">
      <c r="B79" s="50" t="s">
        <v>150</v>
      </c>
      <c r="C79" s="52" cm="1">
        <f t="array" aca="1" ref="C79:Y79" ca="1">OFFSET($C$14,0,0,1,$C$2)</f>
        <v>1</v>
      </c>
      <c r="D79" s="52">
        <f ca="1"/>
        <v>1</v>
      </c>
      <c r="E79" s="52">
        <f ca="1"/>
        <v>1</v>
      </c>
      <c r="F79" s="52">
        <f ca="1"/>
        <v>1</v>
      </c>
      <c r="G79" s="52">
        <f ca="1"/>
        <v>1</v>
      </c>
      <c r="H79" s="52">
        <f ca="1"/>
        <v>1</v>
      </c>
      <c r="I79" s="52">
        <f ca="1"/>
        <v>1</v>
      </c>
      <c r="J79" s="52">
        <f ca="1"/>
        <v>1</v>
      </c>
      <c r="K79" s="52">
        <f ca="1"/>
        <v>1</v>
      </c>
      <c r="L79" s="52">
        <f ca="1"/>
        <v>1</v>
      </c>
      <c r="M79" s="52">
        <f ca="1"/>
        <v>1</v>
      </c>
      <c r="N79" s="52">
        <f ca="1"/>
        <v>1</v>
      </c>
      <c r="O79" s="52">
        <f ca="1"/>
        <v>1</v>
      </c>
      <c r="P79" s="52">
        <f ca="1"/>
        <v>1</v>
      </c>
      <c r="Q79" s="52">
        <f ca="1"/>
        <v>1</v>
      </c>
      <c r="R79" s="52">
        <f ca="1"/>
        <v>1</v>
      </c>
      <c r="S79" s="52">
        <f ca="1"/>
        <v>1</v>
      </c>
      <c r="T79" s="52">
        <f ca="1"/>
        <v>1</v>
      </c>
      <c r="U79" s="52">
        <f ca="1"/>
        <v>1</v>
      </c>
      <c r="V79" s="52">
        <f ca="1"/>
        <v>1</v>
      </c>
      <c r="W79" s="52">
        <f ca="1"/>
        <v>1</v>
      </c>
      <c r="X79" s="52">
        <f ca="1"/>
        <v>1</v>
      </c>
      <c r="Y79" s="52">
        <f ca="1"/>
        <v>1</v>
      </c>
    </row>
    <row r="80" spans="1:25" x14ac:dyDescent="0.25">
      <c r="B80" s="50" t="s">
        <v>105</v>
      </c>
      <c r="C80" s="51" cm="1">
        <f t="array" aca="1" ref="C80:I80" ca="1">OFFSET($C$15,0,0,1,$C$1)</f>
        <v>9.9999999999999995E-7</v>
      </c>
      <c r="D80" s="51">
        <f ca="1"/>
        <v>1E-3</v>
      </c>
      <c r="E80" s="51">
        <f ca="1"/>
        <v>2.9999999999999997E-4</v>
      </c>
      <c r="F80" s="51">
        <f ca="1"/>
        <v>2.6915348039269101E-8</v>
      </c>
      <c r="G80" s="51">
        <f ca="1"/>
        <v>1</v>
      </c>
      <c r="H80" s="51">
        <f ca="1"/>
        <v>7.0949999999999997E-8</v>
      </c>
      <c r="I80" s="51">
        <f ca="1"/>
        <v>3.5474999999999998E-8</v>
      </c>
    </row>
    <row r="81" spans="1:25" x14ac:dyDescent="0.25">
      <c r="B81" s="50" t="s">
        <v>222</v>
      </c>
      <c r="C81" s="51" cm="1">
        <f t="array" aca="1" ref="C81:I81" ca="1">OFFSET(C79,0,0,1,$C$1)*OFFSET(C80,0,0,1,$C$1)</f>
        <v>9.9999999999999995E-7</v>
      </c>
      <c r="D81" s="51">
        <f ca="1"/>
        <v>1E-3</v>
      </c>
      <c r="E81" s="51">
        <f ca="1"/>
        <v>2.9999999999999997E-4</v>
      </c>
      <c r="F81" s="51">
        <f ca="1"/>
        <v>2.6915348039269101E-8</v>
      </c>
      <c r="G81" s="51">
        <f ca="1"/>
        <v>1</v>
      </c>
      <c r="H81" s="51">
        <f ca="1"/>
        <v>7.0949999999999997E-8</v>
      </c>
      <c r="I81" s="51">
        <f ca="1"/>
        <v>3.5474999999999998E-8</v>
      </c>
    </row>
    <row r="82" spans="1:25" x14ac:dyDescent="0.25">
      <c r="B82" s="50" t="s">
        <v>228</v>
      </c>
      <c r="C82" s="51" cm="1">
        <f t="array" aca="1" ref="C82:Y82" ca="1">OFFSET(C74,0,0,1,$C$2)</f>
        <v>2.7167020134752897E-7</v>
      </c>
      <c r="D82" s="51">
        <f ca="1"/>
        <v>5.0000000000000001E-4</v>
      </c>
      <c r="E82" s="51">
        <f ca="1"/>
        <v>2.9999999969297257E-4</v>
      </c>
      <c r="F82" s="51">
        <f ca="1"/>
        <v>2.6915348039269101E-8</v>
      </c>
      <c r="G82" s="51">
        <f ca="1"/>
        <v>1</v>
      </c>
      <c r="H82" s="51">
        <f ca="1"/>
        <v>7.4293692479644037E-14</v>
      </c>
      <c r="I82" s="51">
        <f ca="1"/>
        <v>3.5474065863761704E-8</v>
      </c>
      <c r="J82" s="51">
        <f ca="1"/>
        <v>0</v>
      </c>
      <c r="K82" s="51">
        <f ca="1"/>
        <v>0</v>
      </c>
      <c r="L82" s="51">
        <f ca="1"/>
        <v>0</v>
      </c>
      <c r="M82" s="51">
        <f ca="1"/>
        <v>0</v>
      </c>
      <c r="N82" s="51">
        <f ca="1"/>
        <v>0</v>
      </c>
      <c r="O82" s="51">
        <f ca="1"/>
        <v>0</v>
      </c>
      <c r="P82" s="51">
        <f ca="1"/>
        <v>0</v>
      </c>
      <c r="Q82" s="51">
        <f ca="1"/>
        <v>0</v>
      </c>
      <c r="R82" s="51">
        <f ca="1"/>
        <v>0</v>
      </c>
      <c r="S82" s="51">
        <f ca="1"/>
        <v>0</v>
      </c>
      <c r="T82" s="51">
        <f ca="1"/>
        <v>0</v>
      </c>
      <c r="U82" s="51">
        <f ca="1"/>
        <v>0</v>
      </c>
      <c r="V82" s="51">
        <f ca="1"/>
        <v>0</v>
      </c>
      <c r="W82" s="51">
        <f ca="1"/>
        <v>0</v>
      </c>
      <c r="X82" s="51">
        <f ca="1"/>
        <v>0</v>
      </c>
      <c r="Y82" s="51">
        <f ca="1"/>
        <v>0</v>
      </c>
    </row>
    <row r="83" spans="1:25" x14ac:dyDescent="0.25">
      <c r="A83" s="51" t="s">
        <v>255</v>
      </c>
      <c r="B83" s="50" t="s">
        <v>108</v>
      </c>
      <c r="C83" s="51" cm="1">
        <f t="array" aca="1" ref="C83" ca="1">SUM(_xlfn.ANCHORARRAY(C82)*OFFSET($C$10,0,0,1,$C$2)^2)*0.5</f>
        <v>4.0055679792320097E-4</v>
      </c>
    </row>
    <row r="84" spans="1:25" x14ac:dyDescent="0.25">
      <c r="A84" s="51" t="s">
        <v>258</v>
      </c>
      <c r="B84" s="50" t="s">
        <v>232</v>
      </c>
      <c r="C84" s="51" cm="1">
        <f t="array" aca="1" ref="C84:Y84" ca="1">IF(OFFSET($C$11,0,0,1,$C$2)="Debye",10^(ABS(OFFSET($C$10,0,0,1,$C$2))^2*(-(0.27+0.0008*$C$17)*SQRT(C83))/(1+(3*ABS(OFFSET($C$10,0,0,1,$C$2))*0.33*SQRT(C83)))),1)</f>
        <v>0.91507748744917772</v>
      </c>
      <c r="D84" s="51">
        <f ca="1"/>
        <v>0.97763616955202026</v>
      </c>
      <c r="E84" s="51">
        <f ca="1"/>
        <v>0.97763616955202026</v>
      </c>
      <c r="F84" s="51">
        <f ca="1"/>
        <v>0.97763616955202026</v>
      </c>
      <c r="G84" s="51">
        <f ca="1"/>
        <v>1</v>
      </c>
      <c r="H84" s="51">
        <f ca="1"/>
        <v>1</v>
      </c>
      <c r="I84" s="51">
        <f ca="1"/>
        <v>1</v>
      </c>
      <c r="J84" s="51">
        <f ca="1"/>
        <v>0.97763616955202026</v>
      </c>
      <c r="K84" s="51">
        <f ca="1"/>
        <v>0.97763616955202026</v>
      </c>
      <c r="L84" s="51">
        <f ca="1"/>
        <v>0.97763616955202026</v>
      </c>
      <c r="M84" s="51">
        <f ca="1"/>
        <v>1</v>
      </c>
      <c r="N84" s="51">
        <f ca="1"/>
        <v>1</v>
      </c>
      <c r="O84" s="51">
        <f ca="1"/>
        <v>1</v>
      </c>
      <c r="P84" s="51">
        <f ca="1"/>
        <v>1</v>
      </c>
      <c r="Q84" s="51">
        <f ca="1"/>
        <v>1</v>
      </c>
      <c r="R84" s="51">
        <f ca="1"/>
        <v>1</v>
      </c>
      <c r="S84" s="51">
        <f ca="1"/>
        <v>1</v>
      </c>
      <c r="T84" s="51">
        <f ca="1"/>
        <v>1</v>
      </c>
      <c r="U84" s="51">
        <f ca="1"/>
        <v>1</v>
      </c>
      <c r="V84" s="51">
        <f ca="1"/>
        <v>1</v>
      </c>
      <c r="W84" s="51">
        <f ca="1"/>
        <v>1</v>
      </c>
      <c r="X84" s="51">
        <f ca="1"/>
        <v>1</v>
      </c>
      <c r="Y84" s="51">
        <f ca="1"/>
        <v>1</v>
      </c>
    </row>
    <row r="85" spans="1:25" x14ac:dyDescent="0.25">
      <c r="A85" s="51" t="s">
        <v>256</v>
      </c>
      <c r="B85" s="50" t="s">
        <v>228</v>
      </c>
      <c r="C85" s="51" cm="1">
        <f t="array" aca="1" ref="C85:Y85" ca="1">OFFSET($C$53,0,0,1,$C$2)*TRANSPOSE(_xlfn.BYROW(C82:I82^OFFSET($C$29,0,0,$C$2,$C$1),_xlfn.LAMBDA(_xlpm.array, PRODUCT(_xlpm.array))))</f>
        <v>2.7167020134752897E-7</v>
      </c>
      <c r="D85" s="51">
        <f ca="1"/>
        <v>5.0000000000000001E-4</v>
      </c>
      <c r="E85" s="51">
        <f ca="1"/>
        <v>2.9999999969297257E-4</v>
      </c>
      <c r="F85" s="51">
        <f ca="1"/>
        <v>2.6915348039269101E-8</v>
      </c>
      <c r="G85" s="51">
        <f ca="1"/>
        <v>1</v>
      </c>
      <c r="H85" s="51">
        <f ca="1"/>
        <v>7.4293692479644037E-14</v>
      </c>
      <c r="I85" s="51">
        <f ca="1"/>
        <v>3.5474065863761704E-8</v>
      </c>
      <c r="J85" s="51">
        <f ca="1"/>
        <v>8.1721870235427361E-7</v>
      </c>
      <c r="K85" s="51">
        <f ca="1"/>
        <v>1.5094330825693102E-7</v>
      </c>
      <c r="L85" s="51">
        <f ca="1"/>
        <v>1.8226247006346043E-10</v>
      </c>
      <c r="M85" s="51">
        <f ca="1"/>
        <v>2.7167020134752897E-7</v>
      </c>
      <c r="N85" s="51">
        <f ca="1"/>
        <v>5.0000000000000001E-4</v>
      </c>
      <c r="O85" s="51">
        <f ca="1"/>
        <v>2.9999999969297257E-4</v>
      </c>
      <c r="P85" s="51">
        <f ca="1"/>
        <v>2.6915348039269101E-8</v>
      </c>
      <c r="Q85" s="51">
        <f ca="1"/>
        <v>3.7411058827205255E-7</v>
      </c>
      <c r="R85" s="51">
        <f ca="1"/>
        <v>3.0481897939585868E-7</v>
      </c>
      <c r="S85" s="51">
        <f ca="1"/>
        <v>2.0472140757358315E-10</v>
      </c>
      <c r="T85" s="51">
        <f ca="1"/>
        <v>7.0949925506216617E-8</v>
      </c>
      <c r="U85" s="51">
        <f ca="1"/>
        <v>5.2469988381521472E-13</v>
      </c>
      <c r="V85" s="51">
        <f ca="1"/>
        <v>1.1884856666791491E-13</v>
      </c>
      <c r="W85" s="51">
        <f ca="1"/>
        <v>2.4319406534684487E-10</v>
      </c>
      <c r="X85" s="51">
        <f ca="1"/>
        <v>1.3335028506873818E-13</v>
      </c>
      <c r="Y85" s="51">
        <f ca="1"/>
        <v>2.7286822929587898E-10</v>
      </c>
    </row>
    <row r="86" spans="1:25" x14ac:dyDescent="0.25">
      <c r="B86" s="50" t="s">
        <v>238</v>
      </c>
      <c r="C86" s="51" cm="1">
        <f t="array" aca="1" ref="C86:Y86" ca="1">_xlfn.ANCHORARRAY(C85)*_xlfn.ANCHORARRAY(C84)</f>
        <v>2.4859928526390904E-7</v>
      </c>
      <c r="D86" s="51">
        <f ca="1"/>
        <v>4.8881808477601013E-4</v>
      </c>
      <c r="E86" s="51">
        <f ca="1"/>
        <v>2.9329085056544493E-4</v>
      </c>
      <c r="F86" s="51">
        <f ca="1"/>
        <v>2.6313417759270523E-8</v>
      </c>
      <c r="G86" s="51">
        <f ca="1"/>
        <v>1</v>
      </c>
      <c r="H86" s="51">
        <f ca="1"/>
        <v>7.4293692479644037E-14</v>
      </c>
      <c r="I86" s="51">
        <f ca="1"/>
        <v>3.5474065863761704E-8</v>
      </c>
      <c r="J86" s="51">
        <f ca="1"/>
        <v>7.9894256185590456E-7</v>
      </c>
      <c r="K86" s="51">
        <f ca="1"/>
        <v>1.4756763770381587E-7</v>
      </c>
      <c r="L86" s="51">
        <f ca="1"/>
        <v>1.7818638308593121E-10</v>
      </c>
      <c r="M86" s="51">
        <f ca="1"/>
        <v>2.7167020134752897E-7</v>
      </c>
      <c r="N86" s="51">
        <f ca="1"/>
        <v>5.0000000000000001E-4</v>
      </c>
      <c r="O86" s="51">
        <f ca="1"/>
        <v>2.9999999969297257E-4</v>
      </c>
      <c r="P86" s="51">
        <f ca="1"/>
        <v>2.6915348039269101E-8</v>
      </c>
      <c r="Q86" s="51">
        <f ca="1"/>
        <v>3.7411058827205255E-7</v>
      </c>
      <c r="R86" s="51">
        <f ca="1"/>
        <v>3.0481897939585868E-7</v>
      </c>
      <c r="S86" s="51">
        <f ca="1"/>
        <v>2.0472140757358315E-10</v>
      </c>
      <c r="T86" s="51">
        <f ca="1"/>
        <v>7.0949925506216617E-8</v>
      </c>
      <c r="U86" s="51">
        <f ca="1"/>
        <v>5.2469988381521472E-13</v>
      </c>
      <c r="V86" s="51">
        <f ca="1"/>
        <v>1.1884856666791491E-13</v>
      </c>
      <c r="W86" s="51">
        <f ca="1"/>
        <v>2.4319406534684487E-10</v>
      </c>
      <c r="X86" s="51">
        <f ca="1"/>
        <v>1.3335028506873818E-13</v>
      </c>
      <c r="Y86" s="51">
        <f ca="1"/>
        <v>2.7286822929587898E-10</v>
      </c>
    </row>
    <row r="87" spans="1:25" x14ac:dyDescent="0.25">
      <c r="A87" s="51" t="s">
        <v>255</v>
      </c>
      <c r="B87" s="50" t="s">
        <v>108</v>
      </c>
      <c r="C87" s="51" cm="1">
        <f t="array" aca="1" ref="C87" ca="1">SUM(_xlfn.ANCHORARRAY(C85)*OFFSET($C$10,0,0,1,$C$2)^2)*0.5</f>
        <v>8.0197293200904023E-4</v>
      </c>
    </row>
    <row r="88" spans="1:25" x14ac:dyDescent="0.25">
      <c r="A88" s="51" t="s">
        <v>257</v>
      </c>
      <c r="B88" s="50" t="s">
        <v>233</v>
      </c>
      <c r="C88" s="51" cm="1">
        <f t="array" aca="1" ref="C88" ca="1">IFERROR(SUM(_xlfn._xlws.FILTER(_xlfn.ANCHORARRAY(C84)*OFFSET($C$10,0,0,1,$C$2),OFFSET($C$11,0,0,1,$C$2)="WHAMHA")),0)</f>
        <v>0</v>
      </c>
      <c r="D88" s="51" cm="1">
        <f t="array" aca="1" ref="D88" ca="1">IFERROR(SUM(_xlfn._xlws.FILTER(_xlfn.ANCHORARRAY(C86)*OFFSET($C$10,0,0,1,$C$2),OFFSET($C$11,0,0,1,$C$2)="WHAMFA")),0)</f>
        <v>-7.070713729218692E-8</v>
      </c>
    </row>
    <row r="89" spans="1:25" x14ac:dyDescent="0.25">
      <c r="A89" s="51" t="s">
        <v>259</v>
      </c>
      <c r="B89" s="50" t="s">
        <v>234</v>
      </c>
      <c r="C89" s="51" cm="1">
        <f t="array" aca="1" ref="C89:Y89" ca="1">OFFSET($C$53,0,0,1,$C$2)*IF(OFFSET($C$11,0,0,1,$C$2)="WHAMFA",EXP(2*$D$26*LOG10(C87)*D88*ABS(OFFSET($C$10,0,0,1,$C$2))),IF(OFFSET($C$11,0,0,1,$C$2)="WHAMHA",EXP(2*$D$26*LOG10(C87)*C88*ABS(OFFSET($C$10,0,0,1,$C$2))),1))</f>
        <v>1</v>
      </c>
      <c r="D89" s="51">
        <f ca="1"/>
        <v>1</v>
      </c>
      <c r="E89" s="51">
        <f ca="1"/>
        <v>1</v>
      </c>
      <c r="F89" s="51">
        <f ca="1"/>
        <v>1</v>
      </c>
      <c r="G89" s="51">
        <f ca="1"/>
        <v>1</v>
      </c>
      <c r="H89" s="51">
        <f ca="1"/>
        <v>1</v>
      </c>
      <c r="I89" s="51">
        <f ca="1"/>
        <v>1</v>
      </c>
      <c r="J89" s="51">
        <f ca="1"/>
        <v>2.1995725798065139E-14</v>
      </c>
      <c r="K89" s="51">
        <f ca="1"/>
        <v>1.4954498711240171E-8</v>
      </c>
      <c r="L89" s="51">
        <f ca="1"/>
        <v>2.2363202312453416</v>
      </c>
      <c r="M89" s="51">
        <f ca="1"/>
        <v>1</v>
      </c>
      <c r="N89" s="51">
        <f ca="1"/>
        <v>1</v>
      </c>
      <c r="O89" s="51">
        <f ca="1"/>
        <v>1</v>
      </c>
      <c r="P89" s="51">
        <f ca="1"/>
        <v>1</v>
      </c>
      <c r="Q89" s="51">
        <f ca="1"/>
        <v>1.0069316688518E-14</v>
      </c>
      <c r="R89" s="51">
        <f ca="1"/>
        <v>3.0199517204020201E-8</v>
      </c>
      <c r="S89" s="51">
        <f ca="1"/>
        <v>2.5118864315095801</v>
      </c>
      <c r="T89" s="51">
        <f ca="1"/>
        <v>2.5702798785535979E-2</v>
      </c>
      <c r="U89" s="51">
        <f ca="1"/>
        <v>3.98089219116017E-13</v>
      </c>
      <c r="V89" s="51">
        <f ca="1"/>
        <v>0.15848217265012848</v>
      </c>
      <c r="W89" s="51">
        <f ca="1"/>
        <v>6.7917300598584207E-4</v>
      </c>
      <c r="X89" s="51">
        <f ca="1"/>
        <v>4.7863009232263802E-9</v>
      </c>
      <c r="Y89" s="51">
        <f ca="1"/>
        <v>2.0511621788255701E-11</v>
      </c>
    </row>
    <row r="90" spans="1:25" x14ac:dyDescent="0.25">
      <c r="A90" s="51" t="s">
        <v>260</v>
      </c>
      <c r="B90" s="50" t="s">
        <v>236</v>
      </c>
      <c r="C90" s="51" cm="1">
        <f t="array" aca="1" ref="C90:D90" ca="1">((1000*((6.022E+23)/$C$24:$D$24)*(4*PI()/3)*((($C$25:$D$25+(0.000000000304 / SQRT(C87)))^3)-(($C$25:$D$25)^3)))*$C$20*ABS(C88:D88))/(1+$C$20*ABS(C88:D88))*$C$23:$D$23*$C$24:$D$24</f>
        <v>0</v>
      </c>
      <c r="D90" s="51">
        <f ca="1"/>
        <v>2.9119923131998885E-8</v>
      </c>
    </row>
    <row r="91" spans="1:25" x14ac:dyDescent="0.25">
      <c r="A91" s="51" t="s">
        <v>260</v>
      </c>
      <c r="B91" s="50" t="s">
        <v>237</v>
      </c>
      <c r="C91" s="51" cm="1">
        <f t="array" aca="1" ref="C91:D91" ca="1">$C$19/($C$19+SUM(_xlfn.ANCHORARRAY(C90)))*_xlfn.ANCHORARRAY(C90)</f>
        <v>0</v>
      </c>
      <c r="D91" s="51">
        <f ca="1"/>
        <v>2.9119919740119588E-8</v>
      </c>
    </row>
    <row r="92" spans="1:25" x14ac:dyDescent="0.25">
      <c r="A92" s="51" t="s">
        <v>260</v>
      </c>
      <c r="B92" s="50" t="s">
        <v>235</v>
      </c>
      <c r="C92" s="51" cm="1">
        <f t="array" aca="1" ref="C92:Y92" ca="1">IF(OFFSET($C$11,0,0,1,$C$2)="DonnanHA",C91,IF(OFFSET($C$11,0,0,1,$C$2)="DonnanFA",D91,IF(OR(OFFSET($C$11,0,0,1,$C$2)="WHAMHA",OFFSET($C$11,0,0,1,$C$2)="WHAMFA"),OFFSET($C$14,0,0,1,$C$2),OFFSET($C$14,0,0,1,$C$2)-SUM(_xlfn.ANCHORARRAY(C91)))))</f>
        <v>1</v>
      </c>
      <c r="D92" s="51">
        <f ca="1"/>
        <v>1</v>
      </c>
      <c r="E92" s="51">
        <f ca="1"/>
        <v>1</v>
      </c>
      <c r="F92" s="51">
        <f ca="1"/>
        <v>1</v>
      </c>
      <c r="G92" s="51">
        <f ca="1"/>
        <v>2.9119919740119588E-8</v>
      </c>
      <c r="H92" s="51">
        <f ca="1"/>
        <v>1</v>
      </c>
      <c r="I92" s="51">
        <f ca="1"/>
        <v>1</v>
      </c>
      <c r="J92" s="51">
        <f ca="1"/>
        <v>1</v>
      </c>
      <c r="K92" s="51">
        <f ca="1"/>
        <v>1</v>
      </c>
      <c r="L92" s="51">
        <f ca="1"/>
        <v>1</v>
      </c>
      <c r="M92" s="51">
        <f ca="1"/>
        <v>2.9119919740119588E-8</v>
      </c>
      <c r="N92" s="51">
        <f ca="1"/>
        <v>2.9119919740119588E-8</v>
      </c>
      <c r="O92" s="51">
        <f ca="1"/>
        <v>2.9119919740119588E-8</v>
      </c>
      <c r="P92" s="51">
        <f ca="1"/>
        <v>2.9119919740119588E-8</v>
      </c>
      <c r="Q92" s="51">
        <f ca="1"/>
        <v>2.9119919740119588E-8</v>
      </c>
      <c r="R92" s="51">
        <f ca="1"/>
        <v>2.9119919740119588E-8</v>
      </c>
      <c r="S92" s="51">
        <f ca="1"/>
        <v>2.9119919740119588E-8</v>
      </c>
      <c r="T92" s="51">
        <f ca="1"/>
        <v>1</v>
      </c>
      <c r="U92" s="51">
        <f ca="1"/>
        <v>1</v>
      </c>
      <c r="V92" s="51">
        <f ca="1"/>
        <v>1</v>
      </c>
      <c r="W92" s="51">
        <f ca="1"/>
        <v>1</v>
      </c>
      <c r="X92" s="51">
        <f ca="1"/>
        <v>1</v>
      </c>
      <c r="Y92" s="51">
        <f ca="1"/>
        <v>1</v>
      </c>
    </row>
    <row r="93" spans="1:25" x14ac:dyDescent="0.25">
      <c r="A93" s="51" t="s">
        <v>261</v>
      </c>
      <c r="B93" s="50" t="s">
        <v>228</v>
      </c>
      <c r="C93" s="51" cm="1">
        <f t="array" aca="1" ref="C93:Y93" ca="1">IF((OFFSET($C$11,0,0,1,$C$2)="DonnanFA")*(SIGN(_xlfn.SEQUENCE(1,$C$2,D88,0))=SIGN(OFFSET($C$10,0,0,1,$C$2))),0,OFFSET(C85,0,0,1,$C$2))</f>
        <v>2.7167020134752897E-7</v>
      </c>
      <c r="D93" s="51">
        <f ca="1"/>
        <v>5.0000000000000001E-4</v>
      </c>
      <c r="E93" s="51">
        <f ca="1"/>
        <v>2.9999999969297257E-4</v>
      </c>
      <c r="F93" s="51">
        <f ca="1"/>
        <v>2.6915348039269101E-8</v>
      </c>
      <c r="G93" s="51">
        <f ca="1"/>
        <v>1</v>
      </c>
      <c r="H93" s="51">
        <f ca="1"/>
        <v>7.4293692479644037E-14</v>
      </c>
      <c r="I93" s="51">
        <f ca="1"/>
        <v>3.5474065863761704E-8</v>
      </c>
      <c r="J93" s="51">
        <f ca="1"/>
        <v>8.1721870235427361E-7</v>
      </c>
      <c r="K93" s="51">
        <f ca="1"/>
        <v>1.5094330825693102E-7</v>
      </c>
      <c r="L93" s="51">
        <f ca="1"/>
        <v>1.8226247006346043E-10</v>
      </c>
      <c r="M93" s="51">
        <f ca="1"/>
        <v>2.7167020134752897E-7</v>
      </c>
      <c r="N93" s="51">
        <f ca="1"/>
        <v>5.0000000000000001E-4</v>
      </c>
      <c r="O93" s="51">
        <f ca="1"/>
        <v>0</v>
      </c>
      <c r="P93" s="51">
        <f ca="1"/>
        <v>2.6915348039269101E-8</v>
      </c>
      <c r="Q93" s="51">
        <f ca="1"/>
        <v>0</v>
      </c>
      <c r="R93" s="51">
        <f ca="1"/>
        <v>3.0481897939585868E-7</v>
      </c>
      <c r="S93" s="51">
        <f ca="1"/>
        <v>2.0472140757358315E-10</v>
      </c>
      <c r="T93" s="51">
        <f ca="1"/>
        <v>7.0949925506216617E-8</v>
      </c>
      <c r="U93" s="51">
        <f ca="1"/>
        <v>5.2469988381521472E-13</v>
      </c>
      <c r="V93" s="51">
        <f ca="1"/>
        <v>1.1884856666791491E-13</v>
      </c>
      <c r="W93" s="51">
        <f ca="1"/>
        <v>2.4319406534684487E-10</v>
      </c>
      <c r="X93" s="51">
        <f ca="1"/>
        <v>1.3335028506873818E-13</v>
      </c>
      <c r="Y93" s="51">
        <f ca="1"/>
        <v>2.7286822929587898E-10</v>
      </c>
    </row>
    <row r="94" spans="1:25" x14ac:dyDescent="0.25">
      <c r="B94" s="50" t="s">
        <v>238</v>
      </c>
      <c r="C94" s="51" cm="1">
        <f t="array" aca="1" ref="C94:Y94" ca="1">_xlfn.ANCHORARRAY(C93)*_xlfn.ANCHORARRAY(C92)</f>
        <v>2.7167020134752897E-7</v>
      </c>
      <c r="D94" s="51">
        <f ca="1"/>
        <v>5.0000000000000001E-4</v>
      </c>
      <c r="E94" s="51">
        <f ca="1"/>
        <v>2.9999999969297257E-4</v>
      </c>
      <c r="F94" s="51">
        <f ca="1"/>
        <v>2.6915348039269101E-8</v>
      </c>
      <c r="G94" s="51">
        <f ca="1"/>
        <v>2.9119919740119588E-8</v>
      </c>
      <c r="H94" s="51">
        <f ca="1"/>
        <v>7.4293692479644037E-14</v>
      </c>
      <c r="I94" s="51">
        <f ca="1"/>
        <v>3.5474065863761704E-8</v>
      </c>
      <c r="J94" s="51">
        <f ca="1"/>
        <v>8.1721870235427361E-7</v>
      </c>
      <c r="K94" s="51">
        <f ca="1"/>
        <v>1.5094330825693102E-7</v>
      </c>
      <c r="L94" s="51">
        <f ca="1"/>
        <v>1.8226247006346043E-10</v>
      </c>
      <c r="M94" s="51">
        <f ca="1"/>
        <v>7.9110144590221721E-15</v>
      </c>
      <c r="N94" s="51">
        <f ca="1"/>
        <v>1.4559959870059793E-11</v>
      </c>
      <c r="O94" s="51">
        <f ca="1"/>
        <v>0</v>
      </c>
      <c r="P94" s="51">
        <f ca="1"/>
        <v>7.8377277468090133E-16</v>
      </c>
      <c r="Q94" s="51">
        <f ca="1"/>
        <v>0</v>
      </c>
      <c r="R94" s="51">
        <f ca="1"/>
        <v>8.8763042152725715E-15</v>
      </c>
      <c r="S94" s="51">
        <f ca="1"/>
        <v>5.9614709576270519E-18</v>
      </c>
      <c r="T94" s="51">
        <f ca="1"/>
        <v>7.0949925506216617E-8</v>
      </c>
      <c r="U94" s="51">
        <f ca="1"/>
        <v>5.2469988381521472E-13</v>
      </c>
      <c r="V94" s="51">
        <f ca="1"/>
        <v>1.1884856666791491E-13</v>
      </c>
      <c r="W94" s="51">
        <f ca="1"/>
        <v>2.4319406534684487E-10</v>
      </c>
      <c r="X94" s="51">
        <f ca="1"/>
        <v>1.3335028506873818E-13</v>
      </c>
      <c r="Y94" s="51">
        <f ca="1"/>
        <v>2.7286822929587898E-10</v>
      </c>
    </row>
    <row r="95" spans="1:25" x14ac:dyDescent="0.25">
      <c r="A95" s="51" t="s">
        <v>261</v>
      </c>
      <c r="B95" s="55" t="s">
        <v>222</v>
      </c>
      <c r="C95" s="59" cm="1">
        <f t="array" aca="1" ref="C95:I95" ca="1">IF(OFFSET($C$5,0,0,1,$C$1)="DonnanFA",ABS(D88),_xlfn.ANCHORARRAY(C81))</f>
        <v>9.9999999999999995E-7</v>
      </c>
      <c r="D95" s="59">
        <f ca="1"/>
        <v>1E-3</v>
      </c>
      <c r="E95" s="59">
        <f ca="1"/>
        <v>2.9999999999999997E-4</v>
      </c>
      <c r="F95" s="59">
        <f ca="1"/>
        <v>2.6915348039269101E-8</v>
      </c>
      <c r="G95" s="59">
        <f ca="1"/>
        <v>7.070713729218692E-8</v>
      </c>
      <c r="H95" s="59">
        <f ca="1"/>
        <v>7.0949999999999997E-8</v>
      </c>
      <c r="I95" s="59">
        <f ca="1"/>
        <v>3.5474999999999998E-8</v>
      </c>
    </row>
    <row r="96" spans="1:25" x14ac:dyDescent="0.25">
      <c r="A96" s="51" t="s">
        <v>262</v>
      </c>
      <c r="B96" s="57" t="s">
        <v>222</v>
      </c>
      <c r="C96" s="60" cm="1">
        <f t="array" aca="1" ref="C96:I96" ca="1">IF(OFFSET($C$6,0,0,1,$C$1)="FixedAct",MMULT((_xlfn.ANCHORARRAY(C93)*_xlfn.ANCHORARRAY(C92)),OFFSET($C$29,0,0,$C$2,$C$1)),IF(OFFSET($C$5,0,0,1,$C$1)="DonnanFA",-D88,_xlfn.ANCHORARRAY(C95)))</f>
        <v>9.9999999999999995E-7</v>
      </c>
      <c r="D96" s="60">
        <f ca="1"/>
        <v>1E-3</v>
      </c>
      <c r="E96" s="60">
        <f ca="1"/>
        <v>2.9999999999999997E-4</v>
      </c>
      <c r="F96" s="60">
        <f ca="1"/>
        <v>-1.012986436943643E-6</v>
      </c>
      <c r="G96" s="60">
        <f ca="1"/>
        <v>7.070713729218692E-8</v>
      </c>
      <c r="H96" s="60">
        <f ca="1"/>
        <v>7.0949999999999997E-8</v>
      </c>
      <c r="I96" s="60">
        <f ca="1"/>
        <v>3.5474999999999998E-8</v>
      </c>
    </row>
    <row r="97" spans="1:25" x14ac:dyDescent="0.25">
      <c r="B97" s="50" t="s">
        <v>105</v>
      </c>
      <c r="C97" s="61" cm="1">
        <f t="array" aca="1" ref="C97:I97" ca="1">_xlfn.ANCHORARRAY(C96)*OFFSET(C92,0,0,1,$C$1)</f>
        <v>9.9999999999999995E-7</v>
      </c>
      <c r="D97" s="61">
        <f ca="1"/>
        <v>1E-3</v>
      </c>
      <c r="E97" s="61">
        <f ca="1"/>
        <v>2.9999999999999997E-4</v>
      </c>
      <c r="F97" s="61">
        <f ca="1"/>
        <v>-1.012986436943643E-6</v>
      </c>
      <c r="G97" s="61">
        <f ca="1"/>
        <v>2.0589861630020996E-15</v>
      </c>
      <c r="H97" s="61">
        <f ca="1"/>
        <v>7.0949999999999997E-8</v>
      </c>
      <c r="I97" s="61">
        <f ca="1"/>
        <v>3.5474999999999998E-8</v>
      </c>
    </row>
    <row r="98" spans="1:25" x14ac:dyDescent="0.25">
      <c r="A98" s="51" t="s">
        <v>263</v>
      </c>
      <c r="B98" s="50" t="s">
        <v>239</v>
      </c>
      <c r="C98" s="61" cm="1">
        <f t="array" aca="1" ref="C98:I98" ca="1">MMULT(_xlfn.ANCHORARRAY(C94),OFFSET($C$29,0,0,$C$2,$C$1))</f>
        <v>4.2331210336129804E-7</v>
      </c>
      <c r="D98" s="61">
        <f ca="1"/>
        <v>5.0000001455995991E-4</v>
      </c>
      <c r="E98" s="61">
        <f ca="1"/>
        <v>3.0000018195544862E-4</v>
      </c>
      <c r="F98" s="61">
        <f ca="1"/>
        <v>-1.012986436943643E-6</v>
      </c>
      <c r="G98" s="61">
        <f ca="1"/>
        <v>1.4585447937438751E-11</v>
      </c>
      <c r="H98" s="61">
        <f ca="1"/>
        <v>7.0950251998760828E-8</v>
      </c>
      <c r="I98" s="61">
        <f ca="1"/>
        <v>3.5990652858288244E-8</v>
      </c>
    </row>
    <row r="99" spans="1:25" x14ac:dyDescent="0.25">
      <c r="A99" s="51" t="s">
        <v>263</v>
      </c>
      <c r="B99" s="50" t="s">
        <v>103</v>
      </c>
      <c r="C99" s="61" cm="1">
        <f t="array" aca="1" ref="C99:I99" ca="1">_xlfn.ANCHORARRAY(C98)/OFFSET(C92,0,0,1,$C$1)</f>
        <v>4.2331210336129804E-7</v>
      </c>
      <c r="D99" s="61">
        <f ca="1"/>
        <v>5.0000001455995991E-4</v>
      </c>
      <c r="E99" s="61">
        <f ca="1"/>
        <v>3.0000018195544862E-4</v>
      </c>
      <c r="F99" s="61">
        <f ca="1"/>
        <v>-1.012986436943643E-6</v>
      </c>
      <c r="G99" s="61">
        <f ca="1"/>
        <v>5.0087527945153777E-4</v>
      </c>
      <c r="H99" s="61">
        <f ca="1"/>
        <v>7.0950251998760828E-8</v>
      </c>
      <c r="I99" s="61">
        <f ca="1"/>
        <v>3.5990652858288244E-8</v>
      </c>
    </row>
    <row r="100" spans="1:25" x14ac:dyDescent="0.25">
      <c r="A100" s="51" t="s">
        <v>264</v>
      </c>
      <c r="B100" s="50" t="s">
        <v>104</v>
      </c>
      <c r="C100" s="61" cm="1">
        <f t="array" aca="1" ref="C100:I100" ca="1">IF(OFFSET($C$6,0,0,1,$C$1)="FixedAct",0,_xlfn.ANCHORARRAY(C98)-_xlfn.ANCHORARRAY(C96))</f>
        <v>-5.7668789663870186E-7</v>
      </c>
      <c r="D100" s="61">
        <f ca="1"/>
        <v>-4.9999998544004011E-4</v>
      </c>
      <c r="E100" s="61">
        <f ca="1"/>
        <v>1.8195544864655494E-10</v>
      </c>
      <c r="F100" s="61">
        <f ca="1"/>
        <v>0</v>
      </c>
      <c r="G100" s="61">
        <f ca="1"/>
        <v>-7.0692551844249487E-8</v>
      </c>
      <c r="H100" s="61">
        <f ca="1"/>
        <v>2.5199876083142386E-13</v>
      </c>
      <c r="I100" s="61">
        <f ca="1"/>
        <v>5.1565285828824598E-10</v>
      </c>
    </row>
    <row r="101" spans="1:25" x14ac:dyDescent="0.25">
      <c r="A101" s="51" t="s">
        <v>264</v>
      </c>
      <c r="B101" s="50" t="s">
        <v>240</v>
      </c>
      <c r="C101" s="51" cm="1">
        <f t="array" aca="1" ref="C101:I101" ca="1">ABS(_xlfn.ANCHORARRAY(C100)/_xlfn.ANCHORARRAY(C96))</f>
        <v>0.5766878966387019</v>
      </c>
      <c r="D101" s="51">
        <f ca="1"/>
        <v>0.4999999854400401</v>
      </c>
      <c r="E101" s="51">
        <f ca="1"/>
        <v>6.0651816215518317E-7</v>
      </c>
      <c r="F101" s="51">
        <f ca="1"/>
        <v>0</v>
      </c>
      <c r="G101" s="51">
        <f ca="1"/>
        <v>0.99979372028771074</v>
      </c>
      <c r="H101" s="51">
        <f ca="1"/>
        <v>3.5517795747910342E-6</v>
      </c>
      <c r="I101" s="51">
        <f ca="1"/>
        <v>1.4535669014467822E-2</v>
      </c>
    </row>
    <row r="102" spans="1:25" x14ac:dyDescent="0.25">
      <c r="A102" s="51" t="s">
        <v>265</v>
      </c>
      <c r="B102" s="50" t="s">
        <v>58</v>
      </c>
      <c r="C102" s="51">
        <f ca="1">MAX(_xlfn.ANCHORARRAY(C101))</f>
        <v>0.99979372028771074</v>
      </c>
    </row>
    <row r="104" spans="1:25" x14ac:dyDescent="0.25">
      <c r="B104" s="51"/>
      <c r="G104" s="51">
        <f ca="1">G92*(4*G93*C93+D93+E93+F93+F93*J89+C93*F93^-1*K89+C93*E93*L89)</f>
        <v>2.3332764378256076E-11</v>
      </c>
    </row>
    <row r="105" spans="1:25" x14ac:dyDescent="0.25">
      <c r="A105" s="54" t="s">
        <v>241</v>
      </c>
      <c r="C105" s="50" t="str" cm="1">
        <f t="array" aca="1" ref="C105:Y105" ca="1">OFFSET($C$7,0,0,1,$C$2)</f>
        <v>Cu</v>
      </c>
      <c r="D105" s="50" t="str">
        <f ca="1"/>
        <v>Na</v>
      </c>
      <c r="E105" s="50" t="str">
        <f ca="1"/>
        <v>Cl</v>
      </c>
      <c r="F105" s="50" t="str">
        <f ca="1"/>
        <v>H</v>
      </c>
      <c r="G105" s="50" t="str">
        <f ca="1"/>
        <v>DonnanFA</v>
      </c>
      <c r="H105" s="50" t="str">
        <f ca="1"/>
        <v>DOC-FA_1H</v>
      </c>
      <c r="I105" s="50" t="str">
        <f ca="1"/>
        <v>DOC-FA_8H</v>
      </c>
      <c r="J105" s="50" t="str">
        <f ca="1"/>
        <v>OH</v>
      </c>
      <c r="K105" s="50" t="str">
        <f ca="1"/>
        <v>CuOH</v>
      </c>
      <c r="L105" s="50" t="str">
        <f ca="1"/>
        <v>CuCl</v>
      </c>
      <c r="M105" s="50" t="str">
        <f ca="1"/>
        <v>DonnanFA-Cu</v>
      </c>
      <c r="N105" s="50" t="str">
        <f ca="1"/>
        <v>DonnanFA-Na</v>
      </c>
      <c r="O105" s="50" t="str">
        <f ca="1"/>
        <v>DonnanFA-Cl</v>
      </c>
      <c r="P105" s="50" t="str">
        <f ca="1"/>
        <v>DonnanFA-H</v>
      </c>
      <c r="Q105" s="50" t="str">
        <f ca="1"/>
        <v>DonnanFA-OH</v>
      </c>
      <c r="R105" s="50" t="str">
        <f ca="1"/>
        <v>DonnanFA-CuOH</v>
      </c>
      <c r="S105" s="50" t="str">
        <f ca="1"/>
        <v>DonnanFA-CuCl</v>
      </c>
      <c r="T105" s="50" t="str">
        <f ca="1"/>
        <v>DOC-FA_1</v>
      </c>
      <c r="U105" s="50" t="str">
        <f ca="1"/>
        <v>DOC-FA_8</v>
      </c>
      <c r="V105" s="50" t="str">
        <f ca="1"/>
        <v>DOC-FA_1-Cu</v>
      </c>
      <c r="W105" s="50" t="str">
        <f ca="1"/>
        <v>DOC-FA_8-Cu</v>
      </c>
      <c r="X105" s="50" t="str">
        <f ca="1"/>
        <v>DOC-FA_1-CuOH</v>
      </c>
      <c r="Y105" s="50" t="str">
        <f ca="1"/>
        <v>DOC-FA_8-CuOH</v>
      </c>
    </row>
    <row r="106" spans="1:25" x14ac:dyDescent="0.25">
      <c r="A106" s="51" t="s">
        <v>242</v>
      </c>
      <c r="B106" s="50" t="s">
        <v>266</v>
      </c>
      <c r="C106" s="51" cm="1">
        <f t="array" ref="C106:I106">_xlfn.SEQUENCE(1,$C$1,0,1)</f>
        <v>0</v>
      </c>
      <c r="D106" s="51">
        <v>1</v>
      </c>
      <c r="E106" s="51">
        <v>2</v>
      </c>
      <c r="F106" s="51">
        <v>3</v>
      </c>
      <c r="G106" s="51">
        <v>4</v>
      </c>
      <c r="H106" s="51">
        <v>5</v>
      </c>
      <c r="I106" s="51">
        <v>6</v>
      </c>
      <c r="K106" s="50"/>
      <c r="T106" s="50"/>
    </row>
    <row r="107" spans="1:25" x14ac:dyDescent="0.25">
      <c r="B107" s="51" t="str" cm="1">
        <f t="array" aca="1" ref="B107:B113" ca="1">"d R."&amp;TRANSPOSE(OFFSET($C$5,0,0,1,$C$1))&amp;"/"</f>
        <v>d R.Cu/</v>
      </c>
      <c r="C107" s="51" cm="1">
        <f t="array" aca="1" ref="C107:I113" ca="1">_xlfn.MAKEARRAY($C$1,$C$1,_xlfn.LAMBDA(_xlpm.row,_xlpm.col, SUM(OFFSET($C$29,0,_xlpm.row-1,$C$2,1)*OFFSET($C$29,0,_xlpm.col-1,$C$2,1)*TRANSPOSE(_xlfn.ANCHORARRAY($C$93)*_xlfn.ANCHORARRAY($C$92)))/(OFFSET($C$93,0,_xlpm.col-1)*OFFSET($C$92,0,_xlpm.col-1))))</f>
        <v>1.5581837877750311</v>
      </c>
      <c r="D107" s="51">
        <f ca="1"/>
        <v>0</v>
      </c>
      <c r="E107" s="51">
        <f ca="1"/>
        <v>6.0754158737154442E-7</v>
      </c>
      <c r="F107" s="51">
        <f ca="1"/>
        <v>-5.6374018639823991</v>
      </c>
      <c r="G107" s="51">
        <f ca="1"/>
        <v>8.4836410349849023E-7</v>
      </c>
      <c r="H107" s="51">
        <f ca="1"/>
        <v>3.394619964618852</v>
      </c>
      <c r="I107" s="51">
        <f ca="1"/>
        <v>1.4547593631490207E-2</v>
      </c>
    </row>
    <row r="108" spans="1:25" x14ac:dyDescent="0.25">
      <c r="B108" s="50" t="str">
        <f ca="1"/>
        <v>d R.Na/</v>
      </c>
      <c r="C108" s="51">
        <f ca="1"/>
        <v>0</v>
      </c>
      <c r="D108" s="51">
        <f ca="1"/>
        <v>1.0000000291199198</v>
      </c>
      <c r="E108" s="51">
        <f ca="1"/>
        <v>0</v>
      </c>
      <c r="F108" s="51">
        <f ca="1"/>
        <v>0</v>
      </c>
      <c r="G108" s="51">
        <f ca="1"/>
        <v>5.0000000000000001E-4</v>
      </c>
      <c r="H108" s="51">
        <f ca="1"/>
        <v>0</v>
      </c>
      <c r="I108" s="51">
        <f ca="1"/>
        <v>0</v>
      </c>
      <c r="K108" s="50"/>
      <c r="T108" s="50"/>
    </row>
    <row r="109" spans="1:25" x14ac:dyDescent="0.25">
      <c r="B109" s="50" t="str">
        <f ca="1"/>
        <v>d R.Cl/</v>
      </c>
      <c r="C109" s="51">
        <f ca="1"/>
        <v>6.7089609063077018E-4</v>
      </c>
      <c r="D109" s="51">
        <f ca="1"/>
        <v>0</v>
      </c>
      <c r="E109" s="51">
        <f ca="1"/>
        <v>1.0000006075415875</v>
      </c>
      <c r="F109" s="51">
        <f ca="1"/>
        <v>0</v>
      </c>
      <c r="G109" s="51">
        <f ca="1"/>
        <v>2.0472140757358315E-10</v>
      </c>
      <c r="H109" s="51">
        <f ca="1"/>
        <v>0</v>
      </c>
      <c r="I109" s="51">
        <f ca="1"/>
        <v>0</v>
      </c>
      <c r="K109" s="50"/>
      <c r="T109" s="50"/>
    </row>
    <row r="110" spans="1:25" x14ac:dyDescent="0.25">
      <c r="B110" s="50" t="str">
        <f ca="1"/>
        <v>d R.H/</v>
      </c>
      <c r="C110" s="51">
        <f ca="1"/>
        <v>-0.55851776327949021</v>
      </c>
      <c r="D110" s="51">
        <f ca="1"/>
        <v>0</v>
      </c>
      <c r="E110" s="51">
        <f ca="1"/>
        <v>0</v>
      </c>
      <c r="F110" s="51">
        <f ca="1"/>
        <v>39.65630079134111</v>
      </c>
      <c r="G110" s="51">
        <f ca="1"/>
        <v>-2.7790363135658955E-7</v>
      </c>
      <c r="H110" s="51">
        <f ca="1"/>
        <v>-954997.77554862166</v>
      </c>
      <c r="I110" s="51">
        <f ca="1"/>
        <v>-2.2254433051297928E-2</v>
      </c>
      <c r="K110" s="50"/>
      <c r="T110" s="50"/>
    </row>
    <row r="111" spans="1:25" x14ac:dyDescent="0.25">
      <c r="B111" s="50" t="str">
        <f ca="1"/>
        <v>d R.DonnanFA/</v>
      </c>
      <c r="C111" s="51">
        <f ca="1"/>
        <v>9.0934870595807599E-8</v>
      </c>
      <c r="D111" s="51">
        <f ca="1"/>
        <v>2.9119919740119584E-8</v>
      </c>
      <c r="E111" s="51">
        <f ca="1"/>
        <v>1.9871569879093895E-14</v>
      </c>
      <c r="F111" s="51">
        <f ca="1"/>
        <v>-3.0066605227563037E-7</v>
      </c>
      <c r="G111" s="51">
        <f ca="1"/>
        <v>5.0141861985423283E-4</v>
      </c>
      <c r="H111" s="51">
        <f ca="1"/>
        <v>0</v>
      </c>
      <c r="I111" s="51">
        <f ca="1"/>
        <v>0</v>
      </c>
      <c r="K111" s="50"/>
      <c r="T111" s="50"/>
    </row>
    <row r="112" spans="1:25" x14ac:dyDescent="0.25">
      <c r="B112" s="50" t="str">
        <f ca="1"/>
        <v>d R.DOC-FA_1H/</v>
      </c>
      <c r="C112" s="51">
        <f ca="1"/>
        <v>9.2832725299169806E-7</v>
      </c>
      <c r="D112" s="51">
        <f ca="1"/>
        <v>0</v>
      </c>
      <c r="E112" s="51">
        <f ca="1"/>
        <v>0</v>
      </c>
      <c r="F112" s="51">
        <f ca="1"/>
        <v>-2.6360540072466443</v>
      </c>
      <c r="G112" s="51">
        <f ca="1"/>
        <v>0</v>
      </c>
      <c r="H112" s="51">
        <f ca="1"/>
        <v>954996.98064140114</v>
      </c>
      <c r="I112" s="51">
        <f ca="1"/>
        <v>0</v>
      </c>
      <c r="K112" s="50"/>
      <c r="T112" s="50"/>
    </row>
    <row r="113" spans="1:20" x14ac:dyDescent="0.25">
      <c r="B113" s="50" t="str">
        <f ca="1"/>
        <v>d R.DOC-FA_8H/</v>
      </c>
      <c r="C113" s="51">
        <f ca="1"/>
        <v>1.8995910927402781E-3</v>
      </c>
      <c r="D113" s="51">
        <f ca="1"/>
        <v>0</v>
      </c>
      <c r="E113" s="51">
        <f ca="1"/>
        <v>0</v>
      </c>
      <c r="F113" s="51">
        <f ca="1"/>
        <v>-2.9331042744482231E-2</v>
      </c>
      <c r="G113" s="51">
        <f ca="1"/>
        <v>0</v>
      </c>
      <c r="H113" s="51">
        <f ca="1"/>
        <v>0</v>
      </c>
      <c r="I113" s="51">
        <f ca="1"/>
        <v>1.014562384715372</v>
      </c>
      <c r="K113" s="50"/>
      <c r="T113" s="50"/>
    </row>
    <row r="114" spans="1:20" x14ac:dyDescent="0.25">
      <c r="A114" s="51" t="s">
        <v>267</v>
      </c>
      <c r="B114" s="50" t="s">
        <v>245</v>
      </c>
      <c r="C114" s="51" cm="1">
        <f t="array" aca="1" ref="C114:H114" ca="1">_xlfn._xlws.FILTER(_xlfn.SEQUENCE(1,$C$1,0,1),OFFSET($C$6,0,0,1,$C$1)&lt;&gt;"FixedAct")</f>
        <v>0</v>
      </c>
      <c r="D114" s="51">
        <f ca="1"/>
        <v>1</v>
      </c>
      <c r="E114" s="51">
        <f ca="1"/>
        <v>2</v>
      </c>
      <c r="F114" s="51">
        <f ca="1"/>
        <v>4</v>
      </c>
      <c r="G114" s="51">
        <f ca="1"/>
        <v>5</v>
      </c>
      <c r="H114" s="51">
        <f ca="1"/>
        <v>6</v>
      </c>
    </row>
    <row r="115" spans="1:20" x14ac:dyDescent="0.25">
      <c r="B115" s="51" cm="1">
        <f t="array" aca="1" ref="B115:B120" ca="1">TRANSPOSE(_xlfn.ANCHORARRAY(C114))</f>
        <v>0</v>
      </c>
      <c r="C115" s="52">
        <f ca="1">IF(OFFSET($C$6,0,C$114)="FixedAct",0,IF(OFFSET($C$6,0,$B115)="FixedAct",0,C107))</f>
        <v>1.5581837877750311</v>
      </c>
      <c r="D115" s="52">
        <f ca="1">IF(OFFSET($C$6,0,D$114)="FixedAct",0,IF(OFFSET($C$6,0,$B115)="FixedAct",0,D107))</f>
        <v>0</v>
      </c>
      <c r="E115" s="52">
        <f ca="1">IF(OFFSET($C$6,0,E$114)="FixedAct",0,IF(OFFSET($C$6,0,$B115)="FixedAct",0,E107))</f>
        <v>6.0754158737154442E-7</v>
      </c>
      <c r="F115" s="52">
        <f ca="1">IF(OFFSET($C$6,0,F$114)="FixedAct",0,IF(OFFSET($C$6,0,$B115)="FixedAct",0,G107))</f>
        <v>8.4836410349849023E-7</v>
      </c>
      <c r="G115" s="52">
        <f ca="1">IF(OFFSET($C$6,0,G$114)="FixedAct",0,IF(OFFSET($C$6,0,$B115)="FixedAct",0,H107))</f>
        <v>3.394619964618852</v>
      </c>
      <c r="H115" s="52">
        <f ca="1">IF(OFFSET($C$6,0,H$114)="FixedAct",0,IF(OFFSET($C$6,0,$B115)="FixedAct",0,I107))</f>
        <v>1.4547593631490207E-2</v>
      </c>
      <c r="I115" s="52"/>
    </row>
    <row r="116" spans="1:20" x14ac:dyDescent="0.25">
      <c r="B116" s="51">
        <f ca="1"/>
        <v>1</v>
      </c>
      <c r="C116" s="52">
        <f ca="1">IF(OFFSET($C$6,0,C$114)="FixedAct",0,IF(OFFSET($C$6,0,$B116)="FixedAct",0,C108))</f>
        <v>0</v>
      </c>
      <c r="D116" s="52">
        <f ca="1">IF(OFFSET($C$6,0,D$114)="FixedAct",0,IF(OFFSET($C$6,0,$B116)="FixedAct",0,D108))</f>
        <v>1.0000000291199198</v>
      </c>
      <c r="E116" s="52">
        <f ca="1">IF(OFFSET($C$6,0,E$114)="FixedAct",0,IF(OFFSET($C$6,0,$B116)="FixedAct",0,E108))</f>
        <v>0</v>
      </c>
      <c r="F116" s="52">
        <f ca="1">IF(OFFSET($C$6,0,F$114)="FixedAct",0,IF(OFFSET($C$6,0,$B116)="FixedAct",0,G108))</f>
        <v>5.0000000000000001E-4</v>
      </c>
      <c r="G116" s="52">
        <f ca="1">IF(OFFSET($C$6,0,G$114)="FixedAct",0,IF(OFFSET($C$6,0,$B116)="FixedAct",0,H108))</f>
        <v>0</v>
      </c>
      <c r="H116" s="52">
        <f ca="1">IF(OFFSET($C$6,0,H$114)="FixedAct",0,IF(OFFSET($C$6,0,$B116)="FixedAct",0,I108))</f>
        <v>0</v>
      </c>
      <c r="I116" s="52"/>
    </row>
    <row r="117" spans="1:20" x14ac:dyDescent="0.25">
      <c r="B117" s="51">
        <f ca="1"/>
        <v>2</v>
      </c>
      <c r="C117" s="52">
        <f ca="1">IF(OFFSET($C$6,0,C$114)="FixedAct",0,IF(OFFSET($C$6,0,$B117)="FixedAct",0,C109))</f>
        <v>6.7089609063077018E-4</v>
      </c>
      <c r="D117" s="52">
        <f ca="1">IF(OFFSET($C$6,0,D$114)="FixedAct",0,IF(OFFSET($C$6,0,$B117)="FixedAct",0,D109))</f>
        <v>0</v>
      </c>
      <c r="E117" s="52">
        <f ca="1">IF(OFFSET($C$6,0,E$114)="FixedAct",0,IF(OFFSET($C$6,0,$B117)="FixedAct",0,E109))</f>
        <v>1.0000006075415875</v>
      </c>
      <c r="F117" s="52">
        <f ca="1">IF(OFFSET($C$6,0,F$114)="FixedAct",0,IF(OFFSET($C$6,0,$B117)="FixedAct",0,G109))</f>
        <v>2.0472140757358315E-10</v>
      </c>
      <c r="G117" s="52">
        <f ca="1">IF(OFFSET($C$6,0,G$114)="FixedAct",0,IF(OFFSET($C$6,0,$B117)="FixedAct",0,H109))</f>
        <v>0</v>
      </c>
      <c r="H117" s="52">
        <f ca="1">IF(OFFSET($C$6,0,H$114)="FixedAct",0,IF(OFFSET($C$6,0,$B117)="FixedAct",0,I109))</f>
        <v>0</v>
      </c>
      <c r="I117" s="52"/>
    </row>
    <row r="118" spans="1:20" x14ac:dyDescent="0.25">
      <c r="B118" s="51">
        <f ca="1"/>
        <v>4</v>
      </c>
      <c r="C118" s="52">
        <f ca="1">IF(OFFSET($C$6,0,C$114)="FixedAct",0,IF(OFFSET($C$6,0,$B118)="FixedAct",0,C111))</f>
        <v>9.0934870595807599E-8</v>
      </c>
      <c r="D118" s="52">
        <f ca="1">IF(OFFSET($C$6,0,D$114)="FixedAct",0,IF(OFFSET($C$6,0,$B118)="FixedAct",0,D111))</f>
        <v>2.9119919740119584E-8</v>
      </c>
      <c r="E118" s="52">
        <f ca="1">IF(OFFSET($C$6,0,E$114)="FixedAct",0,IF(OFFSET($C$6,0,$B118)="FixedAct",0,E111))</f>
        <v>1.9871569879093895E-14</v>
      </c>
      <c r="F118" s="52">
        <f ca="1">IF(OFFSET($C$6,0,F$114)="FixedAct",0,IF(OFFSET($C$6,0,$B118)="FixedAct",0,G111))</f>
        <v>5.0141861985423283E-4</v>
      </c>
      <c r="G118" s="52">
        <f ca="1">IF(OFFSET($C$6,0,G$114)="FixedAct",0,IF(OFFSET($C$6,0,$B118)="FixedAct",0,H111))</f>
        <v>0</v>
      </c>
      <c r="H118" s="52">
        <f ca="1">IF(OFFSET($C$6,0,H$114)="FixedAct",0,IF(OFFSET($C$6,0,$B118)="FixedAct",0,I111))</f>
        <v>0</v>
      </c>
      <c r="I118" s="52"/>
    </row>
    <row r="119" spans="1:20" x14ac:dyDescent="0.25">
      <c r="B119" s="51">
        <f ca="1"/>
        <v>5</v>
      </c>
      <c r="C119" s="52">
        <f ca="1">IF(OFFSET($C$6,0,C$114)="FixedAct",0,IF(OFFSET($C$6,0,$B119)="FixedAct",0,C112))</f>
        <v>9.2832725299169806E-7</v>
      </c>
      <c r="D119" s="52">
        <f ca="1">IF(OFFSET($C$6,0,D$114)="FixedAct",0,IF(OFFSET($C$6,0,$B119)="FixedAct",0,D112))</f>
        <v>0</v>
      </c>
      <c r="E119" s="52">
        <f ca="1">IF(OFFSET($C$6,0,E$114)="FixedAct",0,IF(OFFSET($C$6,0,$B119)="FixedAct",0,E112))</f>
        <v>0</v>
      </c>
      <c r="F119" s="52">
        <f ca="1">IF(OFFSET($C$6,0,F$114)="FixedAct",0,IF(OFFSET($C$6,0,$B119)="FixedAct",0,G112))</f>
        <v>0</v>
      </c>
      <c r="G119" s="52">
        <f ca="1">IF(OFFSET($C$6,0,G$114)="FixedAct",0,IF(OFFSET($C$6,0,$B119)="FixedAct",0,H112))</f>
        <v>954996.98064140114</v>
      </c>
      <c r="H119" s="52">
        <f ca="1">IF(OFFSET($C$6,0,H$114)="FixedAct",0,IF(OFFSET($C$6,0,$B119)="FixedAct",0,I112))</f>
        <v>0</v>
      </c>
      <c r="I119" s="52"/>
    </row>
    <row r="120" spans="1:20" x14ac:dyDescent="0.25">
      <c r="B120" s="51">
        <f ca="1"/>
        <v>6</v>
      </c>
      <c r="C120" s="52">
        <f ca="1">IF(OFFSET($C$6,0,C$114)="FixedAct",0,IF(OFFSET($C$6,0,$B120)="FixedAct",0,C113))</f>
        <v>1.8995910927402781E-3</v>
      </c>
      <c r="D120" s="52">
        <f ca="1">IF(OFFSET($C$6,0,D$114)="FixedAct",0,IF(OFFSET($C$6,0,$B120)="FixedAct",0,D113))</f>
        <v>0</v>
      </c>
      <c r="E120" s="52">
        <f ca="1">IF(OFFSET($C$6,0,E$114)="FixedAct",0,IF(OFFSET($C$6,0,$B120)="FixedAct",0,E113))</f>
        <v>0</v>
      </c>
      <c r="F120" s="52">
        <f ca="1">IF(OFFSET($C$6,0,F$114)="FixedAct",0,IF(OFFSET($C$6,0,$B120)="FixedAct",0,G113))</f>
        <v>0</v>
      </c>
      <c r="G120" s="52">
        <f ca="1">IF(OFFSET($C$6,0,G$114)="FixedAct",0,IF(OFFSET($C$6,0,$B120)="FixedAct",0,H113))</f>
        <v>0</v>
      </c>
      <c r="H120" s="52">
        <f ca="1">IF(OFFSET($C$6,0,H$114)="FixedAct",0,IF(OFFSET($C$6,0,$B120)="FixedAct",0,I113))</f>
        <v>1.014562384715372</v>
      </c>
      <c r="I120" s="52"/>
    </row>
    <row r="121" spans="1:20" x14ac:dyDescent="0.25">
      <c r="A121" s="51" t="s">
        <v>267</v>
      </c>
      <c r="B121" s="50" t="s">
        <v>246</v>
      </c>
      <c r="C121" s="51" cm="1">
        <f t="array" aca="1" ref="C121:H126" ca="1">MINVERSE(C115:H120)</f>
        <v>0.64178403665452688</v>
      </c>
      <c r="D121" s="51">
        <f ca="1"/>
        <v>3.1619930498018694E-11</v>
      </c>
      <c r="E121" s="51">
        <f ca="1"/>
        <v>-3.8991025547053548E-7</v>
      </c>
      <c r="F121" s="51">
        <f ca="1"/>
        <v>-1.0858522860289549E-3</v>
      </c>
      <c r="G121" s="51">
        <f ca="1"/>
        <v>-2.2812772688955724E-6</v>
      </c>
      <c r="H121" s="51">
        <f ca="1"/>
        <v>-9.2024044110867887E-3</v>
      </c>
    </row>
    <row r="122" spans="1:20" x14ac:dyDescent="0.25">
      <c r="C122" s="51">
        <f ca="1"/>
        <v>5.8195433914317117E-8</v>
      </c>
      <c r="D122" s="51">
        <f ca="1"/>
        <v>0.99999999991761346</v>
      </c>
      <c r="E122" s="51">
        <f ca="1"/>
        <v>-1.5540787871961964E-14</v>
      </c>
      <c r="F122" s="51">
        <f ca="1"/>
        <v>-0.99717078746204613</v>
      </c>
      <c r="G122" s="51">
        <f ca="1"/>
        <v>-2.0686073968790684E-13</v>
      </c>
      <c r="H122" s="51">
        <f ca="1"/>
        <v>-8.3445191399564578E-10</v>
      </c>
    </row>
    <row r="123" spans="1:20" x14ac:dyDescent="0.25">
      <c r="C123" s="51">
        <f ca="1"/>
        <v>-4.3057013960766307E-4</v>
      </c>
      <c r="D123" s="51">
        <f ca="1"/>
        <v>-9.3244727136342784E-15</v>
      </c>
      <c r="E123" s="51">
        <f ca="1"/>
        <v>0.99999939272037075</v>
      </c>
      <c r="F123" s="51">
        <f ca="1"/>
        <v>3.2020943286857721E-7</v>
      </c>
      <c r="G123" s="51">
        <f ca="1"/>
        <v>1.5304990714203467E-9</v>
      </c>
      <c r="H123" s="51">
        <f ca="1"/>
        <v>6.1738533925871291E-6</v>
      </c>
    </row>
    <row r="124" spans="1:20" x14ac:dyDescent="0.25">
      <c r="C124" s="51">
        <f ca="1"/>
        <v>-1.1639087121792697E-4</v>
      </c>
      <c r="D124" s="51">
        <f ca="1"/>
        <v>-5.8075066596173246E-5</v>
      </c>
      <c r="E124" s="51">
        <f ca="1"/>
        <v>3.1081576649016923E-11</v>
      </c>
      <c r="F124" s="51">
        <f ca="1"/>
        <v>1994.3416329991589</v>
      </c>
      <c r="G124" s="51">
        <f ca="1"/>
        <v>4.1372149142334996E-10</v>
      </c>
      <c r="H124" s="51">
        <f ca="1"/>
        <v>1.6689038765896371E-6</v>
      </c>
    </row>
    <row r="125" spans="1:20" x14ac:dyDescent="0.25">
      <c r="C125" s="51">
        <f ca="1"/>
        <v>-6.2386125175105244E-13</v>
      </c>
      <c r="D125" s="51">
        <f ca="1"/>
        <v>-3.0736896360970083E-23</v>
      </c>
      <c r="E125" s="51">
        <f ca="1"/>
        <v>3.790214248961799E-19</v>
      </c>
      <c r="F125" s="51">
        <f ca="1"/>
        <v>1.0555282270808835E-15</v>
      </c>
      <c r="G125" s="51">
        <f ca="1"/>
        <v>1.0471237294703187E-6</v>
      </c>
      <c r="H125" s="51">
        <f ca="1"/>
        <v>8.9454134212291271E-15</v>
      </c>
    </row>
    <row r="126" spans="1:20" x14ac:dyDescent="0.25">
      <c r="C126" s="51">
        <f ca="1"/>
        <v>-1.2016286606504301E-3</v>
      </c>
      <c r="D126" s="51">
        <f ca="1"/>
        <v>-5.9202804314447103E-14</v>
      </c>
      <c r="E126" s="51">
        <f ca="1"/>
        <v>7.3003894035328825E-10</v>
      </c>
      <c r="F126" s="51">
        <f ca="1"/>
        <v>2.0330689976752281E-6</v>
      </c>
      <c r="G126" s="51">
        <f ca="1"/>
        <v>4.2712937571410428E-9</v>
      </c>
      <c r="H126" s="51">
        <f ca="1"/>
        <v>0.9856638644118455</v>
      </c>
    </row>
    <row r="127" spans="1:20" x14ac:dyDescent="0.25">
      <c r="A127" s="51" t="s">
        <v>267</v>
      </c>
      <c r="B127" s="50" t="s">
        <v>247</v>
      </c>
      <c r="C127" s="51" cm="1">
        <f t="array" aca="1" ref="C127:H127" ca="1">_xlfn._xlws.FILTER(OFFSET(C100,0,0,1,$C$1),OFFSET($C$6,0,0,1,$C$1)&lt;&gt;"FixedAct")</f>
        <v>-5.7668789663870186E-7</v>
      </c>
      <c r="D127" s="51">
        <f ca="1"/>
        <v>-4.9999998544004011E-4</v>
      </c>
      <c r="E127" s="51">
        <f ca="1"/>
        <v>1.8195544864655494E-10</v>
      </c>
      <c r="F127" s="51">
        <f ca="1"/>
        <v>-7.0692551844249487E-8</v>
      </c>
      <c r="G127" s="51">
        <f ca="1"/>
        <v>2.5199876083142386E-13</v>
      </c>
      <c r="H127" s="51">
        <f ca="1"/>
        <v>5.1565285828824598E-10</v>
      </c>
    </row>
    <row r="128" spans="1:20" x14ac:dyDescent="0.25">
      <c r="A128" s="51" t="s">
        <v>267</v>
      </c>
      <c r="B128" s="50" t="s">
        <v>248</v>
      </c>
      <c r="C128" s="51" cm="1">
        <f t="array" aca="1" ref="C128:H128" ca="1">TRANSPOSE(MMULT(_xlfn.ANCHORARRAY(C121),TRANSPOSE(_xlfn.ANCHORARRAY(C127))))</f>
        <v>-3.7003708565319301E-7</v>
      </c>
      <c r="D128" s="51">
        <f ca="1"/>
        <v>-4.9992949288481768E-4</v>
      </c>
      <c r="E128" s="51">
        <f ca="1"/>
        <v>4.3024047812032933E-10</v>
      </c>
      <c r="F128" s="51">
        <f ca="1"/>
        <v>-1.4095599463141839E-4</v>
      </c>
      <c r="G128" s="51">
        <f ca="1"/>
        <v>6.2357712551189754E-19</v>
      </c>
      <c r="H128" s="51">
        <f ca="1"/>
        <v>1.2010814007464744E-9</v>
      </c>
    </row>
    <row r="129" spans="1:25" x14ac:dyDescent="0.25">
      <c r="A129" s="51" t="s">
        <v>267</v>
      </c>
      <c r="B129" s="50" t="s">
        <v>243</v>
      </c>
      <c r="C129" s="51" cm="1">
        <f t="array" aca="1" ref="C129:I129" ca="1">_xlfn.XLOOKUP(_xlfn.ANCHORARRAY(C106),C114:H114,_xlfn.ANCHORARRAY(C128),0)</f>
        <v>-3.7003708565319301E-7</v>
      </c>
      <c r="D129" s="51">
        <f ca="1"/>
        <v>-4.9992949288481768E-4</v>
      </c>
      <c r="E129" s="51">
        <f ca="1"/>
        <v>4.3024047812032933E-10</v>
      </c>
      <c r="F129" s="51">
        <f ca="1"/>
        <v>0</v>
      </c>
      <c r="G129" s="51">
        <f ca="1"/>
        <v>-1.4095599463141839E-4</v>
      </c>
      <c r="H129" s="51">
        <f ca="1"/>
        <v>6.2357712551189754E-19</v>
      </c>
      <c r="I129" s="51">
        <f ca="1"/>
        <v>1.2010814007464744E-9</v>
      </c>
    </row>
    <row r="130" spans="1:25" x14ac:dyDescent="0.25">
      <c r="A130" s="51" t="s">
        <v>268</v>
      </c>
      <c r="B130" s="50" t="s">
        <v>226</v>
      </c>
      <c r="C130" s="51" cm="1">
        <f t="array" aca="1" ref="C130:I130" ca="1">IF(_xlfn.ANCHORARRAY(C129)&gt;=OFFSET(C93,0,0,1,$C$1),OFFSET(C93,0,0,1,$C$1)/10,OFFSET(C93,0,0,1,$C$1)-_xlfn.ANCHORARRAY(C129))</f>
        <v>6.4170728700072199E-7</v>
      </c>
      <c r="D130" s="51">
        <f ca="1"/>
        <v>9.9992949288481769E-4</v>
      </c>
      <c r="E130" s="51">
        <f ca="1"/>
        <v>2.9999956945249445E-4</v>
      </c>
      <c r="F130" s="51">
        <f ca="1"/>
        <v>2.6915348039269101E-8</v>
      </c>
      <c r="G130" s="51">
        <f ca="1"/>
        <v>1.0001409559946315</v>
      </c>
      <c r="H130" s="51">
        <f ca="1"/>
        <v>7.4293068902518528E-14</v>
      </c>
      <c r="I130" s="51">
        <f ca="1"/>
        <v>3.4272984463015228E-8</v>
      </c>
    </row>
    <row r="131" spans="1:25" x14ac:dyDescent="0.25">
      <c r="B131" s="50" t="s">
        <v>228</v>
      </c>
      <c r="C131" s="51" cm="1">
        <f t="array" aca="1" ref="C131:Y131" ca="1">IF(OFFSET(C130,0,0,1,$C$2)=0,OFFSET(C93,0,0,1,$C$2),OFFSET(C130,0,0,1,$C$2))</f>
        <v>6.4170728700072199E-7</v>
      </c>
      <c r="D131" s="51">
        <f ca="1"/>
        <v>9.9992949288481769E-4</v>
      </c>
      <c r="E131" s="51">
        <f ca="1"/>
        <v>2.9999956945249445E-4</v>
      </c>
      <c r="F131" s="51">
        <f ca="1"/>
        <v>2.6915348039269101E-8</v>
      </c>
      <c r="G131" s="51">
        <f ca="1"/>
        <v>1.0001409559946315</v>
      </c>
      <c r="H131" s="51">
        <f ca="1"/>
        <v>7.4293068902518528E-14</v>
      </c>
      <c r="I131" s="51">
        <f ca="1"/>
        <v>3.4272984463015228E-8</v>
      </c>
      <c r="J131" s="51">
        <f ca="1"/>
        <v>8.1721870235427361E-7</v>
      </c>
      <c r="K131" s="51">
        <f ca="1"/>
        <v>1.5094330825693102E-7</v>
      </c>
      <c r="L131" s="51">
        <f ca="1"/>
        <v>1.8226247006346043E-10</v>
      </c>
      <c r="M131" s="51">
        <f ca="1"/>
        <v>2.7167020134752897E-7</v>
      </c>
      <c r="N131" s="51">
        <f ca="1"/>
        <v>5.0000000000000001E-4</v>
      </c>
      <c r="O131" s="51">
        <f ca="1"/>
        <v>0</v>
      </c>
      <c r="P131" s="51">
        <f ca="1"/>
        <v>2.6915348039269101E-8</v>
      </c>
      <c r="Q131" s="51">
        <f ca="1"/>
        <v>0</v>
      </c>
      <c r="R131" s="51">
        <f ca="1"/>
        <v>3.0481897939585868E-7</v>
      </c>
      <c r="S131" s="51">
        <f ca="1"/>
        <v>2.0472140757358315E-10</v>
      </c>
      <c r="T131" s="51">
        <f ca="1"/>
        <v>7.0949925506216617E-8</v>
      </c>
      <c r="U131" s="51">
        <f ca="1"/>
        <v>5.2469988381521472E-13</v>
      </c>
      <c r="V131" s="51">
        <f ca="1"/>
        <v>1.1884856666791491E-13</v>
      </c>
      <c r="W131" s="51">
        <f ca="1"/>
        <v>2.4319406534684487E-10</v>
      </c>
      <c r="X131" s="51">
        <f ca="1"/>
        <v>1.3335028506873818E-13</v>
      </c>
      <c r="Y131" s="51">
        <f ca="1"/>
        <v>2.7286822929587898E-10</v>
      </c>
    </row>
    <row r="132" spans="1:25" x14ac:dyDescent="0.25">
      <c r="A132" s="51" t="s">
        <v>255</v>
      </c>
      <c r="B132" s="50" t="s">
        <v>108</v>
      </c>
      <c r="C132" s="51" cm="1">
        <f t="array" aca="1" ref="C132" ca="1">SUM(_xlfn.ANCHORARRAY(C131)*OFFSET($C$10,0,0,1,$C$2)^2)*0.5</f>
        <v>9.0249048236189428E-4</v>
      </c>
    </row>
    <row r="133" spans="1:25" x14ac:dyDescent="0.25">
      <c r="A133" s="51" t="s">
        <v>258</v>
      </c>
      <c r="B133" s="50" t="s">
        <v>232</v>
      </c>
      <c r="C133" s="51" cm="1">
        <f t="array" aca="1" ref="C133:Y133" ca="1">IF(OFFSET($C$11,0,0,1,$C$2)="Debye",10^(ABS(OFFSET($C$10,0,0,1,$C$2))^2*(-(0.27+0.0008*$C$17)*SQRT(C132))/(1+(3*ABS(OFFSET($C$10,0,0,1,$C$2))*0.33*SQRT(C132)))),1)</f>
        <v>0.87746798391268865</v>
      </c>
      <c r="D133" s="51">
        <f ca="1"/>
        <v>0.9669364239057785</v>
      </c>
      <c r="E133" s="51">
        <f ca="1"/>
        <v>0.9669364239057785</v>
      </c>
      <c r="F133" s="51">
        <f ca="1"/>
        <v>0.9669364239057785</v>
      </c>
      <c r="G133" s="51">
        <f ca="1"/>
        <v>1</v>
      </c>
      <c r="H133" s="51">
        <f ca="1"/>
        <v>1</v>
      </c>
      <c r="I133" s="51">
        <f ca="1"/>
        <v>1</v>
      </c>
      <c r="J133" s="51">
        <f ca="1"/>
        <v>0.9669364239057785</v>
      </c>
      <c r="K133" s="51">
        <f ca="1"/>
        <v>0.9669364239057785</v>
      </c>
      <c r="L133" s="51">
        <f ca="1"/>
        <v>0.9669364239057785</v>
      </c>
      <c r="M133" s="51">
        <f ca="1"/>
        <v>1</v>
      </c>
      <c r="N133" s="51">
        <f ca="1"/>
        <v>1</v>
      </c>
      <c r="O133" s="51">
        <f ca="1"/>
        <v>1</v>
      </c>
      <c r="P133" s="51">
        <f ca="1"/>
        <v>1</v>
      </c>
      <c r="Q133" s="51">
        <f ca="1"/>
        <v>1</v>
      </c>
      <c r="R133" s="51">
        <f ca="1"/>
        <v>1</v>
      </c>
      <c r="S133" s="51">
        <f ca="1"/>
        <v>1</v>
      </c>
      <c r="T133" s="51">
        <f ca="1"/>
        <v>1</v>
      </c>
      <c r="U133" s="51">
        <f ca="1"/>
        <v>1</v>
      </c>
      <c r="V133" s="51">
        <f ca="1"/>
        <v>1</v>
      </c>
      <c r="W133" s="51">
        <f ca="1"/>
        <v>1</v>
      </c>
      <c r="X133" s="51">
        <f ca="1"/>
        <v>1</v>
      </c>
      <c r="Y133" s="51">
        <f ca="1"/>
        <v>1</v>
      </c>
    </row>
    <row r="134" spans="1:25" x14ac:dyDescent="0.25">
      <c r="A134" s="51" t="s">
        <v>256</v>
      </c>
      <c r="B134" s="50" t="s">
        <v>228</v>
      </c>
      <c r="C134" s="51" cm="1">
        <f t="array" aca="1" ref="C134:Y134" ca="1">OFFSET($C$53,0,0,1,$C$2)*TRANSPOSE(_xlfn.BYROW(C131:I131^OFFSET($C$29,0,0,$C$2,$C$1),_xlfn.LAMBDA(_xlpm.array, PRODUCT(_xlpm.array))))</f>
        <v>6.4170728700072199E-7</v>
      </c>
      <c r="D134" s="51">
        <f ca="1"/>
        <v>9.9992949288481769E-4</v>
      </c>
      <c r="E134" s="51">
        <f ca="1"/>
        <v>2.9999956945249445E-4</v>
      </c>
      <c r="F134" s="51">
        <f ca="1"/>
        <v>2.6915348039269101E-8</v>
      </c>
      <c r="G134" s="51">
        <f ca="1"/>
        <v>1</v>
      </c>
      <c r="H134" s="51">
        <f ca="1"/>
        <v>7.4293068902518528E-14</v>
      </c>
      <c r="I134" s="51">
        <f ca="1"/>
        <v>3.4272984463015228E-8</v>
      </c>
      <c r="J134" s="51">
        <f ca="1"/>
        <v>8.1721870235427361E-7</v>
      </c>
      <c r="K134" s="51">
        <f ca="1"/>
        <v>3.5654046837680493E-7</v>
      </c>
      <c r="L134" s="51">
        <f ca="1"/>
        <v>4.3051827867439263E-10</v>
      </c>
      <c r="M134" s="51">
        <f ca="1"/>
        <v>6.4188820472834535E-7</v>
      </c>
      <c r="N134" s="51">
        <f ca="1"/>
        <v>1.0000704389410487E-3</v>
      </c>
      <c r="O134" s="51">
        <f ca="1"/>
        <v>3.0004185619019564E-4</v>
      </c>
      <c r="P134" s="51">
        <f ca="1"/>
        <v>2.691914191892283E-8</v>
      </c>
      <c r="Q134" s="51">
        <f ca="1"/>
        <v>3.7416332140212464E-7</v>
      </c>
      <c r="R134" s="51">
        <f ca="1"/>
        <v>7.2010890763664385E-7</v>
      </c>
      <c r="S134" s="51">
        <f ca="1"/>
        <v>4.8363621598370085E-10</v>
      </c>
      <c r="T134" s="51">
        <f ca="1"/>
        <v>7.0949329994684936E-8</v>
      </c>
      <c r="U134" s="51">
        <f ca="1"/>
        <v>5.0693458806804535E-13</v>
      </c>
      <c r="V134" s="51">
        <f ca="1"/>
        <v>2.8072770134771228E-13</v>
      </c>
      <c r="W134" s="51">
        <f ca="1"/>
        <v>5.549947757892296E-10</v>
      </c>
      <c r="X134" s="51">
        <f ca="1"/>
        <v>3.1498166154590445E-13</v>
      </c>
      <c r="Y134" s="51">
        <f ca="1"/>
        <v>6.2271438047669931E-10</v>
      </c>
    </row>
    <row r="135" spans="1:25" x14ac:dyDescent="0.25">
      <c r="B135" s="50" t="s">
        <v>238</v>
      </c>
      <c r="C135" s="51" cm="1">
        <f t="array" aca="1" ref="C135:Y135" ca="1">_xlfn.ANCHORARRAY(C134)*_xlfn.ANCHORARRAY(C133)</f>
        <v>5.6307759938660459E-7</v>
      </c>
      <c r="D135" s="51">
        <f ca="1"/>
        <v>9.6686824800796417E-4</v>
      </c>
      <c r="E135" s="51">
        <f ca="1"/>
        <v>2.9008051085966822E-4</v>
      </c>
      <c r="F135" s="51">
        <f ca="1"/>
        <v>2.602543038127027E-8</v>
      </c>
      <c r="G135" s="51">
        <f ca="1"/>
        <v>1</v>
      </c>
      <c r="H135" s="51">
        <f ca="1"/>
        <v>7.4293068902518528E-14</v>
      </c>
      <c r="I135" s="51">
        <f ca="1"/>
        <v>3.4272984463015228E-8</v>
      </c>
      <c r="J135" s="51">
        <f ca="1"/>
        <v>7.9019852960336214E-7</v>
      </c>
      <c r="K135" s="51">
        <f ca="1"/>
        <v>3.4475196546995907E-7</v>
      </c>
      <c r="L135" s="51">
        <f ca="1"/>
        <v>4.1628380480748858E-10</v>
      </c>
      <c r="M135" s="51">
        <f ca="1"/>
        <v>6.4188820472834535E-7</v>
      </c>
      <c r="N135" s="51">
        <f ca="1"/>
        <v>1.0000704389410487E-3</v>
      </c>
      <c r="O135" s="51">
        <f ca="1"/>
        <v>3.0004185619019564E-4</v>
      </c>
      <c r="P135" s="51">
        <f ca="1"/>
        <v>2.691914191892283E-8</v>
      </c>
      <c r="Q135" s="51">
        <f ca="1"/>
        <v>3.7416332140212464E-7</v>
      </c>
      <c r="R135" s="51">
        <f ca="1"/>
        <v>7.2010890763664385E-7</v>
      </c>
      <c r="S135" s="51">
        <f ca="1"/>
        <v>4.8363621598370085E-10</v>
      </c>
      <c r="T135" s="51">
        <f ca="1"/>
        <v>7.0949329994684936E-8</v>
      </c>
      <c r="U135" s="51">
        <f ca="1"/>
        <v>5.0693458806804535E-13</v>
      </c>
      <c r="V135" s="51">
        <f ca="1"/>
        <v>2.8072770134771228E-13</v>
      </c>
      <c r="W135" s="51">
        <f ca="1"/>
        <v>5.549947757892296E-10</v>
      </c>
      <c r="X135" s="51">
        <f ca="1"/>
        <v>3.1498166154590445E-13</v>
      </c>
      <c r="Y135" s="51">
        <f ca="1"/>
        <v>6.2271438047669931E-10</v>
      </c>
    </row>
    <row r="136" spans="1:25" x14ac:dyDescent="0.25">
      <c r="A136" s="51" t="s">
        <v>255</v>
      </c>
      <c r="B136" s="50" t="s">
        <v>108</v>
      </c>
      <c r="C136" s="51" cm="1">
        <f t="array" aca="1" ref="C136" ca="1">SUM(_xlfn.ANCHORARRAY(C134)*OFFSET($C$10,0,0,1,$C$2)^2)*0.5</f>
        <v>1.3037850122960644E-3</v>
      </c>
    </row>
    <row r="137" spans="1:25" x14ac:dyDescent="0.25">
      <c r="A137" s="51" t="s">
        <v>257</v>
      </c>
      <c r="B137" s="50" t="s">
        <v>233</v>
      </c>
      <c r="C137" s="51" cm="1">
        <f t="array" aca="1" ref="C137" ca="1">IFERROR(SUM(_xlfn._xlws.FILTER(_xlfn.ANCHORARRAY(C133)*OFFSET($C$10,0,0,1,$C$2),OFFSET($C$11,0,0,1,$C$2)="WHAMHA")),0)</f>
        <v>0</v>
      </c>
      <c r="D137" s="51" cm="1">
        <f t="array" aca="1" ref="D137" ca="1">IFERROR(SUM(_xlfn._xlws.FILTER(_xlfn.ANCHORARRAY(C135)*OFFSET($C$10,0,0,1,$C$2),OFFSET($C$11,0,0,1,$C$2)="WHAMFA")),0)</f>
        <v>-7.0394561425782418E-8</v>
      </c>
    </row>
    <row r="138" spans="1:25" x14ac:dyDescent="0.25">
      <c r="A138" s="51" t="s">
        <v>259</v>
      </c>
      <c r="B138" s="50" t="s">
        <v>234</v>
      </c>
      <c r="C138" s="51" cm="1">
        <f t="array" aca="1" ref="C138:Y138" ca="1">OFFSET($C$53,0,0,1,$C$2)*IF(OFFSET($C$11,0,0,1,$C$2)="WHAMFA",EXP(2*$D$26*LOG10(C136)*D137*ABS(OFFSET($C$10,0,0,1,$C$2))),IF(OFFSET($C$11,0,0,1,$C$2)="WHAMHA",EXP(2*$D$26*LOG10(C136)*C137*ABS(OFFSET($C$10,0,0,1,$C$2))),1))</f>
        <v>1</v>
      </c>
      <c r="D138" s="51">
        <f ca="1"/>
        <v>1</v>
      </c>
      <c r="E138" s="51">
        <f ca="1"/>
        <v>1</v>
      </c>
      <c r="F138" s="51">
        <f ca="1"/>
        <v>1</v>
      </c>
      <c r="G138" s="51">
        <f ca="1"/>
        <v>1</v>
      </c>
      <c r="H138" s="51">
        <f ca="1"/>
        <v>1</v>
      </c>
      <c r="I138" s="51">
        <f ca="1"/>
        <v>1</v>
      </c>
      <c r="J138" s="51">
        <f ca="1"/>
        <v>2.1995725798065139E-14</v>
      </c>
      <c r="K138" s="51">
        <f ca="1"/>
        <v>1.4954498711240171E-8</v>
      </c>
      <c r="L138" s="51">
        <f ca="1"/>
        <v>2.2363202312453416</v>
      </c>
      <c r="M138" s="51">
        <f ca="1"/>
        <v>1</v>
      </c>
      <c r="N138" s="51">
        <f ca="1"/>
        <v>1</v>
      </c>
      <c r="O138" s="51">
        <f ca="1"/>
        <v>1</v>
      </c>
      <c r="P138" s="51">
        <f ca="1"/>
        <v>1</v>
      </c>
      <c r="Q138" s="51">
        <f ca="1"/>
        <v>1.0069316688518E-14</v>
      </c>
      <c r="R138" s="51">
        <f ca="1"/>
        <v>3.0199517204020201E-8</v>
      </c>
      <c r="S138" s="51">
        <f ca="1"/>
        <v>2.5118864315095801</v>
      </c>
      <c r="T138" s="51">
        <f ca="1"/>
        <v>2.5702882571248385E-2</v>
      </c>
      <c r="U138" s="51">
        <f ca="1"/>
        <v>3.9809051680305506E-13</v>
      </c>
      <c r="V138" s="51">
        <f ca="1"/>
        <v>0.15848268926864345</v>
      </c>
      <c r="W138" s="51">
        <f ca="1"/>
        <v>6.7917521994684401E-4</v>
      </c>
      <c r="X138" s="51">
        <f ca="1"/>
        <v>4.7863009232263802E-9</v>
      </c>
      <c r="Y138" s="51">
        <f ca="1"/>
        <v>2.0511621788255701E-11</v>
      </c>
    </row>
    <row r="139" spans="1:25" x14ac:dyDescent="0.25">
      <c r="A139" s="51" t="s">
        <v>260</v>
      </c>
      <c r="B139" s="50" t="s">
        <v>236</v>
      </c>
      <c r="C139" s="51" cm="1">
        <f t="array" aca="1" ref="C139:D139" ca="1">((1000*((6.022E+23)/$C$24:$D$24)*(4*PI()/3)*((($C$25:$D$25+(0.000000000304 / SQRT(C136)))^3)-(($C$25:$D$25)^3)))*$C$20*ABS(C137:D137))/(1+$C$20*ABS(C137:D137))*$C$23:$D$23*$C$24:$D$24</f>
        <v>0</v>
      </c>
      <c r="D139" s="51">
        <f ca="1"/>
        <v>1.4797104934656691E-8</v>
      </c>
    </row>
    <row r="140" spans="1:25" x14ac:dyDescent="0.25">
      <c r="A140" s="51" t="s">
        <v>260</v>
      </c>
      <c r="B140" s="50" t="s">
        <v>237</v>
      </c>
      <c r="C140" s="51" cm="1">
        <f t="array" aca="1" ref="C140:D140" ca="1">$C$19/($C$19+SUM(_xlfn.ANCHORARRAY(C139)))*_xlfn.ANCHORARRAY(C139)</f>
        <v>0</v>
      </c>
      <c r="D140" s="51">
        <f ca="1"/>
        <v>1.4797104058839486E-8</v>
      </c>
    </row>
    <row r="141" spans="1:25" x14ac:dyDescent="0.25">
      <c r="A141" s="51" t="s">
        <v>260</v>
      </c>
      <c r="B141" s="50" t="s">
        <v>235</v>
      </c>
      <c r="C141" s="51" cm="1">
        <f t="array" aca="1" ref="C141:Y141" ca="1">IF(OFFSET($C$11,0,0,1,$C$2)="DonnanHA",C140,IF(OFFSET($C$11,0,0,1,$C$2)="DonnanFA",D140,IF(OR(OFFSET($C$11,0,0,1,$C$2)="WHAMHA",OFFSET($C$11,0,0,1,$C$2)="WHAMFA"),OFFSET($C$14,0,0,1,$C$2),OFFSET($C$14,0,0,1,$C$2)-SUM(_xlfn.ANCHORARRAY(C140)))))</f>
        <v>1</v>
      </c>
      <c r="D141" s="51">
        <f ca="1"/>
        <v>1</v>
      </c>
      <c r="E141" s="51">
        <f ca="1"/>
        <v>1</v>
      </c>
      <c r="F141" s="51">
        <f ca="1"/>
        <v>1</v>
      </c>
      <c r="G141" s="51">
        <f ca="1"/>
        <v>1.4797104058839486E-8</v>
      </c>
      <c r="H141" s="51">
        <f ca="1"/>
        <v>1</v>
      </c>
      <c r="I141" s="51">
        <f ca="1"/>
        <v>1</v>
      </c>
      <c r="J141" s="51">
        <f ca="1"/>
        <v>1</v>
      </c>
      <c r="K141" s="51">
        <f ca="1"/>
        <v>1</v>
      </c>
      <c r="L141" s="51">
        <f ca="1"/>
        <v>1</v>
      </c>
      <c r="M141" s="51">
        <f ca="1"/>
        <v>1.4797104058839486E-8</v>
      </c>
      <c r="N141" s="51">
        <f ca="1"/>
        <v>1.4797104058839486E-8</v>
      </c>
      <c r="O141" s="51">
        <f ca="1"/>
        <v>1.4797104058839486E-8</v>
      </c>
      <c r="P141" s="51">
        <f ca="1"/>
        <v>1.4797104058839486E-8</v>
      </c>
      <c r="Q141" s="51">
        <f ca="1"/>
        <v>1.4797104058839486E-8</v>
      </c>
      <c r="R141" s="51">
        <f ca="1"/>
        <v>1.4797104058839486E-8</v>
      </c>
      <c r="S141" s="51">
        <f ca="1"/>
        <v>1.4797104058839486E-8</v>
      </c>
      <c r="T141" s="51">
        <f ca="1"/>
        <v>1</v>
      </c>
      <c r="U141" s="51">
        <f ca="1"/>
        <v>1</v>
      </c>
      <c r="V141" s="51">
        <f ca="1"/>
        <v>1</v>
      </c>
      <c r="W141" s="51">
        <f ca="1"/>
        <v>1</v>
      </c>
      <c r="X141" s="51">
        <f ca="1"/>
        <v>1</v>
      </c>
      <c r="Y141" s="51">
        <f ca="1"/>
        <v>1</v>
      </c>
    </row>
    <row r="142" spans="1:25" x14ac:dyDescent="0.25">
      <c r="A142" s="51" t="s">
        <v>261</v>
      </c>
      <c r="B142" s="50" t="s">
        <v>228</v>
      </c>
      <c r="C142" s="51" cm="1">
        <f t="array" aca="1" ref="C142:Y142" ca="1">IF((OFFSET($C$11,0,0,1,$C$2)="DonnanFA")*(SIGN(_xlfn.SEQUENCE(1,$C$2,D137,0))=SIGN(OFFSET($C$10,0,0,1,$C$2))),0,OFFSET(C134,0,0,1,$C$2))</f>
        <v>6.4170728700072199E-7</v>
      </c>
      <c r="D142" s="51">
        <f ca="1"/>
        <v>9.9992949288481769E-4</v>
      </c>
      <c r="E142" s="51">
        <f ca="1"/>
        <v>2.9999956945249445E-4</v>
      </c>
      <c r="F142" s="51">
        <f ca="1"/>
        <v>2.6915348039269101E-8</v>
      </c>
      <c r="G142" s="51">
        <f ca="1"/>
        <v>1</v>
      </c>
      <c r="H142" s="51">
        <f ca="1"/>
        <v>7.4293068902518528E-14</v>
      </c>
      <c r="I142" s="51">
        <f ca="1"/>
        <v>3.4272984463015228E-8</v>
      </c>
      <c r="J142" s="51">
        <f ca="1"/>
        <v>8.1721870235427361E-7</v>
      </c>
      <c r="K142" s="51">
        <f ca="1"/>
        <v>3.5654046837680493E-7</v>
      </c>
      <c r="L142" s="51">
        <f ca="1"/>
        <v>4.3051827867439263E-10</v>
      </c>
      <c r="M142" s="51">
        <f ca="1"/>
        <v>6.4188820472834535E-7</v>
      </c>
      <c r="N142" s="51">
        <f ca="1"/>
        <v>1.0000704389410487E-3</v>
      </c>
      <c r="O142" s="51">
        <f ca="1"/>
        <v>0</v>
      </c>
      <c r="P142" s="51">
        <f ca="1"/>
        <v>2.691914191892283E-8</v>
      </c>
      <c r="Q142" s="51">
        <f ca="1"/>
        <v>0</v>
      </c>
      <c r="R142" s="51">
        <f ca="1"/>
        <v>7.2010890763664385E-7</v>
      </c>
      <c r="S142" s="51">
        <f ca="1"/>
        <v>4.8363621598370085E-10</v>
      </c>
      <c r="T142" s="51">
        <f ca="1"/>
        <v>7.0949329994684936E-8</v>
      </c>
      <c r="U142" s="51">
        <f ca="1"/>
        <v>5.0693458806804535E-13</v>
      </c>
      <c r="V142" s="51">
        <f ca="1"/>
        <v>2.8072770134771228E-13</v>
      </c>
      <c r="W142" s="51">
        <f ca="1"/>
        <v>5.549947757892296E-10</v>
      </c>
      <c r="X142" s="51">
        <f ca="1"/>
        <v>3.1498166154590445E-13</v>
      </c>
      <c r="Y142" s="51">
        <f ca="1"/>
        <v>6.2271438047669931E-10</v>
      </c>
    </row>
    <row r="143" spans="1:25" x14ac:dyDescent="0.25">
      <c r="B143" s="50" t="s">
        <v>238</v>
      </c>
      <c r="C143" s="51" cm="1">
        <f t="array" aca="1" ref="C143:Y143" ca="1">_xlfn.ANCHORARRAY(C142)*_xlfn.ANCHORARRAY(C141)</f>
        <v>6.4170728700072199E-7</v>
      </c>
      <c r="D143" s="51">
        <f ca="1"/>
        <v>9.9992949288481769E-4</v>
      </c>
      <c r="E143" s="51">
        <f ca="1"/>
        <v>2.9999956945249445E-4</v>
      </c>
      <c r="F143" s="51">
        <f ca="1"/>
        <v>2.6915348039269101E-8</v>
      </c>
      <c r="G143" s="51">
        <f ca="1"/>
        <v>1.4797104058839486E-8</v>
      </c>
      <c r="H143" s="51">
        <f ca="1"/>
        <v>7.4293068902518528E-14</v>
      </c>
      <c r="I143" s="51">
        <f ca="1"/>
        <v>3.4272984463015228E-8</v>
      </c>
      <c r="J143" s="51">
        <f ca="1"/>
        <v>8.1721870235427361E-7</v>
      </c>
      <c r="K143" s="51">
        <f ca="1"/>
        <v>3.5654046837680493E-7</v>
      </c>
      <c r="L143" s="51">
        <f ca="1"/>
        <v>4.3051827867439263E-10</v>
      </c>
      <c r="M143" s="51">
        <f ca="1"/>
        <v>9.4980865595069899E-15</v>
      </c>
      <c r="N143" s="51">
        <f ca="1"/>
        <v>1.4798146351179977E-11</v>
      </c>
      <c r="O143" s="51">
        <f ca="1"/>
        <v>0</v>
      </c>
      <c r="P143" s="51">
        <f ca="1"/>
        <v>3.9832534414896917E-16</v>
      </c>
      <c r="Q143" s="51">
        <f ca="1"/>
        <v>0</v>
      </c>
      <c r="R143" s="51">
        <f ca="1"/>
        <v>1.0655526439996652E-14</v>
      </c>
      <c r="S143" s="51">
        <f ca="1"/>
        <v>7.156415414534191E-18</v>
      </c>
      <c r="T143" s="51">
        <f ca="1"/>
        <v>7.0949329994684936E-8</v>
      </c>
      <c r="U143" s="51">
        <f ca="1"/>
        <v>5.0693458806804535E-13</v>
      </c>
      <c r="V143" s="51">
        <f ca="1"/>
        <v>2.8072770134771228E-13</v>
      </c>
      <c r="W143" s="51">
        <f ca="1"/>
        <v>5.549947757892296E-10</v>
      </c>
      <c r="X143" s="51">
        <f ca="1"/>
        <v>3.1498166154590445E-13</v>
      </c>
      <c r="Y143" s="51">
        <f ca="1"/>
        <v>6.2271438047669931E-10</v>
      </c>
    </row>
    <row r="144" spans="1:25" x14ac:dyDescent="0.25">
      <c r="A144" s="51" t="s">
        <v>261</v>
      </c>
      <c r="B144" s="55" t="s">
        <v>222</v>
      </c>
      <c r="C144" s="56" cm="1">
        <f t="array" aca="1" ref="C144:I144" ca="1">IF(OFFSET($C$5,0,0,1,$C$1)="DonnanFA",-D137,_xlfn.ANCHORARRAY(C129))</f>
        <v>-3.7003708565319301E-7</v>
      </c>
      <c r="D144" s="56">
        <f ca="1"/>
        <v>-4.9992949288481768E-4</v>
      </c>
      <c r="E144" s="56">
        <f ca="1"/>
        <v>4.3024047812032933E-10</v>
      </c>
      <c r="F144" s="56">
        <f ca="1"/>
        <v>0</v>
      </c>
      <c r="G144" s="56">
        <f ca="1"/>
        <v>7.0394561425782418E-8</v>
      </c>
      <c r="H144" s="56">
        <f ca="1"/>
        <v>6.2357712551189754E-19</v>
      </c>
      <c r="I144" s="56">
        <f ca="1"/>
        <v>1.2010814007464744E-9</v>
      </c>
    </row>
    <row r="145" spans="1:9" x14ac:dyDescent="0.25">
      <c r="A145" s="51" t="s">
        <v>262</v>
      </c>
      <c r="B145" s="57" t="s">
        <v>222</v>
      </c>
      <c r="C145" s="58" cm="1">
        <f t="array" aca="1" ref="C145:I145" ca="1">IF(OFFSET($C$6,0,0,1,$C$1)="FixedAct",MMULT((_xlfn.ANCHORARRAY(C142)*_xlfn.ANCHORARRAY(C141)),OFFSET($C$29,0,0,$C$2,$C$1)),IF(OFFSET($C$5,0,0,1,$C$1)="DonnanFA",-D137,_xlfn.ANCHORARRAY(C144)))</f>
        <v>-3.7003708565319301E-7</v>
      </c>
      <c r="D145" s="58">
        <f ca="1"/>
        <v>-4.9992949288481768E-4</v>
      </c>
      <c r="E145" s="58">
        <f ca="1"/>
        <v>4.3024047812032933E-10</v>
      </c>
      <c r="F145" s="58">
        <f ca="1"/>
        <v>-1.2195950041060507E-6</v>
      </c>
      <c r="G145" s="58">
        <f ca="1"/>
        <v>7.0394561425782418E-8</v>
      </c>
      <c r="H145" s="58">
        <f ca="1"/>
        <v>6.2357712551189754E-19</v>
      </c>
      <c r="I145" s="58">
        <f ca="1"/>
        <v>1.2010814007464744E-9</v>
      </c>
    </row>
    <row r="146" spans="1:9" x14ac:dyDescent="0.25">
      <c r="B146" s="50" t="s">
        <v>105</v>
      </c>
      <c r="C146" s="51" cm="1">
        <f t="array" aca="1" ref="C146:I146" ca="1">_xlfn.ANCHORARRAY(C145)*OFFSET(C141,0,0,1,$C$1)</f>
        <v>-3.7003708565319301E-7</v>
      </c>
      <c r="D146" s="51">
        <f ca="1"/>
        <v>-4.9992949288481768E-4</v>
      </c>
      <c r="E146" s="51">
        <f ca="1"/>
        <v>4.3024047812032933E-10</v>
      </c>
      <c r="F146" s="51">
        <f ca="1"/>
        <v>-1.2195950041060507E-6</v>
      </c>
      <c r="G146" s="51">
        <f ca="1"/>
        <v>1.0416356505936706E-15</v>
      </c>
      <c r="H146" s="51">
        <f ca="1"/>
        <v>6.2357712551189754E-19</v>
      </c>
      <c r="I146" s="51">
        <f ca="1"/>
        <v>1.2010814007464744E-9</v>
      </c>
    </row>
    <row r="147" spans="1:9" x14ac:dyDescent="0.25">
      <c r="A147" s="51" t="s">
        <v>263</v>
      </c>
      <c r="B147" s="50" t="s">
        <v>239</v>
      </c>
      <c r="C147" s="51" cm="1">
        <f t="array" aca="1" ref="C147:I147" ca="1">MMULT(_xlfn.ANCHORARRAY(C143),OFFSET($C$29,0,0,$C$2,$C$1))</f>
        <v>9.9985659868259977E-7</v>
      </c>
      <c r="D147" s="51">
        <f ca="1"/>
        <v>9.9992950768296412E-4</v>
      </c>
      <c r="E147" s="51">
        <f ca="1"/>
        <v>2.9999999997078029E-4</v>
      </c>
      <c r="F147" s="51">
        <f ca="1"/>
        <v>-1.2195950041060507E-6</v>
      </c>
      <c r="G147" s="51">
        <f ca="1"/>
        <v>1.4828203532498552E-11</v>
      </c>
      <c r="H147" s="51">
        <f ca="1"/>
        <v>7.0949999997116736E-8</v>
      </c>
      <c r="I147" s="51">
        <f ca="1"/>
        <v>3.5451200553869221E-8</v>
      </c>
    </row>
    <row r="148" spans="1:9" x14ac:dyDescent="0.25">
      <c r="A148" s="51" t="s">
        <v>263</v>
      </c>
      <c r="B148" s="50" t="s">
        <v>103</v>
      </c>
      <c r="C148" s="51" cm="1">
        <f t="array" aca="1" ref="C148:I148" ca="1">_xlfn.ANCHORARRAY(C147)/OFFSET(C141,0,0,1,$C$1)</f>
        <v>9.9985659868259977E-7</v>
      </c>
      <c r="D148" s="51">
        <f ca="1"/>
        <v>9.9992950768296412E-4</v>
      </c>
      <c r="E148" s="51">
        <f ca="1"/>
        <v>2.9999999997078029E-4</v>
      </c>
      <c r="F148" s="51">
        <f ca="1"/>
        <v>-1.2195950041060507E-6</v>
      </c>
      <c r="G148" s="51">
        <f ca="1"/>
        <v>1.0021017270362769E-3</v>
      </c>
      <c r="H148" s="51">
        <f ca="1"/>
        <v>7.0949999997116736E-8</v>
      </c>
      <c r="I148" s="51">
        <f ca="1"/>
        <v>3.5451200553869221E-8</v>
      </c>
    </row>
    <row r="149" spans="1:9" x14ac:dyDescent="0.25">
      <c r="A149" s="51" t="s">
        <v>264</v>
      </c>
      <c r="B149" s="50" t="s">
        <v>104</v>
      </c>
      <c r="C149" s="51" cm="1">
        <f t="array" aca="1" ref="C149:I149" ca="1">IF(OFFSET($C$6,0,0,1,$C$1)="FixedAct",0,_xlfn.ANCHORARRAY(C147)-_xlfn.ANCHORARRAY(C145))</f>
        <v>1.3698936843357928E-6</v>
      </c>
      <c r="D149" s="51">
        <f ca="1"/>
        <v>1.4998590005677818E-3</v>
      </c>
      <c r="E149" s="51">
        <f ca="1"/>
        <v>2.9999956973030217E-4</v>
      </c>
      <c r="F149" s="51">
        <f ca="1"/>
        <v>0</v>
      </c>
      <c r="G149" s="51">
        <f ca="1"/>
        <v>-7.0379733222249914E-8</v>
      </c>
      <c r="H149" s="51">
        <f ca="1"/>
        <v>7.0949999996493161E-8</v>
      </c>
      <c r="I149" s="51">
        <f ca="1"/>
        <v>3.4250119153122746E-8</v>
      </c>
    </row>
    <row r="150" spans="1:9" x14ac:dyDescent="0.25">
      <c r="A150" s="51" t="s">
        <v>264</v>
      </c>
      <c r="B150" s="50" t="s">
        <v>240</v>
      </c>
      <c r="C150" s="51" cm="1">
        <f t="array" aca="1" ref="C150:I150" ca="1">ABS(_xlfn.ANCHORARRAY(C149)/_xlfn.ANCHORARRAY(C145))</f>
        <v>3.7020443016343711</v>
      </c>
      <c r="D150" s="51">
        <f ca="1"/>
        <v>3.0001410637186492</v>
      </c>
      <c r="E150" s="51">
        <f ca="1"/>
        <v>697283.46119585366</v>
      </c>
      <c r="F150" s="51">
        <f ca="1"/>
        <v>0</v>
      </c>
      <c r="G150" s="51">
        <f ca="1"/>
        <v>0.99978935583613038</v>
      </c>
      <c r="H150" s="51">
        <f ca="1"/>
        <v>113779029239.16582</v>
      </c>
      <c r="I150" s="51">
        <f ca="1"/>
        <v>28.516068213058855</v>
      </c>
    </row>
    <row r="151" spans="1:9" x14ac:dyDescent="0.25">
      <c r="A151" s="51" t="s">
        <v>265</v>
      </c>
      <c r="B151" s="50" t="s">
        <v>58</v>
      </c>
      <c r="C151" s="51">
        <f ca="1">MAX(_xlfn.ANCHORARRAY(C150))</f>
        <v>113779029239.16582</v>
      </c>
    </row>
    <row r="153" spans="1:9" x14ac:dyDescent="0.25">
      <c r="B153" s="50" t="s">
        <v>249</v>
      </c>
    </row>
    <row r="154" spans="1:9" x14ac:dyDescent="0.25">
      <c r="A154" s="51" t="s">
        <v>242</v>
      </c>
      <c r="B154" s="50" t="s">
        <v>242</v>
      </c>
      <c r="C154" s="51" cm="1">
        <f t="array" ref="C154:I154">_xlfn.SEQUENCE(1,$C$1,0,1)</f>
        <v>0</v>
      </c>
      <c r="D154" s="51">
        <v>1</v>
      </c>
      <c r="E154" s="51">
        <v>2</v>
      </c>
      <c r="F154" s="51">
        <v>3</v>
      </c>
      <c r="G154" s="51">
        <v>4</v>
      </c>
      <c r="H154" s="51">
        <v>5</v>
      </c>
      <c r="I154" s="51">
        <v>6</v>
      </c>
    </row>
    <row r="155" spans="1:9" x14ac:dyDescent="0.25">
      <c r="B155" s="51" cm="1">
        <f t="array" ref="B155:B161">_xlfn.SEQUENCE($C$1,1,0,1)</f>
        <v>0</v>
      </c>
      <c r="C155" s="51" cm="1">
        <f t="array" aca="1" ref="C155:I161" ca="1">MMULT(TRANSPOSE(_xlfn.MAKEARRAY($C$2,$C$1,_xlfn.LAMBDA(_xlpm.row,_xlpm.col,OFFSET(C143,0,_xlpm.col-1)))*OFFSET($C$29,0,0,$C$2,$C$1)),OFFSET($C$29,0,0,$C$2,$C$1)*_xlfn.MAKEARRAY($C$2,$C$1,_xlfn.LAMBDA(_xlpm.row,_xlpm.col,1/OFFSET(C143,0,_xlpm.col-1))))</f>
        <v>10</v>
      </c>
      <c r="D155" s="51">
        <f ca="1"/>
        <v>0</v>
      </c>
      <c r="E155" s="51">
        <f ca="1"/>
        <v>4.2780547196907739E-3</v>
      </c>
      <c r="F155" s="51">
        <f ca="1"/>
        <v>-190.73349111131103</v>
      </c>
      <c r="G155" s="51">
        <f ca="1"/>
        <v>173.46834473800411</v>
      </c>
      <c r="H155" s="51">
        <f ca="1"/>
        <v>17275024.34561478</v>
      </c>
      <c r="I155" s="51">
        <f ca="1"/>
        <v>37.44682857678783</v>
      </c>
    </row>
    <row r="156" spans="1:9" x14ac:dyDescent="0.25">
      <c r="B156" s="50">
        <v>1</v>
      </c>
      <c r="C156" s="51">
        <f ca="1"/>
        <v>0</v>
      </c>
      <c r="D156" s="51">
        <f ca="1"/>
        <v>2</v>
      </c>
      <c r="E156" s="51">
        <f ca="1"/>
        <v>0</v>
      </c>
      <c r="F156" s="51">
        <f ca="1"/>
        <v>0</v>
      </c>
      <c r="G156" s="51">
        <f ca="1"/>
        <v>67576.026289244095</v>
      </c>
      <c r="H156" s="51">
        <f ca="1"/>
        <v>0</v>
      </c>
      <c r="I156" s="51">
        <f ca="1"/>
        <v>0</v>
      </c>
    </row>
    <row r="157" spans="1:9" x14ac:dyDescent="0.25">
      <c r="B157" s="50">
        <v>2</v>
      </c>
      <c r="C157" s="51">
        <f ca="1"/>
        <v>935.00440319031907</v>
      </c>
      <c r="D157" s="51">
        <f ca="1"/>
        <v>0</v>
      </c>
      <c r="E157" s="51">
        <f ca="1"/>
        <v>4</v>
      </c>
      <c r="F157" s="51">
        <f ca="1"/>
        <v>0</v>
      </c>
      <c r="G157" s="51">
        <f ca="1"/>
        <v>40548.416536042518</v>
      </c>
      <c r="H157" s="51">
        <f ca="1"/>
        <v>0</v>
      </c>
      <c r="I157" s="51">
        <f ca="1"/>
        <v>0</v>
      </c>
    </row>
    <row r="158" spans="1:9" x14ac:dyDescent="0.25">
      <c r="B158" s="50">
        <v>3</v>
      </c>
      <c r="C158" s="51">
        <f ca="1"/>
        <v>-0.33554673396425144</v>
      </c>
      <c r="D158" s="51">
        <f ca="1"/>
        <v>0</v>
      </c>
      <c r="E158" s="51">
        <f ca="1"/>
        <v>0</v>
      </c>
      <c r="F158" s="51">
        <f ca="1"/>
        <v>17.999999999999996</v>
      </c>
      <c r="G158" s="51">
        <f ca="1"/>
        <v>-1.8189605163444411</v>
      </c>
      <c r="H158" s="51">
        <f ca="1"/>
        <v>-1449144.4995809924</v>
      </c>
      <c r="I158" s="51">
        <f ca="1"/>
        <v>-3.1412902565650884</v>
      </c>
    </row>
    <row r="159" spans="1:9" x14ac:dyDescent="0.25">
      <c r="B159" s="50">
        <v>4</v>
      </c>
      <c r="C159" s="51">
        <f ca="1"/>
        <v>9.2235848702917025E-2</v>
      </c>
      <c r="D159" s="51">
        <f ca="1"/>
        <v>1.4798147433525068E-5</v>
      </c>
      <c r="E159" s="51">
        <f ca="1"/>
        <v>9.8647501967049584E-5</v>
      </c>
      <c r="F159" s="51">
        <f ca="1"/>
        <v>-0.54976454464756408</v>
      </c>
      <c r="G159" s="51">
        <f ca="1"/>
        <v>9.9999999999999982</v>
      </c>
      <c r="H159" s="51">
        <f ca="1"/>
        <v>0</v>
      </c>
      <c r="I159" s="51">
        <f ca="1"/>
        <v>0</v>
      </c>
    </row>
    <row r="160" spans="1:9" x14ac:dyDescent="0.25">
      <c r="B160" s="50">
        <v>5</v>
      </c>
      <c r="C160" s="51">
        <f ca="1"/>
        <v>2.315481541428559E-7</v>
      </c>
      <c r="D160" s="51">
        <f ca="1"/>
        <v>0</v>
      </c>
      <c r="E160" s="51">
        <f ca="1"/>
        <v>0</v>
      </c>
      <c r="F160" s="51">
        <f ca="1"/>
        <v>-1.104099695001172E-5</v>
      </c>
      <c r="G160" s="51">
        <f ca="1"/>
        <v>0</v>
      </c>
      <c r="H160" s="51">
        <f ca="1"/>
        <v>4</v>
      </c>
      <c r="I160" s="51">
        <f ca="1"/>
        <v>0</v>
      </c>
    </row>
    <row r="161" spans="1:9" x14ac:dyDescent="0.25">
      <c r="B161" s="50">
        <v>6</v>
      </c>
      <c r="C161" s="51">
        <f ca="1"/>
        <v>0.10681812457889905</v>
      </c>
      <c r="D161" s="51">
        <f ca="1"/>
        <v>0</v>
      </c>
      <c r="E161" s="51">
        <f ca="1"/>
        <v>0</v>
      </c>
      <c r="F161" s="51">
        <f ca="1"/>
        <v>-5.0934484537240889</v>
      </c>
      <c r="G161" s="51">
        <f ca="1"/>
        <v>0</v>
      </c>
      <c r="H161" s="51">
        <f ca="1"/>
        <v>0</v>
      </c>
      <c r="I161" s="51">
        <f ca="1"/>
        <v>4</v>
      </c>
    </row>
    <row r="162" spans="1:9" x14ac:dyDescent="0.25">
      <c r="A162" s="51" t="s">
        <v>267</v>
      </c>
      <c r="B162" s="50" t="s">
        <v>245</v>
      </c>
      <c r="C162" s="51" cm="1">
        <f t="array" aca="1" ref="C162:H162" ca="1">_xlfn._xlws.FILTER(_xlfn.ANCHORARRAY(C154),OFFSET($C$6,0,0,1,$C$1)&lt;&gt;"FixedAct")</f>
        <v>0</v>
      </c>
      <c r="D162" s="51">
        <f ca="1"/>
        <v>1</v>
      </c>
      <c r="E162" s="51">
        <f ca="1"/>
        <v>2</v>
      </c>
      <c r="F162" s="51">
        <f ca="1"/>
        <v>4</v>
      </c>
      <c r="G162" s="51">
        <f ca="1"/>
        <v>5</v>
      </c>
      <c r="H162" s="51">
        <f ca="1"/>
        <v>6</v>
      </c>
    </row>
    <row r="163" spans="1:9" x14ac:dyDescent="0.25">
      <c r="B163" s="51" cm="1">
        <f t="array" aca="1" ref="B163:B168" ca="1">TRANSPOSE(_xlfn.ANCHORARRAY(C162))</f>
        <v>0</v>
      </c>
      <c r="C163" s="52">
        <f ca="1">IF(OFFSET($C$6,0,C$114)="FixedAct",0,IF(OFFSET($C$6,0,$B163)="FixedAct",0,C155))</f>
        <v>10</v>
      </c>
      <c r="D163" s="52">
        <f ca="1">IF(OFFSET($C$6,0,D$114)="FixedAct",0,IF(OFFSET($C$6,0,$B163)="FixedAct",0,D155))</f>
        <v>0</v>
      </c>
      <c r="E163" s="52">
        <f ca="1">IF(OFFSET($C$6,0,E$114)="FixedAct",0,IF(OFFSET($C$6,0,$B163)="FixedAct",0,E155))</f>
        <v>4.2780547196907739E-3</v>
      </c>
      <c r="F163" s="52">
        <f ca="1">IF(OFFSET($C$6,0,F$114)="FixedAct",0,IF(OFFSET($C$6,0,$B163)="FixedAct",0,G155))</f>
        <v>173.46834473800411</v>
      </c>
      <c r="G163" s="52">
        <f ca="1">IF(OFFSET($C$6,0,G$114)="FixedAct",0,IF(OFFSET($C$6,0,$B163)="FixedAct",0,H155))</f>
        <v>17275024.34561478</v>
      </c>
      <c r="H163" s="52">
        <f ca="1">IF(OFFSET($C$6,0,H$114)="FixedAct",0,IF(OFFSET($C$6,0,$B163)="FixedAct",0,I155))</f>
        <v>37.44682857678783</v>
      </c>
      <c r="I163" s="52"/>
    </row>
    <row r="164" spans="1:9" x14ac:dyDescent="0.25">
      <c r="B164" s="51">
        <f ca="1"/>
        <v>1</v>
      </c>
      <c r="C164" s="52">
        <f ca="1">IF(OFFSET($C$6,0,C$114)="FixedAct",0,IF(OFFSET($C$6,0,$B164)="FixedAct",0,C156))</f>
        <v>0</v>
      </c>
      <c r="D164" s="52">
        <f ca="1">IF(OFFSET($C$6,0,D$114)="FixedAct",0,IF(OFFSET($C$6,0,$B164)="FixedAct",0,D156))</f>
        <v>2</v>
      </c>
      <c r="E164" s="52">
        <f ca="1">IF(OFFSET($C$6,0,E$114)="FixedAct",0,IF(OFFSET($C$6,0,$B164)="FixedAct",0,E156))</f>
        <v>0</v>
      </c>
      <c r="F164" s="52">
        <f ca="1">IF(OFFSET($C$6,0,F$114)="FixedAct",0,IF(OFFSET($C$6,0,$B164)="FixedAct",0,G156))</f>
        <v>67576.026289244095</v>
      </c>
      <c r="G164" s="52">
        <f ca="1">IF(OFFSET($C$6,0,G$114)="FixedAct",0,IF(OFFSET($C$6,0,$B164)="FixedAct",0,H156))</f>
        <v>0</v>
      </c>
      <c r="H164" s="52">
        <f ca="1">IF(OFFSET($C$6,0,H$114)="FixedAct",0,IF(OFFSET($C$6,0,$B164)="FixedAct",0,I156))</f>
        <v>0</v>
      </c>
      <c r="I164" s="52"/>
    </row>
    <row r="165" spans="1:9" x14ac:dyDescent="0.25">
      <c r="B165" s="51">
        <f ca="1"/>
        <v>2</v>
      </c>
      <c r="C165" s="52">
        <f ca="1">IF(OFFSET($C$6,0,C$114)="FixedAct",0,IF(OFFSET($C$6,0,$B165)="FixedAct",0,C157))</f>
        <v>935.00440319031907</v>
      </c>
      <c r="D165" s="52">
        <f ca="1">IF(OFFSET($C$6,0,D$114)="FixedAct",0,IF(OFFSET($C$6,0,$B165)="FixedAct",0,D157))</f>
        <v>0</v>
      </c>
      <c r="E165" s="52">
        <f ca="1">IF(OFFSET($C$6,0,E$114)="FixedAct",0,IF(OFFSET($C$6,0,$B165)="FixedAct",0,E157))</f>
        <v>4</v>
      </c>
      <c r="F165" s="52">
        <f ca="1">IF(OFFSET($C$6,0,F$114)="FixedAct",0,IF(OFFSET($C$6,0,$B165)="FixedAct",0,G157))</f>
        <v>40548.416536042518</v>
      </c>
      <c r="G165" s="52">
        <f ca="1">IF(OFFSET($C$6,0,G$114)="FixedAct",0,IF(OFFSET($C$6,0,$B165)="FixedAct",0,H157))</f>
        <v>0</v>
      </c>
      <c r="H165" s="52">
        <f ca="1">IF(OFFSET($C$6,0,H$114)="FixedAct",0,IF(OFFSET($C$6,0,$B165)="FixedAct",0,I157))</f>
        <v>0</v>
      </c>
      <c r="I165" s="52"/>
    </row>
    <row r="166" spans="1:9" x14ac:dyDescent="0.25">
      <c r="B166" s="51">
        <f ca="1"/>
        <v>4</v>
      </c>
      <c r="C166" s="52">
        <f ca="1">IF(OFFSET($C$6,0,C$114)="FixedAct",0,IF(OFFSET($C$6,0,$B166)="FixedAct",0,C159))</f>
        <v>9.2235848702917025E-2</v>
      </c>
      <c r="D166" s="52">
        <f ca="1">IF(OFFSET($C$6,0,D$114)="FixedAct",0,IF(OFFSET($C$6,0,$B166)="FixedAct",0,D159))</f>
        <v>1.4798147433525068E-5</v>
      </c>
      <c r="E166" s="52">
        <f ca="1">IF(OFFSET($C$6,0,E$114)="FixedAct",0,IF(OFFSET($C$6,0,$B166)="FixedAct",0,E159))</f>
        <v>9.8647501967049584E-5</v>
      </c>
      <c r="F166" s="52">
        <f ca="1">IF(OFFSET($C$6,0,F$114)="FixedAct",0,IF(OFFSET($C$6,0,$B166)="FixedAct",0,G159))</f>
        <v>9.9999999999999982</v>
      </c>
      <c r="G166" s="52">
        <f ca="1">IF(OFFSET($C$6,0,G$114)="FixedAct",0,IF(OFFSET($C$6,0,$B166)="FixedAct",0,H159))</f>
        <v>0</v>
      </c>
      <c r="H166" s="52">
        <f ca="1">IF(OFFSET($C$6,0,H$114)="FixedAct",0,IF(OFFSET($C$6,0,$B166)="FixedAct",0,I159))</f>
        <v>0</v>
      </c>
      <c r="I166" s="52"/>
    </row>
    <row r="167" spans="1:9" x14ac:dyDescent="0.25">
      <c r="B167" s="51">
        <f ca="1"/>
        <v>5</v>
      </c>
      <c r="C167" s="52">
        <f ca="1">IF(OFFSET($C$6,0,C$114)="FixedAct",0,IF(OFFSET($C$6,0,$B167)="FixedAct",0,C160))</f>
        <v>2.315481541428559E-7</v>
      </c>
      <c r="D167" s="52">
        <f ca="1">IF(OFFSET($C$6,0,D$114)="FixedAct",0,IF(OFFSET($C$6,0,$B167)="FixedAct",0,D160))</f>
        <v>0</v>
      </c>
      <c r="E167" s="52">
        <f ca="1">IF(OFFSET($C$6,0,E$114)="FixedAct",0,IF(OFFSET($C$6,0,$B167)="FixedAct",0,E160))</f>
        <v>0</v>
      </c>
      <c r="F167" s="52">
        <f ca="1">IF(OFFSET($C$6,0,F$114)="FixedAct",0,IF(OFFSET($C$6,0,$B167)="FixedAct",0,G160))</f>
        <v>0</v>
      </c>
      <c r="G167" s="52">
        <f ca="1">IF(OFFSET($C$6,0,G$114)="FixedAct",0,IF(OFFSET($C$6,0,$B167)="FixedAct",0,H160))</f>
        <v>4</v>
      </c>
      <c r="H167" s="52">
        <f ca="1">IF(OFFSET($C$6,0,H$114)="FixedAct",0,IF(OFFSET($C$6,0,$B167)="FixedAct",0,I160))</f>
        <v>0</v>
      </c>
      <c r="I167" s="52"/>
    </row>
    <row r="168" spans="1:9" x14ac:dyDescent="0.25">
      <c r="B168" s="51">
        <f ca="1"/>
        <v>6</v>
      </c>
      <c r="C168" s="52">
        <f ca="1">IF(OFFSET($C$6,0,C$114)="FixedAct",0,IF(OFFSET($C$6,0,$B168)="FixedAct",0,C161))</f>
        <v>0.10681812457889905</v>
      </c>
      <c r="D168" s="52">
        <f ca="1">IF(OFFSET($C$6,0,D$114)="FixedAct",0,IF(OFFSET($C$6,0,$B168)="FixedAct",0,D161))</f>
        <v>0</v>
      </c>
      <c r="E168" s="52">
        <f ca="1">IF(OFFSET($C$6,0,E$114)="FixedAct",0,IF(OFFSET($C$6,0,$B168)="FixedAct",0,E161))</f>
        <v>0</v>
      </c>
      <c r="F168" s="52">
        <f ca="1">IF(OFFSET($C$6,0,F$114)="FixedAct",0,IF(OFFSET($C$6,0,$B168)="FixedAct",0,G161))</f>
        <v>0</v>
      </c>
      <c r="G168" s="52">
        <f ca="1">IF(OFFSET($C$6,0,G$114)="FixedAct",0,IF(OFFSET($C$6,0,$B168)="FixedAct",0,H161))</f>
        <v>0</v>
      </c>
      <c r="H168" s="52">
        <f ca="1">IF(OFFSET($C$6,0,H$114)="FixedAct",0,IF(OFFSET($C$6,0,$B168)="FixedAct",0,I161))</f>
        <v>4</v>
      </c>
      <c r="I168" s="52"/>
    </row>
    <row r="169" spans="1:9" x14ac:dyDescent="0.25">
      <c r="A169" s="51" t="s">
        <v>267</v>
      </c>
      <c r="B169" s="50" t="s">
        <v>246</v>
      </c>
      <c r="C169" s="51" cm="1">
        <f t="array" aca="1" ref="C169:H174" ca="1">MINVERSE(C163:H168)</f>
        <v>0.1683168316831683</v>
      </c>
      <c r="D169" s="51">
        <f ca="1"/>
        <v>1.906195648873171E-5</v>
      </c>
      <c r="E169" s="51">
        <f ca="1"/>
        <v>-1.1648168791237256E-4</v>
      </c>
      <c r="F169" s="51">
        <f ca="1"/>
        <v>-2.5762625456139223</v>
      </c>
      <c r="G169" s="51">
        <f ca="1"/>
        <v>-726919.34127586952</v>
      </c>
      <c r="H169" s="51">
        <f ca="1"/>
        <v>-1.5757328856569153</v>
      </c>
    </row>
    <row r="170" spans="1:9" x14ac:dyDescent="0.25">
      <c r="C170" s="51">
        <f ca="1"/>
        <v>46.284149530389087</v>
      </c>
      <c r="D170" s="51">
        <f ca="1"/>
        <v>0.53465346534653468</v>
      </c>
      <c r="E170" s="51">
        <f ca="1"/>
        <v>6.600204144845144E-2</v>
      </c>
      <c r="F170" s="51">
        <f ca="1"/>
        <v>-4683.4869705416713</v>
      </c>
      <c r="G170" s="51">
        <f ca="1"/>
        <v>-199889952.48838657</v>
      </c>
      <c r="H170" s="51">
        <f ca="1"/>
        <v>-433.2986533217242</v>
      </c>
    </row>
    <row r="171" spans="1:9" x14ac:dyDescent="0.25">
      <c r="C171" s="51">
        <f ca="1"/>
        <v>-25.458040680924523</v>
      </c>
      <c r="D171" s="51">
        <f ca="1"/>
        <v>5.9410044167954772E-3</v>
      </c>
      <c r="E171" s="51">
        <f ca="1"/>
        <v>0.29702970297029702</v>
      </c>
      <c r="F171" s="51">
        <f ca="1"/>
        <v>-802.93894130777301</v>
      </c>
      <c r="G171" s="51">
        <f ca="1"/>
        <v>109947068.13865566</v>
      </c>
      <c r="H171" s="51">
        <f ca="1"/>
        <v>238.33072131986816</v>
      </c>
    </row>
    <row r="172" spans="1:9" x14ac:dyDescent="0.25">
      <c r="C172" s="51">
        <f ca="1"/>
        <v>-1.3698393371720354E-3</v>
      </c>
      <c r="D172" s="51">
        <f ca="1"/>
        <v>-1.0256141785611434E-6</v>
      </c>
      <c r="E172" s="51">
        <f ca="1"/>
        <v>-1.9534158805356338E-6</v>
      </c>
      <c r="F172" s="51">
        <f ca="1"/>
        <v>0.13861386138613865</v>
      </c>
      <c r="G172" s="51">
        <f ca="1"/>
        <v>5916.0019748069308</v>
      </c>
      <c r="H172" s="51">
        <f ca="1"/>
        <v>1.2824034709205482E-2</v>
      </c>
    </row>
    <row r="173" spans="1:9" x14ac:dyDescent="0.25">
      <c r="C173" s="51">
        <f ca="1"/>
        <v>-9.7433629218528477E-9</v>
      </c>
      <c r="D173" s="51">
        <f ca="1"/>
        <v>-1.103440209829316E-12</v>
      </c>
      <c r="E173" s="51">
        <f ca="1"/>
        <v>6.7427799568885304E-12</v>
      </c>
      <c r="F173" s="51">
        <f ca="1"/>
        <v>1.491322092560699E-7</v>
      </c>
      <c r="G173" s="51">
        <f ca="1"/>
        <v>0.29207920792079206</v>
      </c>
      <c r="H173" s="51">
        <f ca="1"/>
        <v>9.1214510274014201E-8</v>
      </c>
    </row>
    <row r="174" spans="1:9" x14ac:dyDescent="0.25">
      <c r="C174" s="51">
        <f ca="1"/>
        <v>-4.4948220738645645E-3</v>
      </c>
      <c r="D174" s="51">
        <f ca="1"/>
        <v>-5.0904061073272442E-7</v>
      </c>
      <c r="E174" s="51">
        <f ca="1"/>
        <v>3.1105888626460693E-6</v>
      </c>
      <c r="F174" s="51">
        <f ca="1"/>
        <v>6.8797883386334913E-2</v>
      </c>
      <c r="G174" s="51">
        <f ca="1"/>
        <v>19412.040188804269</v>
      </c>
      <c r="H174" s="51">
        <f ca="1"/>
        <v>0.29207920792079212</v>
      </c>
    </row>
    <row r="175" spans="1:9" x14ac:dyDescent="0.25">
      <c r="A175" s="51" t="s">
        <v>267</v>
      </c>
      <c r="B175" s="50" t="s">
        <v>247</v>
      </c>
      <c r="C175" s="51" cm="1">
        <f t="array" aca="1" ref="C175:H175" ca="1">_xlfn._xlws.FILTER(OFFSET(C149,0,0,1,$C$1),OFFSET($C$6,0,0,1,$C$1)&lt;&gt;"FixedAct")</f>
        <v>1.3698936843357928E-6</v>
      </c>
      <c r="D175" s="51">
        <f ca="1"/>
        <v>1.4998590005677818E-3</v>
      </c>
      <c r="E175" s="51">
        <f ca="1"/>
        <v>2.9999956973030217E-4</v>
      </c>
      <c r="F175" s="51">
        <f ca="1"/>
        <v>-7.0379733222249914E-8</v>
      </c>
      <c r="G175" s="51">
        <f ca="1"/>
        <v>7.0949999996493161E-8</v>
      </c>
      <c r="H175" s="51">
        <f ca="1"/>
        <v>3.4250119153122746E-8</v>
      </c>
    </row>
    <row r="176" spans="1:9" x14ac:dyDescent="0.25">
      <c r="A176" s="51" t="s">
        <v>267</v>
      </c>
      <c r="B176" s="50" t="s">
        <v>248</v>
      </c>
      <c r="C176" s="51" cm="1">
        <f t="array" aca="1" ref="C176:H176" ca="1">TRANSPOSE(MMULT(_xlfn.ANCHORARRAY(C169),TRANSPOSE(_xlfn.ANCHORARRAY(C175))))</f>
        <v>-5.157457569138673E-2</v>
      </c>
      <c r="D176" s="51">
        <f ca="1"/>
        <v>-14.180992236556667</v>
      </c>
      <c r="E176" s="51">
        <f ca="1"/>
        <v>7.8008723021790294</v>
      </c>
      <c r="F176" s="51">
        <f ca="1"/>
        <v>4.1972702287509982E-4</v>
      </c>
      <c r="G176" s="51">
        <f ca="1"/>
        <v>2.0722999449633688E-8</v>
      </c>
      <c r="H176" s="51">
        <f ca="1"/>
        <v>1.3772834253563898E-3</v>
      </c>
    </row>
    <row r="177" spans="1:25" x14ac:dyDescent="0.25">
      <c r="A177" s="51" t="s">
        <v>267</v>
      </c>
      <c r="B177" s="50" t="s">
        <v>243</v>
      </c>
      <c r="C177" s="51" cm="1">
        <f t="array" aca="1" ref="C177:I177" ca="1">_xlfn.XLOOKUP(_xlfn.ANCHORARRAY(C154),C162:H162,_xlfn.ANCHORARRAY(C176),0)</f>
        <v>-5.157457569138673E-2</v>
      </c>
      <c r="D177" s="51">
        <f ca="1"/>
        <v>-14.180992236556667</v>
      </c>
      <c r="E177" s="51">
        <f ca="1"/>
        <v>7.8008723021790294</v>
      </c>
      <c r="F177" s="51">
        <f ca="1"/>
        <v>0</v>
      </c>
      <c r="G177" s="51">
        <f ca="1"/>
        <v>4.1972702287509982E-4</v>
      </c>
      <c r="H177" s="51">
        <f ca="1"/>
        <v>2.0722999449633688E-8</v>
      </c>
      <c r="I177" s="51">
        <f ca="1"/>
        <v>1.3772834253563898E-3</v>
      </c>
    </row>
    <row r="178" spans="1:25" x14ac:dyDescent="0.25">
      <c r="A178" s="51" t="s">
        <v>268</v>
      </c>
      <c r="B178" s="50" t="s">
        <v>226</v>
      </c>
      <c r="C178" s="51" cm="1">
        <f t="array" aca="1" ref="C178:I178" ca="1">IF(_xlfn.ANCHORARRAY(C177)&gt;=OFFSET(C142,0,0,1,$C$1),OFFSET(C142,0,0,1,$C$1)/10,OFFSET(C142,0,0,1,$C$1)-_xlfn.ANCHORARRAY(C177))</f>
        <v>5.1575217398673733E-2</v>
      </c>
      <c r="D178" s="51">
        <f ca="1"/>
        <v>14.181992166049552</v>
      </c>
      <c r="E178" s="51">
        <f ca="1"/>
        <v>2.9999956945249443E-5</v>
      </c>
      <c r="F178" s="51">
        <f ca="1"/>
        <v>2.6915348039269101E-8</v>
      </c>
      <c r="G178" s="51">
        <f ca="1"/>
        <v>0.99958027297712493</v>
      </c>
      <c r="H178" s="51">
        <f ca="1"/>
        <v>7.4293068902518531E-15</v>
      </c>
      <c r="I178" s="51">
        <f ca="1"/>
        <v>3.4272984463015227E-9</v>
      </c>
    </row>
    <row r="179" spans="1:25" x14ac:dyDescent="0.25">
      <c r="B179" s="50" t="s">
        <v>228</v>
      </c>
      <c r="C179" s="51" cm="1">
        <f t="array" aca="1" ref="C179:Y179" ca="1">IF(OFFSET(C178,0,0,1,$C$2)=0,OFFSET(C142,0,0,1,$C$2),OFFSET(C178,0,0,1,$C$2))</f>
        <v>5.1575217398673733E-2</v>
      </c>
      <c r="D179" s="51">
        <f ca="1"/>
        <v>14.181992166049552</v>
      </c>
      <c r="E179" s="51">
        <f ca="1"/>
        <v>2.9999956945249443E-5</v>
      </c>
      <c r="F179" s="51">
        <f ca="1"/>
        <v>2.6915348039269101E-8</v>
      </c>
      <c r="G179" s="51">
        <f ca="1"/>
        <v>0.99958027297712493</v>
      </c>
      <c r="H179" s="51">
        <f ca="1"/>
        <v>7.4293068902518531E-15</v>
      </c>
      <c r="I179" s="51">
        <f ca="1"/>
        <v>3.4272984463015227E-9</v>
      </c>
      <c r="J179" s="51">
        <f ca="1"/>
        <v>8.1721870235427361E-7</v>
      </c>
      <c r="K179" s="51">
        <f ca="1"/>
        <v>3.5654046837680493E-7</v>
      </c>
      <c r="L179" s="51">
        <f ca="1"/>
        <v>4.3051827867439263E-10</v>
      </c>
      <c r="M179" s="51">
        <f ca="1"/>
        <v>6.4188820472834535E-7</v>
      </c>
      <c r="N179" s="51">
        <f ca="1"/>
        <v>1.0000704389410487E-3</v>
      </c>
      <c r="O179" s="51">
        <f ca="1"/>
        <v>0</v>
      </c>
      <c r="P179" s="51">
        <f ca="1"/>
        <v>2.691914191892283E-8</v>
      </c>
      <c r="Q179" s="51">
        <f ca="1"/>
        <v>0</v>
      </c>
      <c r="R179" s="51">
        <f ca="1"/>
        <v>7.2010890763664385E-7</v>
      </c>
      <c r="S179" s="51">
        <f ca="1"/>
        <v>4.8363621598370085E-10</v>
      </c>
      <c r="T179" s="51">
        <f ca="1"/>
        <v>7.0949329994684936E-8</v>
      </c>
      <c r="U179" s="51">
        <f ca="1"/>
        <v>5.0693458806804535E-13</v>
      </c>
      <c r="V179" s="51">
        <f ca="1"/>
        <v>2.8072770134771228E-13</v>
      </c>
      <c r="W179" s="51">
        <f ca="1"/>
        <v>5.549947757892296E-10</v>
      </c>
      <c r="X179" s="51">
        <f ca="1"/>
        <v>3.1498166154590445E-13</v>
      </c>
      <c r="Y179" s="51">
        <f ca="1"/>
        <v>6.2271438047669931E-10</v>
      </c>
    </row>
    <row r="180" spans="1:25" x14ac:dyDescent="0.25">
      <c r="A180" s="51" t="s">
        <v>255</v>
      </c>
      <c r="B180" s="50" t="s">
        <v>108</v>
      </c>
      <c r="C180" s="51" cm="1">
        <f t="array" aca="1" ref="C180" ca="1">SUM(_xlfn.ANCHORARRAY(C179)*OFFSET($C$10,0,0,1,$C$2)^2)*0.5</f>
        <v>7.1946638468573934</v>
      </c>
    </row>
    <row r="181" spans="1:25" x14ac:dyDescent="0.25">
      <c r="A181" s="51" t="s">
        <v>258</v>
      </c>
      <c r="B181" s="50" t="s">
        <v>232</v>
      </c>
      <c r="C181" s="51" cm="1">
        <f t="array" aca="1" ref="C181:Y181" ca="1">IF(OFFSET($C$11,0,0,1,$C$2)="Debye",10^(ABS(OFFSET($C$10,0,0,1,$C$2))^2*(-(0.27+0.0008*$C$17)*SQRT(C180))/(1+(3*ABS(OFFSET($C$10,0,0,1,$C$2))*0.33*SQRT(C180)))),1)</f>
        <v>0.14095185436393484</v>
      </c>
      <c r="D181" s="51">
        <f ca="1"/>
        <v>0.42927055326765079</v>
      </c>
      <c r="E181" s="51">
        <f ca="1"/>
        <v>0.42927055326765079</v>
      </c>
      <c r="F181" s="51">
        <f ca="1"/>
        <v>0.42927055326765079</v>
      </c>
      <c r="G181" s="51">
        <f ca="1"/>
        <v>1</v>
      </c>
      <c r="H181" s="51">
        <f ca="1"/>
        <v>1</v>
      </c>
      <c r="I181" s="51">
        <f ca="1"/>
        <v>1</v>
      </c>
      <c r="J181" s="51">
        <f ca="1"/>
        <v>0.42927055326765079</v>
      </c>
      <c r="K181" s="51">
        <f ca="1"/>
        <v>0.42927055326765079</v>
      </c>
      <c r="L181" s="51">
        <f ca="1"/>
        <v>0.42927055326765079</v>
      </c>
      <c r="M181" s="51">
        <f ca="1"/>
        <v>1</v>
      </c>
      <c r="N181" s="51">
        <f ca="1"/>
        <v>1</v>
      </c>
      <c r="O181" s="51">
        <f ca="1"/>
        <v>1</v>
      </c>
      <c r="P181" s="51">
        <f ca="1"/>
        <v>1</v>
      </c>
      <c r="Q181" s="51">
        <f ca="1"/>
        <v>1</v>
      </c>
      <c r="R181" s="51">
        <f ca="1"/>
        <v>1</v>
      </c>
      <c r="S181" s="51">
        <f ca="1"/>
        <v>1</v>
      </c>
      <c r="T181" s="51">
        <f ca="1"/>
        <v>1</v>
      </c>
      <c r="U181" s="51">
        <f ca="1"/>
        <v>1</v>
      </c>
      <c r="V181" s="51">
        <f ca="1"/>
        <v>1</v>
      </c>
      <c r="W181" s="51">
        <f ca="1"/>
        <v>1</v>
      </c>
      <c r="X181" s="51">
        <f ca="1"/>
        <v>1</v>
      </c>
      <c r="Y181" s="51">
        <f ca="1"/>
        <v>1</v>
      </c>
    </row>
    <row r="182" spans="1:25" x14ac:dyDescent="0.25">
      <c r="A182" s="51" t="s">
        <v>256</v>
      </c>
      <c r="B182" s="50" t="s">
        <v>228</v>
      </c>
      <c r="C182" s="51" cm="1">
        <f t="array" aca="1" ref="C182:Y182" ca="1">OFFSET($C$53,0,0,1,$C$2)*TRANSPOSE(_xlfn.BYROW(C179:I179^OFFSET($C$29,0,0,$C$2,$C$1),_xlfn.LAMBDA(_xlpm.array, PRODUCT(_xlpm.array))))</f>
        <v>5.1575217398673733E-2</v>
      </c>
      <c r="D182" s="51">
        <f ca="1"/>
        <v>14.181992166049552</v>
      </c>
      <c r="E182" s="51">
        <f ca="1"/>
        <v>2.9999956945249443E-5</v>
      </c>
      <c r="F182" s="51">
        <f ca="1"/>
        <v>2.6915348039269101E-8</v>
      </c>
      <c r="G182" s="51">
        <f ca="1"/>
        <v>1</v>
      </c>
      <c r="H182" s="51">
        <f ca="1"/>
        <v>7.4293068902518531E-15</v>
      </c>
      <c r="I182" s="51">
        <f ca="1"/>
        <v>3.4272984463015227E-9</v>
      </c>
      <c r="J182" s="51">
        <f ca="1"/>
        <v>8.1721870235427361E-7</v>
      </c>
      <c r="K182" s="51">
        <f ca="1"/>
        <v>2.8655825701941862E-2</v>
      </c>
      <c r="L182" s="51">
        <f ca="1"/>
        <v>3.4601560971068759E-6</v>
      </c>
      <c r="M182" s="51">
        <f ca="1"/>
        <v>5.1531931459813926E-2</v>
      </c>
      <c r="N182" s="51">
        <f ca="1"/>
        <v>14.176039600699259</v>
      </c>
      <c r="O182" s="51">
        <f ca="1"/>
        <v>2.9987365152634434E-5</v>
      </c>
      <c r="P182" s="51">
        <f ca="1"/>
        <v>2.6904050940366932E-8</v>
      </c>
      <c r="Q182" s="51">
        <f ca="1"/>
        <v>3.7395356394861109E-7</v>
      </c>
      <c r="R182" s="51">
        <f ca="1"/>
        <v>5.7844056797485964E-2</v>
      </c>
      <c r="S182" s="51">
        <f ca="1"/>
        <v>3.884895805343708E-6</v>
      </c>
      <c r="T182" s="51">
        <f ca="1"/>
        <v>7.0949329994684936E-9</v>
      </c>
      <c r="U182" s="51">
        <f ca="1"/>
        <v>5.0693458806804536E-14</v>
      </c>
      <c r="V182" s="51">
        <f ca="1"/>
        <v>2.2562611521071795E-9</v>
      </c>
      <c r="W182" s="51">
        <f ca="1"/>
        <v>4.4605970348635757E-6</v>
      </c>
      <c r="X182" s="51">
        <f ca="1"/>
        <v>2.5315666503888733E-9</v>
      </c>
      <c r="Y182" s="51">
        <f ca="1"/>
        <v>5.0048721903215755E-6</v>
      </c>
    </row>
    <row r="183" spans="1:25" x14ac:dyDescent="0.25">
      <c r="B183" s="50" t="s">
        <v>108</v>
      </c>
      <c r="C183" s="51" cm="1">
        <f t="array" aca="1" ref="C183" ca="1">SUM(_xlfn.ANCHORARRAY(C182)*OFFSET($C$10,0,0,1,$C$2)^2)*0.5</f>
        <v>14.428516645998066</v>
      </c>
    </row>
    <row r="184" spans="1:25" x14ac:dyDescent="0.25">
      <c r="A184" s="51" t="s">
        <v>255</v>
      </c>
      <c r="B184" s="50" t="s">
        <v>233</v>
      </c>
      <c r="C184" s="51" cm="1">
        <f t="array" aca="1" ref="C184" ca="1">IFERROR(SUM(_xlfn._xlws.FILTER(_xlfn.ANCHORARRAY(C182)*OFFSET($C$10,0,0,1,$C$2),OFFSET($C$11,0,0,1,$C$2)="WHAMHA")),0)</f>
        <v>0</v>
      </c>
      <c r="D184" s="51" cm="1">
        <f t="array" aca="1" ref="D184" ca="1">IFERROR(SUM(_xlfn._xlws.FILTER(_xlfn.ANCHORARRAY(C182)*OFFSET($C$10,0,0,1,$C$2),OFFSET($C$11,0,0,1,$C$2)="WHAMFA")),0)</f>
        <v>4.4557583123227553E-6</v>
      </c>
    </row>
    <row r="185" spans="1:25" x14ac:dyDescent="0.25">
      <c r="A185" s="51" t="s">
        <v>257</v>
      </c>
      <c r="B185" s="50" t="s">
        <v>234</v>
      </c>
      <c r="C185" s="51" cm="1">
        <f t="array" aca="1" ref="C185:Y185" ca="1">OFFSET($C$53,0,0,1,$C$2)*IF(OFFSET($C$11,0,0,1,$C$2)="WHAMFA",EXP(2*$D$26*LOG10(C183)*D184*ABS(OFFSET($C$10,0,0,1,$C$2))),IF(OFFSET($C$11,0,0,1,$C$2)="WHAMHA",EXP(2*$D$26*LOG10(C183)*C184*ABS(OFFSET($C$10,0,0,1,$C$2))),1))</f>
        <v>1</v>
      </c>
      <c r="D185" s="51">
        <f ca="1"/>
        <v>1</v>
      </c>
      <c r="E185" s="51">
        <f ca="1"/>
        <v>1</v>
      </c>
      <c r="F185" s="51">
        <f ca="1"/>
        <v>1</v>
      </c>
      <c r="G185" s="51">
        <f ca="1"/>
        <v>1</v>
      </c>
      <c r="H185" s="51">
        <f ca="1"/>
        <v>1</v>
      </c>
      <c r="I185" s="51">
        <f ca="1"/>
        <v>1</v>
      </c>
      <c r="J185" s="51">
        <f ca="1"/>
        <v>2.1995725798065139E-14</v>
      </c>
      <c r="K185" s="51">
        <f ca="1"/>
        <v>1.4954498711240171E-8</v>
      </c>
      <c r="L185" s="51">
        <f ca="1"/>
        <v>2.2363202312453416</v>
      </c>
      <c r="M185" s="51">
        <f ca="1"/>
        <v>1</v>
      </c>
      <c r="N185" s="51">
        <f ca="1"/>
        <v>1</v>
      </c>
      <c r="O185" s="51">
        <f ca="1"/>
        <v>1</v>
      </c>
      <c r="P185" s="51">
        <f ca="1"/>
        <v>1</v>
      </c>
      <c r="Q185" s="51">
        <f ca="1"/>
        <v>1.0069316688518E-14</v>
      </c>
      <c r="R185" s="51">
        <f ca="1"/>
        <v>3.0199517204020201E-8</v>
      </c>
      <c r="S185" s="51">
        <f ca="1"/>
        <v>2.5118864315095801</v>
      </c>
      <c r="T185" s="51">
        <f ca="1"/>
        <v>2.5676622498300623E-2</v>
      </c>
      <c r="U185" s="51">
        <f ca="1"/>
        <v>3.9768379642910153E-13</v>
      </c>
      <c r="V185" s="51">
        <f ca="1"/>
        <v>0.15832077097136235</v>
      </c>
      <c r="W185" s="51">
        <f ca="1"/>
        <v>6.7848132147959326E-4</v>
      </c>
      <c r="X185" s="51">
        <f ca="1"/>
        <v>4.7863009232263802E-9</v>
      </c>
      <c r="Y185" s="51">
        <f ca="1"/>
        <v>2.0511621788255701E-11</v>
      </c>
    </row>
    <row r="186" spans="1:25" x14ac:dyDescent="0.25">
      <c r="A186" s="51" t="s">
        <v>259</v>
      </c>
      <c r="B186" s="50" t="s">
        <v>236</v>
      </c>
      <c r="C186" s="51" cm="1">
        <f t="array" aca="1" ref="C186:D186" ca="1">((1000*((6.022E+23)/$C$24:$D$24)*(4*PI()/3)*((($C$25:$D$25+(0.000000000304 / SQRT(C183)))^3)-(($C$25:$D$25)^3)))*$C$20*ABS(C184:D184))/(1+$C$20*ABS(C184:D184))*$C$23:$D$23*$C$24:$D$24</f>
        <v>0</v>
      </c>
      <c r="D186" s="51">
        <f ca="1"/>
        <v>2.0190693955975961E-10</v>
      </c>
    </row>
    <row r="187" spans="1:25" x14ac:dyDescent="0.25">
      <c r="A187" s="51" t="s">
        <v>260</v>
      </c>
      <c r="B187" s="50" t="s">
        <v>237</v>
      </c>
      <c r="C187" s="51" cm="1">
        <f t="array" aca="1" ref="C187:D187" ca="1">$C$19/($C$19+SUM(_xlfn.ANCHORARRAY(C186)))*_xlfn.ANCHORARRAY(C186)</f>
        <v>0</v>
      </c>
      <c r="D187" s="51">
        <f ca="1"/>
        <v>2.0190693939669395E-10</v>
      </c>
    </row>
    <row r="188" spans="1:25" x14ac:dyDescent="0.25">
      <c r="A188" s="51" t="s">
        <v>260</v>
      </c>
      <c r="B188" s="50" t="s">
        <v>235</v>
      </c>
      <c r="C188" s="51" cm="1">
        <f t="array" aca="1" ref="C188:Y188" ca="1">IF(OFFSET($C$11,0,0,1,$C$2)="DonnanHA",C187,IF(OFFSET($C$11,0,0,1,$C$2)="DonnanFA",D187,IF(OR(OFFSET($C$11,0,0,1,$C$2)="WHAMHA",OFFSET($C$11,0,0,1,$C$2)="WHAMFA"),OFFSET($C$14,0,0,1,$C$2),OFFSET($C$14,0,0,1,$C$2)-SUM(_xlfn.ANCHORARRAY(C187)))))</f>
        <v>1</v>
      </c>
      <c r="D188" s="51">
        <f ca="1"/>
        <v>1</v>
      </c>
      <c r="E188" s="51">
        <f ca="1"/>
        <v>1</v>
      </c>
      <c r="F188" s="51">
        <f ca="1"/>
        <v>1</v>
      </c>
      <c r="G188" s="51">
        <f ca="1"/>
        <v>2.0190693939669395E-10</v>
      </c>
      <c r="H188" s="51">
        <f ca="1"/>
        <v>1</v>
      </c>
      <c r="I188" s="51">
        <f ca="1"/>
        <v>1</v>
      </c>
      <c r="J188" s="51">
        <f ca="1"/>
        <v>1</v>
      </c>
      <c r="K188" s="51">
        <f ca="1"/>
        <v>1</v>
      </c>
      <c r="L188" s="51">
        <f ca="1"/>
        <v>1</v>
      </c>
      <c r="M188" s="51">
        <f ca="1"/>
        <v>2.0190693939669395E-10</v>
      </c>
      <c r="N188" s="51">
        <f ca="1"/>
        <v>2.0190693939669395E-10</v>
      </c>
      <c r="O188" s="51">
        <f ca="1"/>
        <v>2.0190693939669395E-10</v>
      </c>
      <c r="P188" s="51">
        <f ca="1"/>
        <v>2.0190693939669395E-10</v>
      </c>
      <c r="Q188" s="51">
        <f ca="1"/>
        <v>2.0190693939669395E-10</v>
      </c>
      <c r="R188" s="51">
        <f ca="1"/>
        <v>2.0190693939669395E-10</v>
      </c>
      <c r="S188" s="51">
        <f ca="1"/>
        <v>2.0190693939669395E-10</v>
      </c>
      <c r="T188" s="51">
        <f ca="1"/>
        <v>1</v>
      </c>
      <c r="U188" s="51">
        <f ca="1"/>
        <v>1</v>
      </c>
      <c r="V188" s="51">
        <f ca="1"/>
        <v>1</v>
      </c>
      <c r="W188" s="51">
        <f ca="1"/>
        <v>1</v>
      </c>
      <c r="X188" s="51">
        <f ca="1"/>
        <v>1</v>
      </c>
      <c r="Y188" s="51">
        <f ca="1"/>
        <v>1</v>
      </c>
    </row>
    <row r="189" spans="1:25" x14ac:dyDescent="0.25">
      <c r="A189" s="51" t="s">
        <v>260</v>
      </c>
      <c r="B189" s="50" t="s">
        <v>228</v>
      </c>
      <c r="C189" s="51" cm="1">
        <f t="array" aca="1" ref="C189:Y189" ca="1">IF((OFFSET($C$11,0,0,1,$C$2)="DonnanFA")*(SIGN(_xlfn.SEQUENCE(1,$C$2,D184,0))=SIGN(OFFSET($C$10,0,0,1,$C$2))),0,OFFSET(C182,0,0,1,$C$2))</f>
        <v>5.1575217398673733E-2</v>
      </c>
      <c r="D189" s="51">
        <f ca="1"/>
        <v>14.181992166049552</v>
      </c>
      <c r="E189" s="51">
        <f ca="1"/>
        <v>2.9999956945249443E-5</v>
      </c>
      <c r="F189" s="51">
        <f ca="1"/>
        <v>2.6915348039269101E-8</v>
      </c>
      <c r="G189" s="51">
        <f ca="1"/>
        <v>1</v>
      </c>
      <c r="H189" s="51">
        <f ca="1"/>
        <v>7.4293068902518531E-15</v>
      </c>
      <c r="I189" s="51">
        <f ca="1"/>
        <v>3.4272984463015227E-9</v>
      </c>
      <c r="J189" s="51">
        <f ca="1"/>
        <v>8.1721870235427361E-7</v>
      </c>
      <c r="K189" s="51">
        <f ca="1"/>
        <v>2.8655825701941862E-2</v>
      </c>
      <c r="L189" s="51">
        <f ca="1"/>
        <v>3.4601560971068759E-6</v>
      </c>
      <c r="M189" s="51">
        <f ca="1"/>
        <v>0</v>
      </c>
      <c r="N189" s="51">
        <f ca="1"/>
        <v>0</v>
      </c>
      <c r="O189" s="51">
        <f ca="1"/>
        <v>2.9987365152634434E-5</v>
      </c>
      <c r="P189" s="51">
        <f ca="1"/>
        <v>0</v>
      </c>
      <c r="Q189" s="51">
        <f ca="1"/>
        <v>3.7395356394861109E-7</v>
      </c>
      <c r="R189" s="51">
        <f ca="1"/>
        <v>0</v>
      </c>
      <c r="S189" s="51">
        <f ca="1"/>
        <v>0</v>
      </c>
      <c r="T189" s="51">
        <f ca="1"/>
        <v>7.0949329994684936E-9</v>
      </c>
      <c r="U189" s="51">
        <f ca="1"/>
        <v>5.0693458806804536E-14</v>
      </c>
      <c r="V189" s="51">
        <f ca="1"/>
        <v>2.2562611521071795E-9</v>
      </c>
      <c r="W189" s="51">
        <f ca="1"/>
        <v>4.4605970348635757E-6</v>
      </c>
      <c r="X189" s="51">
        <f ca="1"/>
        <v>2.5315666503888733E-9</v>
      </c>
      <c r="Y189" s="51">
        <f ca="1"/>
        <v>5.0048721903215755E-6</v>
      </c>
    </row>
    <row r="190" spans="1:25" x14ac:dyDescent="0.25">
      <c r="A190" s="51" t="s">
        <v>261</v>
      </c>
      <c r="B190" s="50" t="s">
        <v>238</v>
      </c>
      <c r="C190" s="51" cm="1">
        <f t="array" aca="1" ref="C190:Y190" ca="1">_xlfn.ANCHORARRAY(C189)*_xlfn.ANCHORARRAY(C188)</f>
        <v>5.1575217398673733E-2</v>
      </c>
      <c r="D190" s="51">
        <f ca="1"/>
        <v>14.181992166049552</v>
      </c>
      <c r="E190" s="51">
        <f ca="1"/>
        <v>2.9999956945249443E-5</v>
      </c>
      <c r="F190" s="51">
        <f ca="1"/>
        <v>2.6915348039269101E-8</v>
      </c>
      <c r="G190" s="51">
        <f ca="1"/>
        <v>2.0190693939669395E-10</v>
      </c>
      <c r="H190" s="51">
        <f ca="1"/>
        <v>7.4293068902518531E-15</v>
      </c>
      <c r="I190" s="51">
        <f ca="1"/>
        <v>3.4272984463015227E-9</v>
      </c>
      <c r="J190" s="51">
        <f ca="1"/>
        <v>8.1721870235427361E-7</v>
      </c>
      <c r="K190" s="51">
        <f ca="1"/>
        <v>2.8655825701941862E-2</v>
      </c>
      <c r="L190" s="51">
        <f ca="1"/>
        <v>3.4601560971068759E-6</v>
      </c>
      <c r="M190" s="51">
        <f ca="1"/>
        <v>0</v>
      </c>
      <c r="N190" s="51">
        <f ca="1"/>
        <v>0</v>
      </c>
      <c r="O190" s="51">
        <f ca="1"/>
        <v>6.0546571185394928E-15</v>
      </c>
      <c r="P190" s="51">
        <f ca="1"/>
        <v>0</v>
      </c>
      <c r="Q190" s="51">
        <f ca="1"/>
        <v>7.5503819573349938E-17</v>
      </c>
      <c r="R190" s="51">
        <f ca="1"/>
        <v>0</v>
      </c>
      <c r="S190" s="51">
        <f ca="1"/>
        <v>0</v>
      </c>
      <c r="T190" s="51">
        <f ca="1"/>
        <v>7.0949329994684936E-9</v>
      </c>
      <c r="U190" s="51">
        <f ca="1"/>
        <v>5.0693458806804536E-14</v>
      </c>
      <c r="V190" s="51">
        <f ca="1"/>
        <v>2.2562611521071795E-9</v>
      </c>
      <c r="W190" s="51">
        <f ca="1"/>
        <v>4.4605970348635757E-6</v>
      </c>
      <c r="X190" s="51">
        <f ca="1"/>
        <v>2.5315666503888733E-9</v>
      </c>
      <c r="Y190" s="51">
        <f ca="1"/>
        <v>5.0048721903215755E-6</v>
      </c>
    </row>
    <row r="191" spans="1:25" x14ac:dyDescent="0.25">
      <c r="B191" s="50" t="s">
        <v>105</v>
      </c>
      <c r="C191" s="51" cm="1">
        <f t="array" aca="1" ref="C191:I191" ca="1">IF(OFFSET($C$5,0,0,1,$C$1)="DonnanFA",-D184,OFFSET(C177,0,0,1,$C$1))</f>
        <v>-5.157457569138673E-2</v>
      </c>
      <c r="D191" s="51">
        <f ca="1"/>
        <v>-14.180992236556667</v>
      </c>
      <c r="E191" s="51">
        <f ca="1"/>
        <v>7.8008723021790294</v>
      </c>
      <c r="F191" s="51">
        <f ca="1"/>
        <v>0</v>
      </c>
      <c r="G191" s="51">
        <f ca="1"/>
        <v>-4.4557583123227553E-6</v>
      </c>
      <c r="H191" s="51">
        <f ca="1"/>
        <v>2.0722999449633688E-8</v>
      </c>
      <c r="I191" s="51">
        <f ca="1"/>
        <v>1.3772834253563898E-3</v>
      </c>
    </row>
    <row r="192" spans="1:25" x14ac:dyDescent="0.25">
      <c r="A192" s="51" t="s">
        <v>261</v>
      </c>
      <c r="B192" s="50" t="s">
        <v>222</v>
      </c>
      <c r="C192" s="51" cm="1">
        <f t="array" aca="1" ref="C192:I192" ca="1">OFFSET(C188,0,0,1,$C$1)*_xlfn.ANCHORARRAY(C191)</f>
        <v>-5.157457569138673E-2</v>
      </c>
      <c r="D192" s="51">
        <f ca="1"/>
        <v>-14.180992236556667</v>
      </c>
      <c r="E192" s="51">
        <f ca="1"/>
        <v>7.8008723021790294</v>
      </c>
      <c r="F192" s="51">
        <f ca="1"/>
        <v>0</v>
      </c>
      <c r="G192" s="51">
        <f ca="1"/>
        <v>-8.9964852353246589E-16</v>
      </c>
      <c r="H192" s="51">
        <f ca="1"/>
        <v>2.0722999449633688E-8</v>
      </c>
      <c r="I192" s="51">
        <f ca="1"/>
        <v>1.3772834253563898E-3</v>
      </c>
    </row>
    <row r="193" spans="1:9" x14ac:dyDescent="0.25">
      <c r="A193" s="51" t="s">
        <v>262</v>
      </c>
      <c r="B193" s="50" t="s">
        <v>222</v>
      </c>
      <c r="C193" s="51" cm="1">
        <f t="array" aca="1" ref="C193:I193" ca="1">IF(OFFSET($C$6,0,0,1,$C$1)="FixedAct",MMULT((_xlfn.ANCHORARRAY(C189)*_xlfn.ANCHORARRAY(C188)),OFFSET($C$29,0,0,$C$2,$C$1)),_xlfn.ANCHORARRAY(C192))</f>
        <v>-5.157457569138673E-2</v>
      </c>
      <c r="D193" s="51">
        <f ca="1"/>
        <v>-14.180992236556667</v>
      </c>
      <c r="E193" s="51">
        <f ca="1"/>
        <v>7.8008723021790294</v>
      </c>
      <c r="F193" s="51">
        <f ca="1"/>
        <v>-2.8671100761089904E-2</v>
      </c>
      <c r="G193" s="51">
        <f ca="1"/>
        <v>-8.9964852353246589E-16</v>
      </c>
      <c r="H193" s="51">
        <f ca="1"/>
        <v>2.0722999449633688E-8</v>
      </c>
      <c r="I193" s="51">
        <f ca="1"/>
        <v>1.3772834253563898E-3</v>
      </c>
    </row>
    <row r="194" spans="1:9" x14ac:dyDescent="0.25">
      <c r="B194" s="50" t="s">
        <v>105</v>
      </c>
      <c r="C194" s="51" cm="1">
        <f t="array" aca="1" ref="C194:I194" ca="1">_xlfn.ANCHORARRAY(C193)*OFFSET(C188,0,0,1,$C$1)</f>
        <v>-5.157457569138673E-2</v>
      </c>
      <c r="D194" s="51">
        <f ca="1"/>
        <v>-14.180992236556667</v>
      </c>
      <c r="E194" s="51">
        <f ca="1"/>
        <v>7.8008723021790294</v>
      </c>
      <c r="F194" s="51">
        <f ca="1"/>
        <v>-2.8671100761089904E-2</v>
      </c>
      <c r="G194" s="51">
        <f ca="1"/>
        <v>-1.8164527991919479E-25</v>
      </c>
      <c r="H194" s="51">
        <f ca="1"/>
        <v>2.0722999449633688E-8</v>
      </c>
      <c r="I194" s="51">
        <f ca="1"/>
        <v>1.3772834253563898E-3</v>
      </c>
    </row>
    <row r="195" spans="1:9" x14ac:dyDescent="0.25">
      <c r="A195" s="51" t="s">
        <v>263</v>
      </c>
      <c r="B195" s="50" t="s">
        <v>239</v>
      </c>
      <c r="C195" s="51" cm="1">
        <f t="array" aca="1" ref="C195:I195" ca="1">MMULT((_xlfn.ANCHORARRAY(C189)*_xlfn.ANCHORARRAY(C188)),OFFSET($C$29,0,0,$C$2,$C$1))</f>
        <v>8.0243973513765693E-2</v>
      </c>
      <c r="D195" s="51">
        <f ca="1"/>
        <v>14.181992166049552</v>
      </c>
      <c r="E195" s="51">
        <f ca="1"/>
        <v>3.3460113048410979E-5</v>
      </c>
      <c r="F195" s="51">
        <f ca="1"/>
        <v>-2.8671100761089904E-2</v>
      </c>
      <c r="G195" s="51">
        <f ca="1"/>
        <v>6.1301609381128428E-15</v>
      </c>
      <c r="H195" s="51">
        <f ca="1"/>
        <v>1.1882768231271436E-8</v>
      </c>
      <c r="I195" s="51">
        <f ca="1"/>
        <v>9.4688965743249123E-6</v>
      </c>
    </row>
    <row r="196" spans="1:9" x14ac:dyDescent="0.25">
      <c r="A196" s="51" t="s">
        <v>263</v>
      </c>
      <c r="B196" s="50" t="s">
        <v>103</v>
      </c>
      <c r="C196" s="51" cm="1">
        <f t="array" aca="1" ref="C196:I196" ca="1">_xlfn.ANCHORARRAY(C195)/OFFSET(C188,0,0,1,$C$1)</f>
        <v>8.0243973513765693E-2</v>
      </c>
      <c r="D196" s="51">
        <f ca="1"/>
        <v>14.181992166049552</v>
      </c>
      <c r="E196" s="51">
        <f ca="1"/>
        <v>3.3460113048410979E-5</v>
      </c>
      <c r="F196" s="51">
        <f ca="1"/>
        <v>-2.8671100761089904E-2</v>
      </c>
      <c r="G196" s="51">
        <f ca="1"/>
        <v>3.0361318716583046E-5</v>
      </c>
      <c r="H196" s="51">
        <f ca="1"/>
        <v>1.1882768231271436E-8</v>
      </c>
      <c r="I196" s="51">
        <f ca="1"/>
        <v>9.4688965743249123E-6</v>
      </c>
    </row>
    <row r="197" spans="1:9" x14ac:dyDescent="0.25">
      <c r="A197" s="51" t="s">
        <v>264</v>
      </c>
      <c r="B197" s="50" t="s">
        <v>104</v>
      </c>
      <c r="C197" s="51" cm="1">
        <f t="array" aca="1" ref="C197:I197" ca="1">IF(OFFSET($C$6,0,0,1,$C$1)="FixedAct",0,_xlfn.ANCHORARRAY(C195)-_xlfn.ANCHORARRAY(C193))</f>
        <v>0.13181854920515243</v>
      </c>
      <c r="D197" s="51">
        <f ca="1"/>
        <v>28.362984402606219</v>
      </c>
      <c r="E197" s="51">
        <f ca="1"/>
        <v>-7.8008388420659811</v>
      </c>
      <c r="F197" s="51">
        <f ca="1"/>
        <v>0</v>
      </c>
      <c r="G197" s="51">
        <f ca="1"/>
        <v>7.0298094616453089E-15</v>
      </c>
      <c r="H197" s="51">
        <f ca="1"/>
        <v>-8.8402312183622525E-9</v>
      </c>
      <c r="I197" s="51">
        <f ca="1"/>
        <v>-1.367814528782065E-3</v>
      </c>
    </row>
    <row r="198" spans="1:9" x14ac:dyDescent="0.25">
      <c r="A198" s="51" t="s">
        <v>264</v>
      </c>
      <c r="B198" s="50" t="s">
        <v>240</v>
      </c>
      <c r="C198" s="51" cm="1">
        <f t="array" aca="1" ref="C198:I198" ca="1">ABS(_xlfn.ANCHORARRAY(C197)/_xlfn.ANCHORARRAY(C193))</f>
        <v>2.5558823788281195</v>
      </c>
      <c r="D198" s="51">
        <f ca="1"/>
        <v>2.0000705119554545</v>
      </c>
      <c r="E198" s="51">
        <f ca="1"/>
        <v>0.99999571072160243</v>
      </c>
      <c r="F198" s="51">
        <f ca="1"/>
        <v>0</v>
      </c>
      <c r="G198" s="51">
        <f ca="1"/>
        <v>7.8139509794811799</v>
      </c>
      <c r="H198" s="51">
        <f ca="1"/>
        <v>0.42659033214993969</v>
      </c>
      <c r="I198" s="51">
        <f ca="1"/>
        <v>0.99312494697895992</v>
      </c>
    </row>
    <row r="199" spans="1:9" x14ac:dyDescent="0.25">
      <c r="A199" s="51" t="s">
        <v>265</v>
      </c>
      <c r="B199" s="50" t="s">
        <v>58</v>
      </c>
      <c r="C199" s="51">
        <f ca="1">MAX(_xlfn.ANCHORARRAY(C198))</f>
        <v>7.8139509794811799</v>
      </c>
    </row>
    <row r="201" spans="1:9" x14ac:dyDescent="0.25">
      <c r="B201" s="50" t="s">
        <v>250</v>
      </c>
    </row>
    <row r="202" spans="1:9" x14ac:dyDescent="0.25">
      <c r="A202" s="51" t="s">
        <v>242</v>
      </c>
      <c r="B202" s="50" t="s">
        <v>242</v>
      </c>
      <c r="C202" s="51" cm="1">
        <f t="array" ref="C202:I202">_xlfn.SEQUENCE(1,$C$1,0,1)</f>
        <v>0</v>
      </c>
      <c r="D202" s="51">
        <v>1</v>
      </c>
      <c r="E202" s="51">
        <v>2</v>
      </c>
      <c r="F202" s="51">
        <v>3</v>
      </c>
      <c r="G202" s="51">
        <v>4</v>
      </c>
      <c r="H202" s="51">
        <v>5</v>
      </c>
      <c r="I202" s="51">
        <v>6</v>
      </c>
    </row>
    <row r="203" spans="1:9" x14ac:dyDescent="0.25">
      <c r="B203" s="51" cm="1">
        <f t="array" ref="B203:B209">_xlfn.SEQUENCE($C$1,1,0,1)</f>
        <v>0</v>
      </c>
      <c r="C203" s="51" cm="1">
        <f t="array" aca="1" ref="C203:I209" ca="1">MMULT(TRANSPOSE(_xlfn.MAKEARRAY($C$2,$C$1,_xlfn.LAMBDA(_xlpm.row,_xlpm.col,OFFSET(C190,0,_xlpm.col-1)))*OFFSET($C$29,0,0,$C$2,$C$1)),OFFSET($C$29,0,0,$C$2,$C$1)*_xlfn.MAKEARRAY($C$2,$C$1,_xlfn.LAMBDA(_xlpm.row,_xlpm.col,1/OFFSET(C190,0,_xlpm.col-1))))</f>
        <v>10</v>
      </c>
      <c r="D203" s="51">
        <f ca="1"/>
        <v>0</v>
      </c>
      <c r="E203" s="51">
        <f ca="1"/>
        <v>3438.3527611589307</v>
      </c>
      <c r="F203" s="51">
        <f ca="1"/>
        <v>-15329608.169562211</v>
      </c>
      <c r="G203" s="51">
        <f ca="1"/>
        <v>1021762155.4322511</v>
      </c>
      <c r="H203" s="51">
        <f ca="1"/>
        <v>13884260849783.076</v>
      </c>
      <c r="I203" s="51">
        <f ca="1"/>
        <v>30096717.987503976</v>
      </c>
    </row>
    <row r="204" spans="1:9" x14ac:dyDescent="0.25">
      <c r="B204" s="50">
        <v>1</v>
      </c>
      <c r="C204" s="51">
        <f ca="1"/>
        <v>0</v>
      </c>
      <c r="D204" s="51">
        <f ca="1"/>
        <v>1.9999999999999998</v>
      </c>
      <c r="E204" s="51">
        <f ca="1"/>
        <v>0</v>
      </c>
      <c r="F204" s="51">
        <f ca="1"/>
        <v>0</v>
      </c>
      <c r="G204" s="51">
        <f ca="1"/>
        <v>70240241412.335373</v>
      </c>
      <c r="H204" s="51">
        <f ca="1"/>
        <v>0</v>
      </c>
      <c r="I204" s="51">
        <f ca="1"/>
        <v>0</v>
      </c>
    </row>
    <row r="205" spans="1:9" x14ac:dyDescent="0.25">
      <c r="B205" s="50">
        <v>2</v>
      </c>
      <c r="C205" s="51">
        <f ca="1"/>
        <v>1.1633477650070322E-3</v>
      </c>
      <c r="D205" s="51">
        <f ca="1"/>
        <v>0</v>
      </c>
      <c r="E205" s="51">
        <f ca="1"/>
        <v>3.9999999999999996</v>
      </c>
      <c r="F205" s="51">
        <f ca="1"/>
        <v>0</v>
      </c>
      <c r="G205" s="51">
        <f ca="1"/>
        <v>297166.17997271928</v>
      </c>
      <c r="H205" s="51">
        <f ca="1"/>
        <v>0</v>
      </c>
      <c r="I205" s="51">
        <f ca="1"/>
        <v>0</v>
      </c>
    </row>
    <row r="206" spans="1:9" x14ac:dyDescent="0.25">
      <c r="B206" s="50">
        <v>3</v>
      </c>
      <c r="C206" s="51">
        <f ca="1"/>
        <v>-4.1749273231311653E-6</v>
      </c>
      <c r="D206" s="51">
        <f ca="1"/>
        <v>0</v>
      </c>
      <c r="E206" s="51">
        <f ca="1"/>
        <v>0</v>
      </c>
      <c r="F206" s="51">
        <f ca="1"/>
        <v>17.999999999999996</v>
      </c>
      <c r="G206" s="51">
        <f ca="1"/>
        <v>-133.30571063923429</v>
      </c>
      <c r="H206" s="51">
        <f ca="1"/>
        <v>-14491444.995809924</v>
      </c>
      <c r="I206" s="51">
        <f ca="1"/>
        <v>-31.412902565650889</v>
      </c>
    </row>
    <row r="207" spans="1:9" x14ac:dyDescent="0.25">
      <c r="B207" s="50">
        <v>4</v>
      </c>
      <c r="C207" s="51">
        <f ca="1"/>
        <v>1.5659221585899591E-8</v>
      </c>
      <c r="D207" s="51">
        <f ca="1"/>
        <v>1.4236853118565492E-11</v>
      </c>
      <c r="E207" s="51">
        <f ca="1"/>
        <v>1.3460481944369346E-5</v>
      </c>
      <c r="F207" s="51">
        <f ca="1"/>
        <v>-7.5015540985059774E-3</v>
      </c>
      <c r="G207" s="51">
        <f ca="1"/>
        <v>9.9999999999999982</v>
      </c>
      <c r="H207" s="51">
        <f ca="1"/>
        <v>0</v>
      </c>
      <c r="I207" s="51">
        <f ca="1"/>
        <v>0</v>
      </c>
    </row>
    <row r="208" spans="1:9" x14ac:dyDescent="0.25">
      <c r="B208" s="50">
        <v>5</v>
      </c>
      <c r="C208" s="51">
        <f ca="1"/>
        <v>2.8809599900757372E-13</v>
      </c>
      <c r="D208" s="51">
        <f ca="1"/>
        <v>0</v>
      </c>
      <c r="E208" s="51">
        <f ca="1"/>
        <v>0</v>
      </c>
      <c r="F208" s="51">
        <f ca="1"/>
        <v>-1.1040996950011721E-6</v>
      </c>
      <c r="G208" s="51">
        <f ca="1"/>
        <v>0</v>
      </c>
      <c r="H208" s="51">
        <f ca="1"/>
        <v>4</v>
      </c>
      <c r="I208" s="51">
        <f ca="1"/>
        <v>0</v>
      </c>
    </row>
    <row r="209" spans="1:9" x14ac:dyDescent="0.25">
      <c r="B209" s="50">
        <v>6</v>
      </c>
      <c r="C209" s="51">
        <f ca="1"/>
        <v>1.3290485699008055E-7</v>
      </c>
      <c r="D209" s="51">
        <f ca="1"/>
        <v>0</v>
      </c>
      <c r="E209" s="51">
        <f ca="1"/>
        <v>0</v>
      </c>
      <c r="F209" s="51">
        <f ca="1"/>
        <v>-0.50934484537240887</v>
      </c>
      <c r="G209" s="51">
        <f ca="1"/>
        <v>0</v>
      </c>
      <c r="H209" s="51">
        <f ca="1"/>
        <v>0</v>
      </c>
      <c r="I209" s="51">
        <f ca="1"/>
        <v>4</v>
      </c>
    </row>
    <row r="210" spans="1:9" x14ac:dyDescent="0.25">
      <c r="A210" s="51" t="s">
        <v>267</v>
      </c>
      <c r="B210" s="50" t="s">
        <v>245</v>
      </c>
      <c r="C210" s="51" cm="1">
        <f t="array" aca="1" ref="C210:H210" ca="1">_xlfn._xlws.FILTER(_xlfn.ANCHORARRAY(C202),OFFSET($C$6,0,0,1,$C$1)&lt;&gt;"FixedAct")</f>
        <v>0</v>
      </c>
      <c r="D210" s="51">
        <f ca="1"/>
        <v>1</v>
      </c>
      <c r="E210" s="51">
        <f ca="1"/>
        <v>2</v>
      </c>
      <c r="F210" s="51">
        <f ca="1"/>
        <v>4</v>
      </c>
      <c r="G210" s="51">
        <f ca="1"/>
        <v>5</v>
      </c>
      <c r="H210" s="51">
        <f ca="1"/>
        <v>6</v>
      </c>
    </row>
    <row r="211" spans="1:9" x14ac:dyDescent="0.25">
      <c r="B211" s="51" cm="1">
        <f t="array" aca="1" ref="B211:B216" ca="1">TRANSPOSE(_xlfn.ANCHORARRAY(C210))</f>
        <v>0</v>
      </c>
      <c r="C211" s="52">
        <f ca="1">IF(OFFSET($C$6,0,C$114)="FixedAct",0,IF(OFFSET($C$6,0,$B211)="FixedAct",0,C203))</f>
        <v>10</v>
      </c>
      <c r="D211" s="52">
        <f ca="1">IF(OFFSET($C$6,0,D$114)="FixedAct",0,IF(OFFSET($C$6,0,$B211)="FixedAct",0,D203))</f>
        <v>0</v>
      </c>
      <c r="E211" s="52">
        <f ca="1">IF(OFFSET($C$6,0,E$114)="FixedAct",0,IF(OFFSET($C$6,0,$B211)="FixedAct",0,E203))</f>
        <v>3438.3527611589307</v>
      </c>
      <c r="F211" s="52">
        <f ca="1">IF(OFFSET($C$6,0,F$114)="FixedAct",0,IF(OFFSET($C$6,0,$B211)="FixedAct",0,G203))</f>
        <v>1021762155.4322511</v>
      </c>
      <c r="G211" s="52">
        <f ca="1">IF(OFFSET($C$6,0,G$114)="FixedAct",0,IF(OFFSET($C$6,0,$B211)="FixedAct",0,H203))</f>
        <v>13884260849783.076</v>
      </c>
      <c r="H211" s="52">
        <f ca="1">IF(OFFSET($C$6,0,H$114)="FixedAct",0,IF(OFFSET($C$6,0,$B211)="FixedAct",0,I203))</f>
        <v>30096717.987503976</v>
      </c>
      <c r="I211" s="52"/>
    </row>
    <row r="212" spans="1:9" x14ac:dyDescent="0.25">
      <c r="B212" s="51">
        <f ca="1"/>
        <v>1</v>
      </c>
      <c r="C212" s="52">
        <f ca="1">IF(OFFSET($C$6,0,C$114)="FixedAct",0,IF(OFFSET($C$6,0,$B212)="FixedAct",0,C204))</f>
        <v>0</v>
      </c>
      <c r="D212" s="52">
        <f ca="1">IF(OFFSET($C$6,0,D$114)="FixedAct",0,IF(OFFSET($C$6,0,$B212)="FixedAct",0,D204))</f>
        <v>1.9999999999999998</v>
      </c>
      <c r="E212" s="52">
        <f ca="1">IF(OFFSET($C$6,0,E$114)="FixedAct",0,IF(OFFSET($C$6,0,$B212)="FixedAct",0,E204))</f>
        <v>0</v>
      </c>
      <c r="F212" s="52">
        <f ca="1">IF(OFFSET($C$6,0,F$114)="FixedAct",0,IF(OFFSET($C$6,0,$B212)="FixedAct",0,G204))</f>
        <v>70240241412.335373</v>
      </c>
      <c r="G212" s="52">
        <f ca="1">IF(OFFSET($C$6,0,G$114)="FixedAct",0,IF(OFFSET($C$6,0,$B212)="FixedAct",0,H204))</f>
        <v>0</v>
      </c>
      <c r="H212" s="52">
        <f ca="1">IF(OFFSET($C$6,0,H$114)="FixedAct",0,IF(OFFSET($C$6,0,$B212)="FixedAct",0,I204))</f>
        <v>0</v>
      </c>
      <c r="I212" s="52"/>
    </row>
    <row r="213" spans="1:9" x14ac:dyDescent="0.25">
      <c r="B213" s="51">
        <f ca="1"/>
        <v>2</v>
      </c>
      <c r="C213" s="52">
        <f ca="1">IF(OFFSET($C$6,0,C$114)="FixedAct",0,IF(OFFSET($C$6,0,$B213)="FixedAct",0,C205))</f>
        <v>1.1633477650070322E-3</v>
      </c>
      <c r="D213" s="52">
        <f ca="1">IF(OFFSET($C$6,0,D$114)="FixedAct",0,IF(OFFSET($C$6,0,$B213)="FixedAct",0,D205))</f>
        <v>0</v>
      </c>
      <c r="E213" s="52">
        <f ca="1">IF(OFFSET($C$6,0,E$114)="FixedAct",0,IF(OFFSET($C$6,0,$B213)="FixedAct",0,E205))</f>
        <v>3.9999999999999996</v>
      </c>
      <c r="F213" s="52">
        <f ca="1">IF(OFFSET($C$6,0,F$114)="FixedAct",0,IF(OFFSET($C$6,0,$B213)="FixedAct",0,G205))</f>
        <v>297166.17997271928</v>
      </c>
      <c r="G213" s="52">
        <f ca="1">IF(OFFSET($C$6,0,G$114)="FixedAct",0,IF(OFFSET($C$6,0,$B213)="FixedAct",0,H205))</f>
        <v>0</v>
      </c>
      <c r="H213" s="52">
        <f ca="1">IF(OFFSET($C$6,0,H$114)="FixedAct",0,IF(OFFSET($C$6,0,$B213)="FixedAct",0,I205))</f>
        <v>0</v>
      </c>
      <c r="I213" s="52"/>
    </row>
    <row r="214" spans="1:9" x14ac:dyDescent="0.25">
      <c r="B214" s="51">
        <f ca="1"/>
        <v>4</v>
      </c>
      <c r="C214" s="52">
        <f ca="1">IF(OFFSET($C$6,0,C$114)="FixedAct",0,IF(OFFSET($C$6,0,$B214)="FixedAct",0,C207))</f>
        <v>1.5659221585899591E-8</v>
      </c>
      <c r="D214" s="52">
        <f ca="1">IF(OFFSET($C$6,0,D$114)="FixedAct",0,IF(OFFSET($C$6,0,$B214)="FixedAct",0,D207))</f>
        <v>1.4236853118565492E-11</v>
      </c>
      <c r="E214" s="52">
        <f ca="1">IF(OFFSET($C$6,0,E$114)="FixedAct",0,IF(OFFSET($C$6,0,$B214)="FixedAct",0,E207))</f>
        <v>1.3460481944369346E-5</v>
      </c>
      <c r="F214" s="52">
        <f ca="1">IF(OFFSET($C$6,0,F$114)="FixedAct",0,IF(OFFSET($C$6,0,$B214)="FixedAct",0,G207))</f>
        <v>9.9999999999999982</v>
      </c>
      <c r="G214" s="52">
        <f ca="1">IF(OFFSET($C$6,0,G$114)="FixedAct",0,IF(OFFSET($C$6,0,$B214)="FixedAct",0,H207))</f>
        <v>0</v>
      </c>
      <c r="H214" s="52">
        <f ca="1">IF(OFFSET($C$6,0,H$114)="FixedAct",0,IF(OFFSET($C$6,0,$B214)="FixedAct",0,I207))</f>
        <v>0</v>
      </c>
      <c r="I214" s="52"/>
    </row>
    <row r="215" spans="1:9" x14ac:dyDescent="0.25">
      <c r="B215" s="51">
        <f ca="1"/>
        <v>5</v>
      </c>
      <c r="C215" s="52">
        <f ca="1">IF(OFFSET($C$6,0,C$114)="FixedAct",0,IF(OFFSET($C$6,0,$B215)="FixedAct",0,C208))</f>
        <v>2.8809599900757372E-13</v>
      </c>
      <c r="D215" s="52">
        <f ca="1">IF(OFFSET($C$6,0,D$114)="FixedAct",0,IF(OFFSET($C$6,0,$B215)="FixedAct",0,D208))</f>
        <v>0</v>
      </c>
      <c r="E215" s="52">
        <f ca="1">IF(OFFSET($C$6,0,E$114)="FixedAct",0,IF(OFFSET($C$6,0,$B215)="FixedAct",0,E208))</f>
        <v>0</v>
      </c>
      <c r="F215" s="52">
        <f ca="1">IF(OFFSET($C$6,0,F$114)="FixedAct",0,IF(OFFSET($C$6,0,$B215)="FixedAct",0,G208))</f>
        <v>0</v>
      </c>
      <c r="G215" s="52">
        <f ca="1">IF(OFFSET($C$6,0,G$114)="FixedAct",0,IF(OFFSET($C$6,0,$B215)="FixedAct",0,H208))</f>
        <v>4</v>
      </c>
      <c r="H215" s="52">
        <f ca="1">IF(OFFSET($C$6,0,H$114)="FixedAct",0,IF(OFFSET($C$6,0,$B215)="FixedAct",0,I208))</f>
        <v>0</v>
      </c>
      <c r="I215" s="52"/>
    </row>
    <row r="216" spans="1:9" x14ac:dyDescent="0.25">
      <c r="B216" s="51">
        <f ca="1"/>
        <v>6</v>
      </c>
      <c r="C216" s="52">
        <f ca="1">IF(OFFSET($C$6,0,C$114)="FixedAct",0,IF(OFFSET($C$6,0,$B216)="FixedAct",0,C209))</f>
        <v>1.3290485699008055E-7</v>
      </c>
      <c r="D216" s="52">
        <f ca="1">IF(OFFSET($C$6,0,D$114)="FixedAct",0,IF(OFFSET($C$6,0,$B216)="FixedAct",0,D209))</f>
        <v>0</v>
      </c>
      <c r="E216" s="52">
        <f ca="1">IF(OFFSET($C$6,0,E$114)="FixedAct",0,IF(OFFSET($C$6,0,$B216)="FixedAct",0,E209))</f>
        <v>0</v>
      </c>
      <c r="F216" s="52">
        <f ca="1">IF(OFFSET($C$6,0,F$114)="FixedAct",0,IF(OFFSET($C$6,0,$B216)="FixedAct",0,G209))</f>
        <v>0</v>
      </c>
      <c r="G216" s="52">
        <f ca="1">IF(OFFSET($C$6,0,G$114)="FixedAct",0,IF(OFFSET($C$6,0,$B216)="FixedAct",0,H209))</f>
        <v>0</v>
      </c>
      <c r="H216" s="52">
        <f ca="1">IF(OFFSET($C$6,0,H$114)="FixedAct",0,IF(OFFSET($C$6,0,$B216)="FixedAct",0,I209))</f>
        <v>4</v>
      </c>
      <c r="I216" s="52"/>
    </row>
    <row r="217" spans="1:9" x14ac:dyDescent="0.25">
      <c r="A217" s="51" t="s">
        <v>267</v>
      </c>
      <c r="B217" s="50" t="s">
        <v>246</v>
      </c>
      <c r="C217" s="51" cm="1">
        <f t="array" aca="1" ref="C217:H222" ca="1">MINVERSE(C211:H216)</f>
        <v>0.16831683168316833</v>
      </c>
      <c r="D217" s="51">
        <f ca="1"/>
        <v>1.0801988412622164E-4</v>
      </c>
      <c r="E217" s="51">
        <f ca="1"/>
        <v>-93.618515774129307</v>
      </c>
      <c r="F217" s="51">
        <f ca="1"/>
        <v>-15174685.476716604</v>
      </c>
      <c r="G217" s="51">
        <f ca="1"/>
        <v>-584238699124.5354</v>
      </c>
      <c r="H217" s="51">
        <f ca="1"/>
        <v>-1266446.0539296228</v>
      </c>
    </row>
    <row r="218" spans="1:9" x14ac:dyDescent="0.25">
      <c r="C218" s="51">
        <f ca="1"/>
        <v>8.1676299840805004</v>
      </c>
      <c r="D218" s="51">
        <f ca="1"/>
        <v>0.5346534653465348</v>
      </c>
      <c r="E218" s="51">
        <f ca="1"/>
        <v>9361.0643692958838</v>
      </c>
      <c r="F218" s="51">
        <f ca="1"/>
        <v>-4868135543.4291868</v>
      </c>
      <c r="G218" s="51">
        <f ca="1"/>
        <v>-28350376305870.797</v>
      </c>
      <c r="H218" s="51">
        <f ca="1"/>
        <v>-61454714.064288147</v>
      </c>
    </row>
    <row r="219" spans="1:9" x14ac:dyDescent="0.25">
      <c r="C219" s="51">
        <f ca="1"/>
        <v>-3.1675310433359802E-5</v>
      </c>
      <c r="D219" s="51">
        <f ca="1"/>
        <v>4.1888230258186195E-8</v>
      </c>
      <c r="E219" s="51">
        <f ca="1"/>
        <v>0.29702970297029707</v>
      </c>
      <c r="F219" s="51">
        <f ca="1"/>
        <v>-5884.4788113409777</v>
      </c>
      <c r="G219" s="51">
        <f ca="1"/>
        <v>109947068.13865574</v>
      </c>
      <c r="H219" s="51">
        <f ca="1"/>
        <v>238.33072131986796</v>
      </c>
    </row>
    <row r="220" spans="1:9" x14ac:dyDescent="0.25">
      <c r="C220" s="51">
        <f ca="1"/>
        <v>-2.3256269682029098E-10</v>
      </c>
      <c r="D220" s="51">
        <f ca="1"/>
        <v>-9.8671259237582685E-13</v>
      </c>
      <c r="E220" s="51">
        <f ca="1"/>
        <v>-2.6654419691820482E-7</v>
      </c>
      <c r="F220" s="51">
        <f ca="1"/>
        <v>0.13861386138613865</v>
      </c>
      <c r="G220" s="51">
        <f ca="1"/>
        <v>807.24028664548382</v>
      </c>
      <c r="H220" s="51">
        <f ca="1"/>
        <v>1.7498434751534225E-3</v>
      </c>
    </row>
    <row r="221" spans="1:9" x14ac:dyDescent="0.25">
      <c r="C221" s="51">
        <f ca="1"/>
        <v>-1.2122851443388015E-14</v>
      </c>
      <c r="D221" s="51">
        <f ca="1"/>
        <v>-7.7800241075065397E-18</v>
      </c>
      <c r="E221" s="51">
        <f ca="1"/>
        <v>6.7427799568885183E-12</v>
      </c>
      <c r="F221" s="51">
        <f ca="1"/>
        <v>1.092941543010097E-6</v>
      </c>
      <c r="G221" s="51">
        <f ca="1"/>
        <v>0.29207920792079212</v>
      </c>
      <c r="H221" s="51">
        <f ca="1"/>
        <v>9.1214510274013566E-8</v>
      </c>
    </row>
    <row r="222" spans="1:9" x14ac:dyDescent="0.25">
      <c r="C222" s="51">
        <f ca="1"/>
        <v>-5.5925311109687361E-9</v>
      </c>
      <c r="D222" s="51">
        <f ca="1"/>
        <v>-3.5890918129701397E-12</v>
      </c>
      <c r="E222" s="51">
        <f ca="1"/>
        <v>3.1105888626460638E-6</v>
      </c>
      <c r="F222" s="51">
        <f ca="1"/>
        <v>0.50419735078811811</v>
      </c>
      <c r="G222" s="51">
        <f ca="1"/>
        <v>19412.040188804269</v>
      </c>
      <c r="H222" s="51">
        <f ca="1"/>
        <v>0.29207920792079206</v>
      </c>
    </row>
    <row r="223" spans="1:9" x14ac:dyDescent="0.25">
      <c r="A223" s="51" t="s">
        <v>267</v>
      </c>
      <c r="B223" s="50" t="s">
        <v>247</v>
      </c>
      <c r="C223" s="51" cm="1">
        <f t="array" aca="1" ref="C223:H223" ca="1">_xlfn._xlws.FILTER(OFFSET(C197,0,0,1,$C$1),OFFSET($C$6,0,0,1,$C$1)&lt;&gt;"FixedAct")</f>
        <v>0.13181854920515243</v>
      </c>
      <c r="D223" s="51">
        <f ca="1"/>
        <v>28.362984402606219</v>
      </c>
      <c r="E223" s="51">
        <f ca="1"/>
        <v>-7.8008388420659811</v>
      </c>
      <c r="F223" s="51">
        <f ca="1"/>
        <v>7.0298094616453089E-15</v>
      </c>
      <c r="G223" s="51">
        <f ca="1"/>
        <v>-8.8402312183622525E-9</v>
      </c>
      <c r="H223" s="51">
        <f ca="1"/>
        <v>-1.367814528782065E-3</v>
      </c>
    </row>
    <row r="224" spans="1:9" x14ac:dyDescent="0.25">
      <c r="A224" s="51" t="s">
        <v>267</v>
      </c>
      <c r="B224" s="50" t="s">
        <v>248</v>
      </c>
      <c r="C224" s="51" cm="1">
        <f t="array" aca="1" ref="C224:H224" ca="1">TRANSPOSE(MMULT(_xlfn.ANCHORARRAY(C217),TRANSPOSE(_xlfn.ANCHORARRAY(C223))))</f>
        <v>7627.3967045872887</v>
      </c>
      <c r="D224" s="51">
        <f ca="1"/>
        <v>261674.61887448546</v>
      </c>
      <c r="E224" s="51">
        <f ca="1"/>
        <v>-3.615033558940798</v>
      </c>
      <c r="F224" s="51">
        <f ca="1"/>
        <v>-7.4504424279023651E-6</v>
      </c>
      <c r="G224" s="51">
        <f ca="1"/>
        <v>-2.759413422949351E-9</v>
      </c>
      <c r="H224" s="51">
        <f ca="1"/>
        <v>-5.9538314925296253E-4</v>
      </c>
    </row>
    <row r="225" spans="1:25" x14ac:dyDescent="0.25">
      <c r="A225" s="51" t="s">
        <v>267</v>
      </c>
      <c r="B225" s="50" t="s">
        <v>243</v>
      </c>
      <c r="C225" s="51" cm="1">
        <f t="array" aca="1" ref="C225:I225" ca="1">_xlfn.XLOOKUP(_xlfn.ANCHORARRAY(C202),C210:H210,_xlfn.ANCHORARRAY(C224),0)</f>
        <v>7627.3967045872887</v>
      </c>
      <c r="D225" s="51">
        <f ca="1"/>
        <v>261674.61887448546</v>
      </c>
      <c r="E225" s="51">
        <f ca="1"/>
        <v>-3.615033558940798</v>
      </c>
      <c r="F225" s="51">
        <f ca="1"/>
        <v>0</v>
      </c>
      <c r="G225" s="51">
        <f ca="1"/>
        <v>-7.4504424279023651E-6</v>
      </c>
      <c r="H225" s="51">
        <f ca="1"/>
        <v>-2.759413422949351E-9</v>
      </c>
      <c r="I225" s="51">
        <f ca="1"/>
        <v>-5.9538314925296253E-4</v>
      </c>
    </row>
    <row r="226" spans="1:25" x14ac:dyDescent="0.25">
      <c r="A226" s="51" t="s">
        <v>268</v>
      </c>
      <c r="B226" s="50" t="s">
        <v>226</v>
      </c>
      <c r="C226" s="51" cm="1">
        <f t="array" aca="1" ref="C226:I226" ca="1">IF(_xlfn.ANCHORARRAY(C225)&gt;=OFFSET(C189,0,0,1,$C$1),OFFSET(C189,0,0,1,$C$1)/10,OFFSET(C189,0,0,1,$C$1)-_xlfn.ANCHORARRAY(C225))</f>
        <v>5.1575217398673731E-3</v>
      </c>
      <c r="D226" s="51">
        <f ca="1"/>
        <v>1.4181992166049553</v>
      </c>
      <c r="E226" s="51">
        <f ca="1"/>
        <v>3.6150635588977433</v>
      </c>
      <c r="F226" s="51">
        <f ca="1"/>
        <v>2.6915348039269101E-8</v>
      </c>
      <c r="G226" s="51">
        <f ca="1"/>
        <v>1.0000074504424279</v>
      </c>
      <c r="H226" s="51">
        <f ca="1"/>
        <v>2.7594208522562412E-9</v>
      </c>
      <c r="I226" s="51">
        <f ca="1"/>
        <v>5.9538657655140888E-4</v>
      </c>
    </row>
    <row r="227" spans="1:25" x14ac:dyDescent="0.25">
      <c r="B227" s="50" t="s">
        <v>228</v>
      </c>
      <c r="C227" s="51" cm="1">
        <f t="array" aca="1" ref="C227:Y227" ca="1">IF(OFFSET(C226,0,0,1,$C$2)=0,OFFSET(C189,0,0,1,$C$2),OFFSET(C226,0,0,1,$C$2))</f>
        <v>5.1575217398673731E-3</v>
      </c>
      <c r="D227" s="51">
        <f ca="1"/>
        <v>1.4181992166049553</v>
      </c>
      <c r="E227" s="51">
        <f ca="1"/>
        <v>3.6150635588977433</v>
      </c>
      <c r="F227" s="51">
        <f ca="1"/>
        <v>2.6915348039269101E-8</v>
      </c>
      <c r="G227" s="51">
        <f ca="1"/>
        <v>1.0000074504424279</v>
      </c>
      <c r="H227" s="51">
        <f ca="1"/>
        <v>2.7594208522562412E-9</v>
      </c>
      <c r="I227" s="51">
        <f ca="1"/>
        <v>5.9538657655140888E-4</v>
      </c>
      <c r="J227" s="51">
        <f ca="1"/>
        <v>8.1721870235427361E-7</v>
      </c>
      <c r="K227" s="51">
        <f ca="1"/>
        <v>2.8655825701941862E-2</v>
      </c>
      <c r="L227" s="51">
        <f ca="1"/>
        <v>3.4601560971068759E-6</v>
      </c>
      <c r="M227" s="51">
        <f ca="1"/>
        <v>0</v>
      </c>
      <c r="N227" s="51">
        <f ca="1"/>
        <v>0</v>
      </c>
      <c r="O227" s="51">
        <f ca="1"/>
        <v>2.9987365152634434E-5</v>
      </c>
      <c r="P227" s="51">
        <f ca="1"/>
        <v>0</v>
      </c>
      <c r="Q227" s="51">
        <f ca="1"/>
        <v>3.7395356394861109E-7</v>
      </c>
      <c r="R227" s="51">
        <f ca="1"/>
        <v>0</v>
      </c>
      <c r="S227" s="51">
        <f ca="1"/>
        <v>0</v>
      </c>
      <c r="T227" s="51">
        <f ca="1"/>
        <v>7.0949329994684936E-9</v>
      </c>
      <c r="U227" s="51">
        <f ca="1"/>
        <v>5.0693458806804536E-14</v>
      </c>
      <c r="V227" s="51">
        <f ca="1"/>
        <v>2.2562611521071795E-9</v>
      </c>
      <c r="W227" s="51">
        <f ca="1"/>
        <v>4.4605970348635757E-6</v>
      </c>
      <c r="X227" s="51">
        <f ca="1"/>
        <v>2.5315666503888733E-9</v>
      </c>
      <c r="Y227" s="51">
        <f ca="1"/>
        <v>5.0048721903215755E-6</v>
      </c>
    </row>
    <row r="228" spans="1:25" x14ac:dyDescent="0.25">
      <c r="A228" s="51" t="s">
        <v>255</v>
      </c>
      <c r="B228" s="50" t="s">
        <v>108</v>
      </c>
      <c r="C228" s="51" cm="1">
        <f t="array" aca="1" ref="C228" ca="1">SUM(_xlfn.ANCHORARRAY(C227)*OFFSET($C$10,0,0,1,$C$2)^2)*0.5</f>
        <v>2.541293911860627</v>
      </c>
    </row>
    <row r="229" spans="1:25" x14ac:dyDescent="0.25">
      <c r="A229" s="51" t="s">
        <v>258</v>
      </c>
      <c r="B229" s="50" t="s">
        <v>232</v>
      </c>
      <c r="C229" s="51" cm="1">
        <f t="array" aca="1" ref="C229:Y229" ca="1">IF(OFFSET($C$11,0,0,1,$C$2)="Debye",10^(ABS(OFFSET($C$10,0,0,1,$C$2))^2*(-(0.27+0.0008*$C$17)*SQRT(C228))/(1+(3*ABS(OFFSET($C$10,0,0,1,$C$2))*0.33*SQRT(C228)))),1)</f>
        <v>0.17065696716628559</v>
      </c>
      <c r="D229" s="51">
        <f ca="1"/>
        <v>0.49036614981130611</v>
      </c>
      <c r="E229" s="51">
        <f ca="1"/>
        <v>0.49036614981130611</v>
      </c>
      <c r="F229" s="51">
        <f ca="1"/>
        <v>0.49036614981130611</v>
      </c>
      <c r="G229" s="51">
        <f ca="1"/>
        <v>1</v>
      </c>
      <c r="H229" s="51">
        <f ca="1"/>
        <v>1</v>
      </c>
      <c r="I229" s="51">
        <f ca="1"/>
        <v>1</v>
      </c>
      <c r="J229" s="51">
        <f ca="1"/>
        <v>0.49036614981130611</v>
      </c>
      <c r="K229" s="51">
        <f ca="1"/>
        <v>0.49036614981130611</v>
      </c>
      <c r="L229" s="51">
        <f ca="1"/>
        <v>0.49036614981130611</v>
      </c>
      <c r="M229" s="51">
        <f ca="1"/>
        <v>1</v>
      </c>
      <c r="N229" s="51">
        <f ca="1"/>
        <v>1</v>
      </c>
      <c r="O229" s="51">
        <f ca="1"/>
        <v>1</v>
      </c>
      <c r="P229" s="51">
        <f ca="1"/>
        <v>1</v>
      </c>
      <c r="Q229" s="51">
        <f ca="1"/>
        <v>1</v>
      </c>
      <c r="R229" s="51">
        <f ca="1"/>
        <v>1</v>
      </c>
      <c r="S229" s="51">
        <f ca="1"/>
        <v>1</v>
      </c>
      <c r="T229" s="51">
        <f ca="1"/>
        <v>1</v>
      </c>
      <c r="U229" s="51">
        <f ca="1"/>
        <v>1</v>
      </c>
      <c r="V229" s="51">
        <f ca="1"/>
        <v>1</v>
      </c>
      <c r="W229" s="51">
        <f ca="1"/>
        <v>1</v>
      </c>
      <c r="X229" s="51">
        <f ca="1"/>
        <v>1</v>
      </c>
      <c r="Y229" s="51">
        <f ca="1"/>
        <v>1</v>
      </c>
    </row>
    <row r="230" spans="1:25" x14ac:dyDescent="0.25">
      <c r="A230" s="51" t="s">
        <v>256</v>
      </c>
      <c r="B230" s="50" t="s">
        <v>228</v>
      </c>
      <c r="C230" s="51" cm="1">
        <f t="array" aca="1" ref="C230:Y230" ca="1">OFFSET($C$53,0,0,1,$C$2)*TRANSPOSE(_xlfn.BYROW(C227:I227^OFFSET($C$29,0,0,$C$2,$C$1),_xlfn.LAMBDA(_xlpm.array, PRODUCT(_xlpm.array))))</f>
        <v>5.1575217398673731E-3</v>
      </c>
      <c r="D230" s="51">
        <f ca="1"/>
        <v>1.4181992166049553</v>
      </c>
      <c r="E230" s="51">
        <f ca="1"/>
        <v>3.6150635588977433</v>
      </c>
      <c r="F230" s="51">
        <f ca="1"/>
        <v>2.6915348039269101E-8</v>
      </c>
      <c r="G230" s="51">
        <f ca="1"/>
        <v>1</v>
      </c>
      <c r="H230" s="51">
        <f ca="1"/>
        <v>2.7594208522562412E-9</v>
      </c>
      <c r="I230" s="51">
        <f ca="1"/>
        <v>5.9538657655140888E-4</v>
      </c>
      <c r="J230" s="51">
        <f ca="1"/>
        <v>8.1721870235427361E-7</v>
      </c>
      <c r="K230" s="51">
        <f ca="1"/>
        <v>2.8655825701941859E-3</v>
      </c>
      <c r="L230" s="51">
        <f ca="1"/>
        <v>4.1695673889057643E-2</v>
      </c>
      <c r="M230" s="51">
        <f ca="1"/>
        <v>5.1575985917912499E-3</v>
      </c>
      <c r="N230" s="51">
        <f ca="1"/>
        <v>1.4182097828165698</v>
      </c>
      <c r="O230" s="51">
        <f ca="1"/>
        <v>3.615090492720662</v>
      </c>
      <c r="P230" s="51">
        <f ca="1"/>
        <v>2.6915548570520093E-8</v>
      </c>
      <c r="Q230" s="51">
        <f ca="1"/>
        <v>3.7411337556145216E-7</v>
      </c>
      <c r="R230" s="51">
        <f ca="1"/>
        <v>5.7868776850725891E-3</v>
      </c>
      <c r="S230" s="51">
        <f ca="1"/>
        <v>4.6833890939146451E-2</v>
      </c>
      <c r="T230" s="51">
        <f ca="1"/>
        <v>2.6352264556176643E-3</v>
      </c>
      <c r="U230" s="51">
        <f ca="1"/>
        <v>8.8064127957994268E-9</v>
      </c>
      <c r="V230" s="51">
        <f ca="1"/>
        <v>8.3802892560939568E-5</v>
      </c>
      <c r="W230" s="51">
        <f ca="1"/>
        <v>7.748900889645903E-2</v>
      </c>
      <c r="X230" s="51">
        <f ca="1"/>
        <v>9.402839197725926E-5</v>
      </c>
      <c r="Y230" s="51">
        <f ca="1"/>
        <v>8.6944097987396524E-2</v>
      </c>
    </row>
    <row r="231" spans="1:25" x14ac:dyDescent="0.25">
      <c r="B231" s="50" t="s">
        <v>108</v>
      </c>
      <c r="C231" s="51" cm="1">
        <f t="array" aca="1" ref="C231" ca="1">SUM(_xlfn.ANCHORARRAY(C230)*OFFSET($C$10,0,0,1,$C$2)^2)*0.5</f>
        <v>5.1426074248320299</v>
      </c>
    </row>
    <row r="232" spans="1:25" x14ac:dyDescent="0.25">
      <c r="A232" s="51" t="s">
        <v>255</v>
      </c>
      <c r="B232" s="50" t="s">
        <v>233</v>
      </c>
      <c r="C232" s="51" cm="1">
        <f t="array" aca="1" ref="C232" ca="1">IFERROR(SUM(_xlfn._xlws.FILTER(_xlfn.ANCHORARRAY(C230)*OFFSET($C$10,0,0,1,$C$2),OFFSET($C$11,0,0,1,$C$2)="WHAMHA")),0)</f>
        <v>0</v>
      </c>
      <c r="D232" s="51" cm="1">
        <f t="array" aca="1" ref="D232" ca="1">IFERROR(SUM(_xlfn._xlws.FILTER(_xlfn.ANCHORARRAY(C230)*OFFSET($C$10,0,0,1,$C$2),OFFSET($C$11,0,0,1,$C$2)="WHAMFA")),0)</f>
        <v>7.4937576526989513E-2</v>
      </c>
    </row>
    <row r="233" spans="1:25" x14ac:dyDescent="0.25">
      <c r="A233" s="51" t="s">
        <v>257</v>
      </c>
      <c r="B233" s="50" t="s">
        <v>234</v>
      </c>
      <c r="C233" s="51" cm="1">
        <f t="array" aca="1" ref="C233:Y233" ca="1">OFFSET($C$53,0,0,1,$C$2)*IF(OFFSET($C$11,0,0,1,$C$2)="WHAMFA",EXP(2*$D$26*LOG10(C231)*D232*ABS(OFFSET($C$10,0,0,1,$C$2))),IF(OFFSET($C$11,0,0,1,$C$2)="WHAMHA",EXP(2*$D$26*LOG10(C231)*C232*ABS(OFFSET($C$10,0,0,1,$C$2))),1))</f>
        <v>1</v>
      </c>
      <c r="D233" s="51">
        <f ca="1"/>
        <v>1</v>
      </c>
      <c r="E233" s="51">
        <f ca="1"/>
        <v>1</v>
      </c>
      <c r="F233" s="51">
        <f ca="1"/>
        <v>1</v>
      </c>
      <c r="G233" s="51">
        <f ca="1"/>
        <v>1</v>
      </c>
      <c r="H233" s="51">
        <f ca="1"/>
        <v>1</v>
      </c>
      <c r="I233" s="51">
        <f ca="1"/>
        <v>1</v>
      </c>
      <c r="J233" s="51">
        <f ca="1"/>
        <v>2.1995725798065139E-14</v>
      </c>
      <c r="K233" s="51">
        <f ca="1"/>
        <v>1.4954498711240171E-8</v>
      </c>
      <c r="L233" s="51">
        <f ca="1"/>
        <v>2.2363202312453416</v>
      </c>
      <c r="M233" s="51">
        <f ca="1"/>
        <v>1</v>
      </c>
      <c r="N233" s="51">
        <f ca="1"/>
        <v>1</v>
      </c>
      <c r="O233" s="51">
        <f ca="1"/>
        <v>1</v>
      </c>
      <c r="P233" s="51">
        <f ca="1"/>
        <v>1</v>
      </c>
      <c r="Q233" s="51">
        <f ca="1"/>
        <v>1.0069316688518E-14</v>
      </c>
      <c r="R233" s="51">
        <f ca="1"/>
        <v>3.0199517204020201E-8</v>
      </c>
      <c r="S233" s="51">
        <f ca="1"/>
        <v>2.5118864315095801</v>
      </c>
      <c r="T233" s="51">
        <f ca="1"/>
        <v>4.3856924301097484E-7</v>
      </c>
      <c r="U233" s="51">
        <f ca="1"/>
        <v>6.7926333211926505E-18</v>
      </c>
      <c r="V233" s="51">
        <f ca="1"/>
        <v>2.704196032107407E-6</v>
      </c>
      <c r="W233" s="51">
        <f ca="1"/>
        <v>1.1588792084242575E-8</v>
      </c>
      <c r="X233" s="51">
        <f ca="1"/>
        <v>4.7863009232263802E-9</v>
      </c>
      <c r="Y233" s="51">
        <f ca="1"/>
        <v>2.0511621788255701E-11</v>
      </c>
    </row>
    <row r="234" spans="1:25" x14ac:dyDescent="0.25">
      <c r="A234" s="51" t="s">
        <v>259</v>
      </c>
      <c r="B234" s="50" t="s">
        <v>236</v>
      </c>
      <c r="C234" s="51" cm="1">
        <f t="array" aca="1" ref="C234:D234" ca="1">((1000*((6.022E+23)/$C$24:$D$24)*(4*PI()/3)*((($C$25:$D$25+(0.000000000304 / SQRT(C231)))^3)-(($C$25:$D$25)^3)))*$C$20*ABS(C232:D232))/(1+$C$20*ABS(C232:D232))*$C$23:$D$23*$C$24:$D$24</f>
        <v>0</v>
      </c>
      <c r="D234" s="51">
        <f ca="1"/>
        <v>8.0250724753874715E-8</v>
      </c>
    </row>
    <row r="235" spans="1:25" x14ac:dyDescent="0.25">
      <c r="A235" s="51" t="s">
        <v>260</v>
      </c>
      <c r="B235" s="50" t="s">
        <v>237</v>
      </c>
      <c r="C235" s="51" cm="1">
        <f t="array" aca="1" ref="C235:D235" ca="1">$C$19/($C$19+SUM(_xlfn.ANCHORARRAY(C234)))*_xlfn.ANCHORARRAY(C234)</f>
        <v>0</v>
      </c>
      <c r="D235" s="51">
        <f ca="1"/>
        <v>8.0250698993167702E-8</v>
      </c>
    </row>
    <row r="236" spans="1:25" x14ac:dyDescent="0.25">
      <c r="A236" s="51" t="s">
        <v>260</v>
      </c>
      <c r="B236" s="50" t="s">
        <v>235</v>
      </c>
      <c r="C236" s="51" cm="1">
        <f t="array" aca="1" ref="C236:Y236" ca="1">IF(OFFSET($C$11,0,0,1,$C$2)="DonnanHA",C235,IF(OFFSET($C$11,0,0,1,$C$2)="DonnanFA",D235,IF(OR(OFFSET($C$11,0,0,1,$C$2)="WHAMHA",OFFSET($C$11,0,0,1,$C$2)="WHAMFA"),OFFSET($C$14,0,0,1,$C$2),OFFSET($C$14,0,0,1,$C$2)-SUM(_xlfn.ANCHORARRAY(C235)))))</f>
        <v>1</v>
      </c>
      <c r="D236" s="51">
        <f ca="1"/>
        <v>1</v>
      </c>
      <c r="E236" s="51">
        <f ca="1"/>
        <v>1</v>
      </c>
      <c r="F236" s="51">
        <f ca="1"/>
        <v>1</v>
      </c>
      <c r="G236" s="51">
        <f ca="1"/>
        <v>8.0250698993167702E-8</v>
      </c>
      <c r="H236" s="51">
        <f ca="1"/>
        <v>1</v>
      </c>
      <c r="I236" s="51">
        <f ca="1"/>
        <v>1</v>
      </c>
      <c r="J236" s="51">
        <f ca="1"/>
        <v>1</v>
      </c>
      <c r="K236" s="51">
        <f ca="1"/>
        <v>1</v>
      </c>
      <c r="L236" s="51">
        <f ca="1"/>
        <v>1</v>
      </c>
      <c r="M236" s="51">
        <f ca="1"/>
        <v>8.0250698993167702E-8</v>
      </c>
      <c r="N236" s="51">
        <f ca="1"/>
        <v>8.0250698993167702E-8</v>
      </c>
      <c r="O236" s="51">
        <f ca="1"/>
        <v>8.0250698993167702E-8</v>
      </c>
      <c r="P236" s="51">
        <f ca="1"/>
        <v>8.0250698993167702E-8</v>
      </c>
      <c r="Q236" s="51">
        <f ca="1"/>
        <v>8.0250698993167702E-8</v>
      </c>
      <c r="R236" s="51">
        <f ca="1"/>
        <v>8.0250698993167702E-8</v>
      </c>
      <c r="S236" s="51">
        <f ca="1"/>
        <v>8.0250698993167702E-8</v>
      </c>
      <c r="T236" s="51">
        <f ca="1"/>
        <v>1</v>
      </c>
      <c r="U236" s="51">
        <f ca="1"/>
        <v>1</v>
      </c>
      <c r="V236" s="51">
        <f ca="1"/>
        <v>1</v>
      </c>
      <c r="W236" s="51">
        <f ca="1"/>
        <v>1</v>
      </c>
      <c r="X236" s="51">
        <f ca="1"/>
        <v>1</v>
      </c>
      <c r="Y236" s="51">
        <f ca="1"/>
        <v>1</v>
      </c>
    </row>
    <row r="237" spans="1:25" x14ac:dyDescent="0.25">
      <c r="A237" s="51" t="s">
        <v>260</v>
      </c>
      <c r="B237" s="50" t="s">
        <v>228</v>
      </c>
      <c r="C237" s="51" cm="1">
        <f t="array" aca="1" ref="C237:Y237" ca="1">IF((OFFSET($C$11,0,0,1,$C$2)="DonnanFA")*(SIGN(_xlfn.SEQUENCE(1,$C$2,D232,0))=SIGN(OFFSET($C$10,0,0,1,$C$2))),0,OFFSET(C230,0,0,1,$C$2))</f>
        <v>5.1575217398673731E-3</v>
      </c>
      <c r="D237" s="51">
        <f ca="1"/>
        <v>1.4181992166049553</v>
      </c>
      <c r="E237" s="51">
        <f ca="1"/>
        <v>3.6150635588977433</v>
      </c>
      <c r="F237" s="51">
        <f ca="1"/>
        <v>2.6915348039269101E-8</v>
      </c>
      <c r="G237" s="51">
        <f ca="1"/>
        <v>1</v>
      </c>
      <c r="H237" s="51">
        <f ca="1"/>
        <v>2.7594208522562412E-9</v>
      </c>
      <c r="I237" s="51">
        <f ca="1"/>
        <v>5.9538657655140888E-4</v>
      </c>
      <c r="J237" s="51">
        <f ca="1"/>
        <v>8.1721870235427361E-7</v>
      </c>
      <c r="K237" s="51">
        <f ca="1"/>
        <v>2.8655825701941859E-3</v>
      </c>
      <c r="L237" s="51">
        <f ca="1"/>
        <v>4.1695673889057643E-2</v>
      </c>
      <c r="M237" s="51">
        <f ca="1"/>
        <v>0</v>
      </c>
      <c r="N237" s="51">
        <f ca="1"/>
        <v>0</v>
      </c>
      <c r="O237" s="51">
        <f ca="1"/>
        <v>3.615090492720662</v>
      </c>
      <c r="P237" s="51">
        <f ca="1"/>
        <v>0</v>
      </c>
      <c r="Q237" s="51">
        <f ca="1"/>
        <v>3.7411337556145216E-7</v>
      </c>
      <c r="R237" s="51">
        <f ca="1"/>
        <v>0</v>
      </c>
      <c r="S237" s="51">
        <f ca="1"/>
        <v>0</v>
      </c>
      <c r="T237" s="51">
        <f ca="1"/>
        <v>2.6352264556176643E-3</v>
      </c>
      <c r="U237" s="51">
        <f ca="1"/>
        <v>8.8064127957994268E-9</v>
      </c>
      <c r="V237" s="51">
        <f ca="1"/>
        <v>8.3802892560939568E-5</v>
      </c>
      <c r="W237" s="51">
        <f ca="1"/>
        <v>7.748900889645903E-2</v>
      </c>
      <c r="X237" s="51">
        <f ca="1"/>
        <v>9.402839197725926E-5</v>
      </c>
      <c r="Y237" s="51">
        <f ca="1"/>
        <v>8.6944097987396524E-2</v>
      </c>
    </row>
    <row r="238" spans="1:25" x14ac:dyDescent="0.25">
      <c r="A238" s="51" t="s">
        <v>261</v>
      </c>
      <c r="B238" s="50" t="s">
        <v>238</v>
      </c>
      <c r="C238" s="51" cm="1">
        <f t="array" aca="1" ref="C238:Y238" ca="1">_xlfn.ANCHORARRAY(C237)*_xlfn.ANCHORARRAY(C236)</f>
        <v>5.1575217398673731E-3</v>
      </c>
      <c r="D238" s="51">
        <f ca="1"/>
        <v>1.4181992166049553</v>
      </c>
      <c r="E238" s="51">
        <f ca="1"/>
        <v>3.6150635588977433</v>
      </c>
      <c r="F238" s="51">
        <f ca="1"/>
        <v>2.6915348039269101E-8</v>
      </c>
      <c r="G238" s="51">
        <f ca="1"/>
        <v>8.0250698993167702E-8</v>
      </c>
      <c r="H238" s="51">
        <f ca="1"/>
        <v>2.7594208522562412E-9</v>
      </c>
      <c r="I238" s="51">
        <f ca="1"/>
        <v>5.9538657655140888E-4</v>
      </c>
      <c r="J238" s="51">
        <f ca="1"/>
        <v>8.1721870235427361E-7</v>
      </c>
      <c r="K238" s="51">
        <f ca="1"/>
        <v>2.8655825701941859E-3</v>
      </c>
      <c r="L238" s="51">
        <f ca="1"/>
        <v>4.1695673889057643E-2</v>
      </c>
      <c r="M238" s="51">
        <f ca="1"/>
        <v>0</v>
      </c>
      <c r="N238" s="51">
        <f ca="1"/>
        <v>0</v>
      </c>
      <c r="O238" s="51">
        <f ca="1"/>
        <v>2.9011353896438816E-7</v>
      </c>
      <c r="P238" s="51">
        <f ca="1"/>
        <v>0</v>
      </c>
      <c r="Q238" s="51">
        <f ca="1"/>
        <v>3.0022859891499999E-14</v>
      </c>
      <c r="R238" s="51">
        <f ca="1"/>
        <v>0</v>
      </c>
      <c r="S238" s="51">
        <f ca="1"/>
        <v>0</v>
      </c>
      <c r="T238" s="51">
        <f ca="1"/>
        <v>2.6352264556176643E-3</v>
      </c>
      <c r="U238" s="51">
        <f ca="1"/>
        <v>8.8064127957994268E-9</v>
      </c>
      <c r="V238" s="51">
        <f ca="1"/>
        <v>8.3802892560939568E-5</v>
      </c>
      <c r="W238" s="51">
        <f ca="1"/>
        <v>7.748900889645903E-2</v>
      </c>
      <c r="X238" s="51">
        <f ca="1"/>
        <v>9.402839197725926E-5</v>
      </c>
      <c r="Y238" s="51">
        <f ca="1"/>
        <v>8.6944097987396524E-2</v>
      </c>
    </row>
    <row r="239" spans="1:25" x14ac:dyDescent="0.25">
      <c r="B239" s="50" t="s">
        <v>105</v>
      </c>
      <c r="C239" s="51" cm="1">
        <f t="array" aca="1" ref="C239:I239" ca="1">IF(OFFSET($C$5,0,0,1,$C$1)="DonnanFA",-D232,OFFSET(C225,0,0,1,$C$1))</f>
        <v>7627.3967045872887</v>
      </c>
      <c r="D239" s="51">
        <f ca="1"/>
        <v>261674.61887448546</v>
      </c>
      <c r="E239" s="51">
        <f ca="1"/>
        <v>-3.615033558940798</v>
      </c>
      <c r="F239" s="51">
        <f ca="1"/>
        <v>0</v>
      </c>
      <c r="G239" s="51">
        <f ca="1"/>
        <v>-7.4937576526989513E-2</v>
      </c>
      <c r="H239" s="51">
        <f ca="1"/>
        <v>-2.759413422949351E-9</v>
      </c>
      <c r="I239" s="51">
        <f ca="1"/>
        <v>-5.9538314925296253E-4</v>
      </c>
    </row>
    <row r="240" spans="1:25" x14ac:dyDescent="0.25">
      <c r="A240" s="51" t="s">
        <v>261</v>
      </c>
      <c r="B240" s="50" t="s">
        <v>222</v>
      </c>
      <c r="C240" s="51" cm="1">
        <f t="array" aca="1" ref="C240:I240" ca="1">OFFSET(C236,0,0,1,$C$1)*_xlfn.ANCHORARRAY(C239)</f>
        <v>7627.3967045872887</v>
      </c>
      <c r="D240" s="51">
        <f ca="1"/>
        <v>261674.61887448546</v>
      </c>
      <c r="E240" s="51">
        <f ca="1"/>
        <v>-3.615033558940798</v>
      </c>
      <c r="F240" s="51">
        <f ca="1"/>
        <v>0</v>
      </c>
      <c r="G240" s="51">
        <f ca="1"/>
        <v>-6.0137928971449053E-9</v>
      </c>
      <c r="H240" s="51">
        <f ca="1"/>
        <v>-2.759413422949351E-9</v>
      </c>
      <c r="I240" s="51">
        <f ca="1"/>
        <v>-5.9538314925296253E-4</v>
      </c>
    </row>
    <row r="241" spans="1:9" x14ac:dyDescent="0.25">
      <c r="A241" s="51" t="s">
        <v>262</v>
      </c>
      <c r="B241" s="50" t="s">
        <v>222</v>
      </c>
      <c r="C241" s="51" cm="1">
        <f t="array" aca="1" ref="C241:I241" ca="1">IF(OFFSET($C$6,0,0,1,$C$1)="FixedAct",MMULT((_xlfn.ANCHORARRAY(C237)*_xlfn.ANCHORARRAY(C236)),OFFSET($C$29,0,0,$C$2,$C$1)),_xlfn.ANCHORARRAY(C240))</f>
        <v>7627.3967045872887</v>
      </c>
      <c r="D241" s="51">
        <f ca="1"/>
        <v>261674.61887448546</v>
      </c>
      <c r="E241" s="51">
        <f ca="1"/>
        <v>-3.615033558940798</v>
      </c>
      <c r="F241" s="51">
        <f ca="1"/>
        <v>-0.25715067268337655</v>
      </c>
      <c r="G241" s="51">
        <f ca="1"/>
        <v>-6.0137928971449053E-9</v>
      </c>
      <c r="H241" s="51">
        <f ca="1"/>
        <v>-2.759413422949351E-9</v>
      </c>
      <c r="I241" s="51">
        <f ca="1"/>
        <v>-5.9538314925296253E-4</v>
      </c>
    </row>
    <row r="242" spans="1:9" x14ac:dyDescent="0.25">
      <c r="B242" s="50" t="s">
        <v>105</v>
      </c>
      <c r="C242" s="51" cm="1">
        <f t="array" aca="1" ref="C242:I242" ca="1">_xlfn.ANCHORARRAY(C241)*OFFSET(C236,0,0,1,$C$1)</f>
        <v>7627.3967045872887</v>
      </c>
      <c r="D242" s="51">
        <f ca="1"/>
        <v>261674.61887448546</v>
      </c>
      <c r="E242" s="51">
        <f ca="1"/>
        <v>-3.615033558940798</v>
      </c>
      <c r="F242" s="51">
        <f ca="1"/>
        <v>-0.25715067268337655</v>
      </c>
      <c r="G242" s="51">
        <f ca="1"/>
        <v>-4.8261108359602576E-16</v>
      </c>
      <c r="H242" s="51">
        <f ca="1"/>
        <v>-2.759413422949351E-9</v>
      </c>
      <c r="I242" s="51">
        <f ca="1"/>
        <v>-5.9538314925296253E-4</v>
      </c>
    </row>
    <row r="243" spans="1:9" x14ac:dyDescent="0.25">
      <c r="A243" s="51" t="s">
        <v>263</v>
      </c>
      <c r="B243" s="50" t="s">
        <v>239</v>
      </c>
      <c r="C243" s="51" cm="1">
        <f t="array" aca="1" ref="C243:I243" ca="1">MMULT((_xlfn.ANCHORARRAY(C237)*_xlfn.ANCHORARRAY(C236)),OFFSET($C$29,0,0,$C$2,$C$1))</f>
        <v>0.21432971636751294</v>
      </c>
      <c r="D243" s="51">
        <f ca="1"/>
        <v>1.4181992166049553</v>
      </c>
      <c r="E243" s="51">
        <f ca="1"/>
        <v>3.65675952290034</v>
      </c>
      <c r="F243" s="51">
        <f ca="1"/>
        <v>-0.25715067268337655</v>
      </c>
      <c r="G243" s="51">
        <f ca="1"/>
        <v>2.9011356898724805E-7</v>
      </c>
      <c r="H243" s="51">
        <f ca="1"/>
        <v>2.8130604995767155E-3</v>
      </c>
      <c r="I243" s="51">
        <f ca="1"/>
        <v>0.16502850226681975</v>
      </c>
    </row>
    <row r="244" spans="1:9" x14ac:dyDescent="0.25">
      <c r="A244" s="51" t="s">
        <v>263</v>
      </c>
      <c r="B244" s="50" t="s">
        <v>103</v>
      </c>
      <c r="C244" s="51" cm="1">
        <f t="array" aca="1" ref="C244:I244" ca="1">_xlfn.ANCHORARRAY(C243)/OFFSET(C236,0,0,1,$C$1)</f>
        <v>0.21432971636751294</v>
      </c>
      <c r="D244" s="51">
        <f ca="1"/>
        <v>1.4181992166049553</v>
      </c>
      <c r="E244" s="51">
        <f ca="1"/>
        <v>3.65675952290034</v>
      </c>
      <c r="F244" s="51">
        <f ca="1"/>
        <v>-0.25715067268337655</v>
      </c>
      <c r="G244" s="51">
        <f ca="1"/>
        <v>3.6150908668340374</v>
      </c>
      <c r="H244" s="51">
        <f ca="1"/>
        <v>2.8130604995767155E-3</v>
      </c>
      <c r="I244" s="51">
        <f ca="1"/>
        <v>0.16502850226681975</v>
      </c>
    </row>
    <row r="245" spans="1:9" x14ac:dyDescent="0.25">
      <c r="A245" s="51" t="s">
        <v>264</v>
      </c>
      <c r="B245" s="50" t="s">
        <v>104</v>
      </c>
      <c r="C245" s="51" cm="1">
        <f t="array" aca="1" ref="C245:I245" ca="1">IF(OFFSET($C$6,0,0,1,$C$1)="FixedAct",0,_xlfn.ANCHORARRAY(C243)-_xlfn.ANCHORARRAY(C241))</f>
        <v>-7627.1823748709212</v>
      </c>
      <c r="D245" s="51">
        <f ca="1"/>
        <v>-261673.20067526886</v>
      </c>
      <c r="E245" s="51">
        <f ca="1"/>
        <v>7.271793081841138</v>
      </c>
      <c r="F245" s="51">
        <f ca="1"/>
        <v>0</v>
      </c>
      <c r="G245" s="51">
        <f ca="1"/>
        <v>2.9612736188439298E-7</v>
      </c>
      <c r="H245" s="51">
        <f ca="1"/>
        <v>2.8130632589901386E-3</v>
      </c>
      <c r="I245" s="51">
        <f ca="1"/>
        <v>0.16562388541607273</v>
      </c>
    </row>
    <row r="246" spans="1:9" x14ac:dyDescent="0.25">
      <c r="A246" s="51" t="s">
        <v>264</v>
      </c>
      <c r="B246" s="50" t="s">
        <v>240</v>
      </c>
      <c r="C246" s="51" cm="1">
        <f t="array" aca="1" ref="C246:I246" ca="1">ABS(_xlfn.ANCHORARRAY(C245)/_xlfn.ANCHORARRAY(C241))</f>
        <v>0.99997190001717906</v>
      </c>
      <c r="D246" s="51">
        <f ca="1"/>
        <v>0.99999458029509058</v>
      </c>
      <c r="E246" s="51">
        <f ca="1"/>
        <v>2.0115423448438934</v>
      </c>
      <c r="F246" s="51">
        <f ca="1"/>
        <v>0</v>
      </c>
      <c r="G246" s="51">
        <f ca="1"/>
        <v>49.241363470461664</v>
      </c>
      <c r="H246" s="51">
        <f ca="1"/>
        <v>1019442.4784610365</v>
      </c>
      <c r="I246" s="51">
        <f ca="1"/>
        <v>278.18033752531267</v>
      </c>
    </row>
    <row r="247" spans="1:9" x14ac:dyDescent="0.25">
      <c r="A247" s="51" t="s">
        <v>265</v>
      </c>
      <c r="B247" s="50" t="s">
        <v>58</v>
      </c>
      <c r="C247" s="51">
        <f ca="1">MAX(_xlfn.ANCHORARRAY(C246))</f>
        <v>1019442.4784610365</v>
      </c>
    </row>
    <row r="249" spans="1:9" x14ac:dyDescent="0.25">
      <c r="B249" s="50" t="s">
        <v>251</v>
      </c>
    </row>
    <row r="250" spans="1:9" x14ac:dyDescent="0.25">
      <c r="B250" s="50" t="s">
        <v>242</v>
      </c>
      <c r="C250" s="51" cm="1">
        <f t="array" ref="C250:I250">_xlfn.SEQUENCE(1,$C$1,0,1)</f>
        <v>0</v>
      </c>
      <c r="D250" s="51">
        <v>1</v>
      </c>
      <c r="E250" s="51">
        <v>2</v>
      </c>
      <c r="F250" s="51">
        <v>3</v>
      </c>
      <c r="G250" s="51">
        <v>4</v>
      </c>
      <c r="H250" s="51">
        <v>5</v>
      </c>
      <c r="I250" s="51">
        <v>6</v>
      </c>
    </row>
    <row r="251" spans="1:9" x14ac:dyDescent="0.25">
      <c r="B251" s="51" cm="1">
        <f t="array" ref="B251:B257">_xlfn.SEQUENCE($C$1,1,0,1)</f>
        <v>0</v>
      </c>
      <c r="C251" s="51" cm="1">
        <f t="array" aca="1" ref="C251:I257" ca="1">MMULT(TRANSPOSE(_xlfn.MAKEARRAY($C$2,$C$1,_xlfn.LAMBDA(_xlpm.row,_xlpm.col,OFFSET(C238,0,_xlpm.col-1)))*OFFSET($C$29,0,0,$C$2,$C$1)),OFFSET($C$29,0,0,$C$2,$C$1)*_xlfn.MAKEARRAY($C$2,$C$1,_xlfn.LAMBDA(_xlpm.row,_xlpm.col,1/OFFSET(C238,0,_xlpm.col-1))))</f>
        <v>10</v>
      </c>
      <c r="D251" s="51">
        <f ca="1"/>
        <v>0</v>
      </c>
      <c r="E251" s="51">
        <f ca="1"/>
        <v>2.8533505183736992E-3</v>
      </c>
      <c r="F251" s="51">
        <f ca="1"/>
        <v>-1532960.8169562209</v>
      </c>
      <c r="G251" s="51">
        <f ca="1"/>
        <v>257070.49556323336</v>
      </c>
      <c r="H251" s="51">
        <f ca="1"/>
        <v>3738118.9865622162</v>
      </c>
      <c r="I251" s="51">
        <f ca="1"/>
        <v>17.324951360982002</v>
      </c>
    </row>
    <row r="252" spans="1:9" x14ac:dyDescent="0.25">
      <c r="B252" s="50">
        <v>1</v>
      </c>
      <c r="C252" s="51">
        <f ca="1"/>
        <v>0</v>
      </c>
      <c r="D252" s="51">
        <f ca="1"/>
        <v>2</v>
      </c>
      <c r="E252" s="51">
        <f ca="1"/>
        <v>0</v>
      </c>
      <c r="F252" s="51">
        <f ca="1"/>
        <v>0</v>
      </c>
      <c r="G252" s="51">
        <f ca="1"/>
        <v>17672110.453837872</v>
      </c>
      <c r="H252" s="51">
        <f ca="1"/>
        <v>0</v>
      </c>
      <c r="I252" s="51">
        <f ca="1"/>
        <v>0</v>
      </c>
    </row>
    <row r="253" spans="1:9" x14ac:dyDescent="0.25">
      <c r="B253" s="50">
        <v>2</v>
      </c>
      <c r="C253" s="51">
        <f ca="1"/>
        <v>1401.860715759467</v>
      </c>
      <c r="D253" s="51">
        <f ca="1"/>
        <v>0</v>
      </c>
      <c r="E253" s="51">
        <f ca="1"/>
        <v>4</v>
      </c>
      <c r="F253" s="51">
        <f ca="1"/>
        <v>0</v>
      </c>
      <c r="G253" s="51">
        <f ca="1"/>
        <v>90094257.227728799</v>
      </c>
      <c r="H253" s="51">
        <f ca="1"/>
        <v>0</v>
      </c>
      <c r="I253" s="51">
        <f ca="1"/>
        <v>0</v>
      </c>
    </row>
    <row r="254" spans="1:9" x14ac:dyDescent="0.25">
      <c r="B254" s="50">
        <v>3</v>
      </c>
      <c r="C254" s="51">
        <f ca="1"/>
        <v>-4.174927323131165E-5</v>
      </c>
      <c r="D254" s="51">
        <f ca="1"/>
        <v>0</v>
      </c>
      <c r="E254" s="51">
        <f ca="1"/>
        <v>0</v>
      </c>
      <c r="F254" s="51">
        <f ca="1"/>
        <v>17.999999999999996</v>
      </c>
      <c r="G254" s="51">
        <f ca="1"/>
        <v>-0.33539082371806622</v>
      </c>
      <c r="H254" s="51">
        <f ca="1"/>
        <v>-39.015937735284936</v>
      </c>
      <c r="I254" s="51">
        <f ca="1"/>
        <v>-1.8082603202220556E-4</v>
      </c>
    </row>
    <row r="255" spans="1:9" x14ac:dyDescent="0.25">
      <c r="B255" s="50">
        <v>4</v>
      </c>
      <c r="C255" s="51">
        <f ca="1"/>
        <v>6.2239736866514012E-5</v>
      </c>
      <c r="D255" s="51">
        <f ca="1"/>
        <v>5.6586337133425337E-8</v>
      </c>
      <c r="E255" s="51">
        <f ca="1"/>
        <v>4.4397946362877598E-8</v>
      </c>
      <c r="F255" s="51">
        <f ca="1"/>
        <v>-2.9815961835634854</v>
      </c>
      <c r="G255" s="51">
        <f ca="1"/>
        <v>10</v>
      </c>
      <c r="H255" s="51">
        <f ca="1"/>
        <v>0</v>
      </c>
      <c r="I255" s="51">
        <f ca="1"/>
        <v>0</v>
      </c>
    </row>
    <row r="256" spans="1:9" x14ac:dyDescent="0.25">
      <c r="B256" s="50">
        <v>5</v>
      </c>
      <c r="C256" s="51">
        <f ca="1"/>
        <v>1.0700568960964574E-6</v>
      </c>
      <c r="D256" s="51">
        <f ca="1"/>
        <v>0</v>
      </c>
      <c r="E256" s="51">
        <f ca="1"/>
        <v>0</v>
      </c>
      <c r="F256" s="51">
        <f ca="1"/>
        <v>-0.41008882340741593</v>
      </c>
      <c r="G256" s="51">
        <f ca="1"/>
        <v>0</v>
      </c>
      <c r="H256" s="51">
        <f ca="1"/>
        <v>4</v>
      </c>
      <c r="I256" s="51">
        <f ca="1"/>
        <v>0</v>
      </c>
    </row>
    <row r="257" spans="2:9" x14ac:dyDescent="0.25">
      <c r="B257" s="50">
        <v>6</v>
      </c>
      <c r="C257" s="51">
        <f ca="1"/>
        <v>0.23088087906604515</v>
      </c>
      <c r="D257" s="51">
        <f ca="1"/>
        <v>0</v>
      </c>
      <c r="E257" s="51">
        <f ca="1"/>
        <v>0</v>
      </c>
      <c r="F257" s="51">
        <f ca="1"/>
        <v>-88482.835248163756</v>
      </c>
      <c r="G257" s="51">
        <f ca="1"/>
        <v>0</v>
      </c>
      <c r="H257" s="51">
        <f ca="1"/>
        <v>0</v>
      </c>
      <c r="I257" s="51">
        <f ca="1"/>
        <v>4</v>
      </c>
    </row>
    <row r="258" spans="2:9" x14ac:dyDescent="0.25">
      <c r="B258" s="50" t="s">
        <v>244</v>
      </c>
      <c r="C258" s="51" cm="1">
        <f t="array" aca="1" ref="C258:I264" ca="1">MINVERSE(_xlfn.ANCHORARRAY(C251))</f>
        <v>0.21761658031088082</v>
      </c>
      <c r="D258" s="51">
        <f ca="1"/>
        <v>1.2247850419493006E-4</v>
      </c>
      <c r="E258" s="51">
        <f ca="1"/>
        <v>-1.0718544693372696E-4</v>
      </c>
      <c r="F258" s="51">
        <f ca="1"/>
        <v>15389.17918576517</v>
      </c>
      <c r="G258" s="51">
        <f ca="1"/>
        <v>-4328.9073087073002</v>
      </c>
      <c r="H258" s="51">
        <f ca="1"/>
        <v>-53263.35343547209</v>
      </c>
      <c r="I258" s="51">
        <f ca="1"/>
        <v>-0.2468581152471537</v>
      </c>
    </row>
    <row r="259" spans="2:9" x14ac:dyDescent="0.25">
      <c r="C259" s="51">
        <f ca="1"/>
        <v>9.2608792479254713</v>
      </c>
      <c r="D259" s="51">
        <f ca="1"/>
        <v>0.53497409326424872</v>
      </c>
      <c r="E259" s="51">
        <f ca="1"/>
        <v>7.114297777640409E-3</v>
      </c>
      <c r="F259" s="51">
        <f ca="1"/>
        <v>341263.58215463336</v>
      </c>
      <c r="G259" s="51">
        <f ca="1"/>
        <v>-1236132.0783772606</v>
      </c>
      <c r="H259" s="51">
        <f ca="1"/>
        <v>-5325887.4690661905</v>
      </c>
      <c r="I259" s="51">
        <f ca="1"/>
        <v>-24.683735773882567</v>
      </c>
    </row>
    <row r="260" spans="2:9" x14ac:dyDescent="0.25">
      <c r="B260" s="51"/>
      <c r="C260" s="51">
        <f ca="1"/>
        <v>-52.66057092878826</v>
      </c>
      <c r="D260" s="51">
        <f ca="1"/>
        <v>4.6226331726575941E-2</v>
      </c>
      <c r="E260" s="51">
        <f ca="1"/>
        <v>0.30569948186528495</v>
      </c>
      <c r="F260" s="51">
        <f ca="1"/>
        <v>-4523472.8181934971</v>
      </c>
      <c r="G260" s="51">
        <f ca="1"/>
        <v>-1633833.6802955996</v>
      </c>
      <c r="H260" s="51">
        <f ca="1"/>
        <v>5090986.5525545878</v>
      </c>
      <c r="I260" s="51">
        <f ca="1"/>
        <v>23.595047327141529</v>
      </c>
    </row>
    <row r="261" spans="2:9" x14ac:dyDescent="0.25">
      <c r="C261" s="51">
        <f ca="1"/>
        <v>4.1911511339723502E-7</v>
      </c>
      <c r="D261" s="51">
        <f ca="1"/>
        <v>1.2291799366818494E-10</v>
      </c>
      <c r="E261" s="51">
        <f ca="1"/>
        <v>-2.5074951998247274E-10</v>
      </c>
      <c r="F261" s="51">
        <f ca="1"/>
        <v>0.13082901554404147</v>
      </c>
      <c r="G261" s="51">
        <f ca="1"/>
        <v>-4.3444407217366199E-3</v>
      </c>
      <c r="H261" s="51">
        <f ca="1"/>
        <v>0.88442864037239144</v>
      </c>
      <c r="I261" s="51">
        <f ca="1"/>
        <v>4.0990356999852256E-6</v>
      </c>
    </row>
    <row r="262" spans="2:9" x14ac:dyDescent="0.25">
      <c r="C262" s="51">
        <f ca="1"/>
        <v>-1.0480784705501064E-6</v>
      </c>
      <c r="D262" s="51">
        <f ca="1"/>
        <v>-3.9581116647732751E-9</v>
      </c>
      <c r="E262" s="51">
        <f ca="1"/>
        <v>-8.0514410502627762E-10</v>
      </c>
      <c r="F262" s="51">
        <f ca="1"/>
        <v>-3.8621712222324953E-2</v>
      </c>
      <c r="G262" s="51">
        <f ca="1"/>
        <v>0.13989637305699484</v>
      </c>
      <c r="H262" s="51">
        <f ca="1"/>
        <v>0.60274492771852972</v>
      </c>
      <c r="I262" s="51">
        <f ca="1"/>
        <v>2.7935243884266208E-6</v>
      </c>
    </row>
    <row r="263" spans="2:9" x14ac:dyDescent="0.25">
      <c r="C263" s="51">
        <f ca="1"/>
        <v>-1.5246924685312199E-8</v>
      </c>
      <c r="D263" s="51">
        <f ca="1"/>
        <v>-2.0162918159594411E-11</v>
      </c>
      <c r="E263" s="51">
        <f ca="1"/>
        <v>2.9662377582572501E-12</v>
      </c>
      <c r="F263" s="51">
        <f ca="1"/>
        <v>9.296054934753599E-3</v>
      </c>
      <c r="G263" s="51">
        <f ca="1"/>
        <v>7.1264263357609164E-4</v>
      </c>
      <c r="H263" s="51">
        <f ca="1"/>
        <v>0.35492227979274615</v>
      </c>
      <c r="I263" s="51">
        <f ca="1"/>
        <v>4.8628023897238165E-7</v>
      </c>
    </row>
    <row r="264" spans="2:9" x14ac:dyDescent="0.25">
      <c r="C264" s="51">
        <f ca="1"/>
        <v>-3.2897534581949406E-3</v>
      </c>
      <c r="D264" s="51">
        <f ca="1"/>
        <v>-4.3504530331107278E-6</v>
      </c>
      <c r="E264" s="51">
        <f ca="1"/>
        <v>6.4001043649513826E-7</v>
      </c>
      <c r="F264" s="51">
        <f ca="1"/>
        <v>2005.7637523871322</v>
      </c>
      <c r="G264" s="51">
        <f ca="1"/>
        <v>153.76337305073352</v>
      </c>
      <c r="H264" s="51">
        <f ca="1"/>
        <v>22638.56088450376</v>
      </c>
      <c r="I264" s="51">
        <f ca="1"/>
        <v>0.35492227979274604</v>
      </c>
    </row>
    <row r="265" spans="2:9" x14ac:dyDescent="0.25">
      <c r="C265" s="51" cm="1">
        <f t="array" aca="1" ref="C265:I265" ca="1">TRANSPOSE(MMULT(_xlfn.ANCHORARRAY(C258),TRANSPOSE(_xlfn.ANCHORARRAY(C245))))</f>
        <v>-1841.7268175718584</v>
      </c>
      <c r="D265" s="51">
        <f ca="1"/>
        <v>-225609.25913419222</v>
      </c>
      <c r="E265" s="51">
        <f ca="1"/>
        <v>403882.50054726296</v>
      </c>
      <c r="F265" s="51">
        <f ca="1"/>
        <v>-7.4020224902628193E-4</v>
      </c>
      <c r="G265" s="51">
        <f ca="1"/>
        <v>1.072567524338622E-2</v>
      </c>
      <c r="H265" s="51">
        <f ca="1"/>
        <v>1.1200667678679943E-3</v>
      </c>
      <c r="I265" s="51">
        <f ca="1"/>
        <v>89.972484218750935</v>
      </c>
    </row>
    <row r="266" spans="2:9" x14ac:dyDescent="0.25">
      <c r="B266" s="50" t="s">
        <v>245</v>
      </c>
      <c r="C266" s="51" cm="1">
        <f t="array" aca="1" ref="C266:H266" ca="1">_xlfn._xlws.FILTER(_xlfn.ANCHORARRAY(C250),OFFSET($C$6,0,0,1,$C$1)&lt;&gt;"FixedAct")</f>
        <v>0</v>
      </c>
      <c r="D266" s="51">
        <f ca="1"/>
        <v>1</v>
      </c>
      <c r="E266" s="51">
        <f ca="1"/>
        <v>2</v>
      </c>
      <c r="F266" s="51">
        <f ca="1"/>
        <v>4</v>
      </c>
      <c r="G266" s="51">
        <f ca="1"/>
        <v>5</v>
      </c>
      <c r="H266" s="51">
        <f ca="1"/>
        <v>6</v>
      </c>
    </row>
    <row r="267" spans="2:9" x14ac:dyDescent="0.25">
      <c r="B267" s="51" cm="1">
        <f t="array" aca="1" ref="B267:B272" ca="1">TRANSPOSE(_xlfn.ANCHORARRAY(C266))</f>
        <v>0</v>
      </c>
      <c r="C267" s="52">
        <f ca="1">IF(OFFSET($C$6,0,C$114)="FixedAct",0,IF(OFFSET($C$6,0,$B267)="FixedAct",0,C251))</f>
        <v>10</v>
      </c>
      <c r="D267" s="52">
        <f ca="1">IF(OFFSET($C$6,0,D$114)="FixedAct",0,IF(OFFSET($C$6,0,$B267)="FixedAct",0,D251))</f>
        <v>0</v>
      </c>
      <c r="E267" s="52">
        <f ca="1">IF(OFFSET($C$6,0,E$114)="FixedAct",0,IF(OFFSET($C$6,0,$B267)="FixedAct",0,E251))</f>
        <v>2.8533505183736992E-3</v>
      </c>
      <c r="F267" s="52">
        <f ca="1">IF(OFFSET($C$6,0,F$114)="FixedAct",0,IF(OFFSET($C$6,0,$B267)="FixedAct",0,G251))</f>
        <v>257070.49556323336</v>
      </c>
      <c r="G267" s="52">
        <f ca="1">IF(OFFSET($C$6,0,G$114)="FixedAct",0,IF(OFFSET($C$6,0,$B267)="FixedAct",0,H251))</f>
        <v>3738118.9865622162</v>
      </c>
      <c r="H267" s="52">
        <f ca="1">IF(OFFSET($C$6,0,H$114)="FixedAct",0,IF(OFFSET($C$6,0,$B267)="FixedAct",0,I251))</f>
        <v>17.324951360982002</v>
      </c>
      <c r="I267" s="52"/>
    </row>
    <row r="268" spans="2:9" x14ac:dyDescent="0.25">
      <c r="B268" s="51">
        <f ca="1"/>
        <v>1</v>
      </c>
      <c r="C268" s="52">
        <f ca="1">IF(OFFSET($C$6,0,C$114)="FixedAct",0,IF(OFFSET($C$6,0,$B268)="FixedAct",0,C252))</f>
        <v>0</v>
      </c>
      <c r="D268" s="52">
        <f ca="1">IF(OFFSET($C$6,0,D$114)="FixedAct",0,IF(OFFSET($C$6,0,$B268)="FixedAct",0,D252))</f>
        <v>2</v>
      </c>
      <c r="E268" s="52">
        <f ca="1">IF(OFFSET($C$6,0,E$114)="FixedAct",0,IF(OFFSET($C$6,0,$B268)="FixedAct",0,E252))</f>
        <v>0</v>
      </c>
      <c r="F268" s="52">
        <f ca="1">IF(OFFSET($C$6,0,F$114)="FixedAct",0,IF(OFFSET($C$6,0,$B268)="FixedAct",0,G252))</f>
        <v>17672110.453837872</v>
      </c>
      <c r="G268" s="52">
        <f ca="1">IF(OFFSET($C$6,0,G$114)="FixedAct",0,IF(OFFSET($C$6,0,$B268)="FixedAct",0,H252))</f>
        <v>0</v>
      </c>
      <c r="H268" s="52">
        <f ca="1">IF(OFFSET($C$6,0,H$114)="FixedAct",0,IF(OFFSET($C$6,0,$B268)="FixedAct",0,I252))</f>
        <v>0</v>
      </c>
      <c r="I268" s="52"/>
    </row>
    <row r="269" spans="2:9" x14ac:dyDescent="0.25">
      <c r="B269" s="51">
        <f ca="1"/>
        <v>2</v>
      </c>
      <c r="C269" s="52">
        <f ca="1">IF(OFFSET($C$6,0,C$114)="FixedAct",0,IF(OFFSET($C$6,0,$B269)="FixedAct",0,C253))</f>
        <v>1401.860715759467</v>
      </c>
      <c r="D269" s="52">
        <f ca="1">IF(OFFSET($C$6,0,D$114)="FixedAct",0,IF(OFFSET($C$6,0,$B269)="FixedAct",0,D253))</f>
        <v>0</v>
      </c>
      <c r="E269" s="52">
        <f ca="1">IF(OFFSET($C$6,0,E$114)="FixedAct",0,IF(OFFSET($C$6,0,$B269)="FixedAct",0,E253))</f>
        <v>4</v>
      </c>
      <c r="F269" s="52">
        <f ca="1">IF(OFFSET($C$6,0,F$114)="FixedAct",0,IF(OFFSET($C$6,0,$B269)="FixedAct",0,G253))</f>
        <v>90094257.227728799</v>
      </c>
      <c r="G269" s="52">
        <f ca="1">IF(OFFSET($C$6,0,G$114)="FixedAct",0,IF(OFFSET($C$6,0,$B269)="FixedAct",0,H253))</f>
        <v>0</v>
      </c>
      <c r="H269" s="52">
        <f ca="1">IF(OFFSET($C$6,0,H$114)="FixedAct",0,IF(OFFSET($C$6,0,$B269)="FixedAct",0,I253))</f>
        <v>0</v>
      </c>
      <c r="I269" s="52"/>
    </row>
    <row r="270" spans="2:9" x14ac:dyDescent="0.25">
      <c r="B270" s="51">
        <f ca="1"/>
        <v>4</v>
      </c>
      <c r="C270" s="52">
        <f ca="1">IF(OFFSET($C$6,0,C$114)="FixedAct",0,IF(OFFSET($C$6,0,$B270)="FixedAct",0,C255))</f>
        <v>6.2239736866514012E-5</v>
      </c>
      <c r="D270" s="52">
        <f ca="1">IF(OFFSET($C$6,0,D$114)="FixedAct",0,IF(OFFSET($C$6,0,$B270)="FixedAct",0,D255))</f>
        <v>5.6586337133425337E-8</v>
      </c>
      <c r="E270" s="52">
        <f ca="1">IF(OFFSET($C$6,0,E$114)="FixedAct",0,IF(OFFSET($C$6,0,$B270)="FixedAct",0,E255))</f>
        <v>4.4397946362877598E-8</v>
      </c>
      <c r="F270" s="52">
        <f ca="1">IF(OFFSET($C$6,0,F$114)="FixedAct",0,IF(OFFSET($C$6,0,$B270)="FixedAct",0,G255))</f>
        <v>10</v>
      </c>
      <c r="G270" s="52">
        <f ca="1">IF(OFFSET($C$6,0,G$114)="FixedAct",0,IF(OFFSET($C$6,0,$B270)="FixedAct",0,H255))</f>
        <v>0</v>
      </c>
      <c r="H270" s="52">
        <f ca="1">IF(OFFSET($C$6,0,H$114)="FixedAct",0,IF(OFFSET($C$6,0,$B270)="FixedAct",0,I255))</f>
        <v>0</v>
      </c>
      <c r="I270" s="52"/>
    </row>
    <row r="271" spans="2:9" x14ac:dyDescent="0.25">
      <c r="B271" s="51">
        <f ca="1"/>
        <v>5</v>
      </c>
      <c r="C271" s="52">
        <f ca="1">IF(OFFSET($C$6,0,C$114)="FixedAct",0,IF(OFFSET($C$6,0,$B271)="FixedAct",0,C256))</f>
        <v>1.0700568960964574E-6</v>
      </c>
      <c r="D271" s="52">
        <f ca="1">IF(OFFSET($C$6,0,D$114)="FixedAct",0,IF(OFFSET($C$6,0,$B271)="FixedAct",0,D256))</f>
        <v>0</v>
      </c>
      <c r="E271" s="52">
        <f ca="1">IF(OFFSET($C$6,0,E$114)="FixedAct",0,IF(OFFSET($C$6,0,$B271)="FixedAct",0,E256))</f>
        <v>0</v>
      </c>
      <c r="F271" s="52">
        <f ca="1">IF(OFFSET($C$6,0,F$114)="FixedAct",0,IF(OFFSET($C$6,0,$B271)="FixedAct",0,G256))</f>
        <v>0</v>
      </c>
      <c r="G271" s="52">
        <f ca="1">IF(OFFSET($C$6,0,G$114)="FixedAct",0,IF(OFFSET($C$6,0,$B271)="FixedAct",0,H256))</f>
        <v>4</v>
      </c>
      <c r="H271" s="52">
        <f ca="1">IF(OFFSET($C$6,0,H$114)="FixedAct",0,IF(OFFSET($C$6,0,$B271)="FixedAct",0,I256))</f>
        <v>0</v>
      </c>
      <c r="I271" s="52"/>
    </row>
    <row r="272" spans="2:9" x14ac:dyDescent="0.25">
      <c r="B272" s="51">
        <f ca="1"/>
        <v>6</v>
      </c>
      <c r="C272" s="52">
        <f ca="1">IF(OFFSET($C$6,0,C$114)="FixedAct",0,IF(OFFSET($C$6,0,$B272)="FixedAct",0,C257))</f>
        <v>0.23088087906604515</v>
      </c>
      <c r="D272" s="52">
        <f ca="1">IF(OFFSET($C$6,0,D$114)="FixedAct",0,IF(OFFSET($C$6,0,$B272)="FixedAct",0,D257))</f>
        <v>0</v>
      </c>
      <c r="E272" s="52">
        <f ca="1">IF(OFFSET($C$6,0,E$114)="FixedAct",0,IF(OFFSET($C$6,0,$B272)="FixedAct",0,E257))</f>
        <v>0</v>
      </c>
      <c r="F272" s="52">
        <f ca="1">IF(OFFSET($C$6,0,F$114)="FixedAct",0,IF(OFFSET($C$6,0,$B272)="FixedAct",0,G257))</f>
        <v>0</v>
      </c>
      <c r="G272" s="52">
        <f ca="1">IF(OFFSET($C$6,0,G$114)="FixedAct",0,IF(OFFSET($C$6,0,$B272)="FixedAct",0,H257))</f>
        <v>0</v>
      </c>
      <c r="H272" s="52">
        <f ca="1">IF(OFFSET($C$6,0,H$114)="FixedAct",0,IF(OFFSET($C$6,0,$B272)="FixedAct",0,I257))</f>
        <v>4</v>
      </c>
      <c r="I272" s="52"/>
    </row>
    <row r="273" spans="2:25" x14ac:dyDescent="0.25">
      <c r="B273" s="50" t="s">
        <v>246</v>
      </c>
      <c r="C273" s="51" cm="1">
        <f t="array" aca="1" ref="C273:H278" ca="1">MINVERSE(C267:H272)</f>
        <v>0.16831683168316838</v>
      </c>
      <c r="D273" s="51">
        <f ca="1"/>
        <v>1.0801988412622168E-4</v>
      </c>
      <c r="E273" s="51">
        <f ca="1"/>
        <v>-7.7690236886412582E-5</v>
      </c>
      <c r="F273" s="51">
        <f ca="1"/>
        <v>-3817.8786469787146</v>
      </c>
      <c r="G273" s="51">
        <f ca="1"/>
        <v>-157297.08606821208</v>
      </c>
      <c r="H273" s="51">
        <f ca="1"/>
        <v>-0.72902023053637333</v>
      </c>
    </row>
    <row r="274" spans="2:25" x14ac:dyDescent="0.25">
      <c r="C274" s="51">
        <f ca="1"/>
        <v>8.1676299840805147</v>
      </c>
      <c r="D274" s="51">
        <f ca="1"/>
        <v>0.53465346534653468</v>
      </c>
      <c r="E274" s="51">
        <f ca="1"/>
        <v>7.7683704163202172E-3</v>
      </c>
      <c r="F274" s="51">
        <f ca="1"/>
        <v>-1224799.7344244071</v>
      </c>
      <c r="G274" s="51">
        <f ca="1"/>
        <v>-7632893.1796765579</v>
      </c>
      <c r="H274" s="51">
        <f ca="1"/>
        <v>-35.375948052173641</v>
      </c>
    </row>
    <row r="275" spans="2:25" x14ac:dyDescent="0.25">
      <c r="C275" s="51">
        <f ca="1"/>
        <v>-38.169474934044878</v>
      </c>
      <c r="D275" s="51">
        <f ca="1"/>
        <v>5.047627735914658E-2</v>
      </c>
      <c r="E275" s="51">
        <f ca="1"/>
        <v>0.29702970297029702</v>
      </c>
      <c r="F275" s="51">
        <f ca="1"/>
        <v>-1784044.697578788</v>
      </c>
      <c r="G275" s="51">
        <f ca="1"/>
        <v>35670509.739515916</v>
      </c>
      <c r="H275" s="51">
        <f ca="1"/>
        <v>165.32107417663696</v>
      </c>
    </row>
    <row r="276" spans="2:25" x14ac:dyDescent="0.25">
      <c r="C276" s="51">
        <f ca="1"/>
        <v>-9.2435252772050682E-7</v>
      </c>
      <c r="D276" s="51">
        <f ca="1"/>
        <v>-3.9218253458809649E-9</v>
      </c>
      <c r="E276" s="51">
        <f ca="1"/>
        <v>-8.7916725471044703E-10</v>
      </c>
      <c r="F276" s="51">
        <f ca="1"/>
        <v>0.13861386138613863</v>
      </c>
      <c r="G276" s="51">
        <f ca="1"/>
        <v>0.8638349335372012</v>
      </c>
      <c r="H276" s="51">
        <f ca="1"/>
        <v>4.0035906457896777E-6</v>
      </c>
    </row>
    <row r="277" spans="2:25" x14ac:dyDescent="0.25">
      <c r="C277" s="51">
        <f ca="1"/>
        <v>-4.5027146617920319E-8</v>
      </c>
      <c r="D277" s="51">
        <f ca="1"/>
        <v>-2.8896855481200934E-11</v>
      </c>
      <c r="E277" s="51">
        <f ca="1"/>
        <v>2.0783243434918311E-11</v>
      </c>
      <c r="F277" s="51">
        <f ca="1"/>
        <v>1.0213368436647469E-3</v>
      </c>
      <c r="G277" s="51">
        <f ca="1"/>
        <v>0.29207920792079206</v>
      </c>
      <c r="H277" s="51">
        <f ca="1"/>
        <v>1.9502328126981983E-7</v>
      </c>
    </row>
    <row r="278" spans="2:25" x14ac:dyDescent="0.25">
      <c r="C278" s="51">
        <f ca="1"/>
        <v>-9.7152845151553691E-3</v>
      </c>
      <c r="D278" s="51">
        <f ca="1"/>
        <v>-6.2349314509185985E-6</v>
      </c>
      <c r="E278" s="51">
        <f ca="1"/>
        <v>4.4842975467960549E-6</v>
      </c>
      <c r="F278" s="51">
        <f ca="1"/>
        <v>220.36879454548216</v>
      </c>
      <c r="G278" s="51">
        <f ca="1"/>
        <v>9079.2223764890441</v>
      </c>
      <c r="H278" s="51">
        <f ca="1"/>
        <v>0.29207920792079217</v>
      </c>
    </row>
    <row r="279" spans="2:25" x14ac:dyDescent="0.25">
      <c r="B279" s="50" t="s">
        <v>247</v>
      </c>
      <c r="C279" s="51" cm="1">
        <f t="array" aca="1" ref="C279:H279" ca="1">_xlfn._xlws.FILTER(OFFSET(C245,0,0,1,$C$1),OFFSET($C$6,0,0,1,$C$1)&lt;&gt;"FixedAct")</f>
        <v>-7627.1823748709212</v>
      </c>
      <c r="D279" s="51">
        <f ca="1"/>
        <v>-261673.20067526886</v>
      </c>
      <c r="E279" s="51">
        <f ca="1"/>
        <v>7.271793081841138</v>
      </c>
      <c r="F279" s="51">
        <f ca="1"/>
        <v>2.9612736188439298E-7</v>
      </c>
      <c r="G279" s="51">
        <f ca="1"/>
        <v>2.8130632589901386E-3</v>
      </c>
      <c r="H279" s="51">
        <f ca="1"/>
        <v>0.16562388541607273</v>
      </c>
    </row>
    <row r="280" spans="2:25" x14ac:dyDescent="0.25">
      <c r="B280" s="50" t="s">
        <v>248</v>
      </c>
      <c r="C280" s="51" cm="1">
        <f t="array" aca="1" ref="C280:H280" ca="1">TRANSPOSE(MMULT(_xlfn.ANCHORARRAY(C273),TRANSPOSE(_xlfn.ANCHORARRAY(C279))))</f>
        <v>-1754.6581730773414</v>
      </c>
      <c r="D280" s="51">
        <f ca="1"/>
        <v>-223678.46366064099</v>
      </c>
      <c r="E280" s="51">
        <f ca="1"/>
        <v>378289.67055070173</v>
      </c>
      <c r="F280" s="51">
        <f ca="1"/>
        <v>1.0507161956182089E-2</v>
      </c>
      <c r="G280" s="51">
        <f ca="1"/>
        <v>1.1726618343458901E-3</v>
      </c>
      <c r="H280" s="51">
        <f ca="1"/>
        <v>101.3206613364834</v>
      </c>
    </row>
    <row r="281" spans="2:25" x14ac:dyDescent="0.25">
      <c r="B281" s="50" t="s">
        <v>243</v>
      </c>
      <c r="C281" s="51" cm="1">
        <f t="array" aca="1" ref="C281:I281" ca="1">_xlfn.XLOOKUP(_xlfn.ANCHORARRAY(C250),C266:H266,_xlfn.ANCHORARRAY(C280),0)</f>
        <v>-1754.6581730773414</v>
      </c>
      <c r="D281" s="51">
        <f ca="1"/>
        <v>-223678.46366064099</v>
      </c>
      <c r="E281" s="51">
        <f ca="1"/>
        <v>378289.67055070173</v>
      </c>
      <c r="F281" s="51">
        <f ca="1"/>
        <v>0</v>
      </c>
      <c r="G281" s="51">
        <f ca="1"/>
        <v>1.0507161956182089E-2</v>
      </c>
      <c r="H281" s="51">
        <f ca="1"/>
        <v>1.1726618343458901E-3</v>
      </c>
      <c r="I281" s="51">
        <f ca="1"/>
        <v>101.3206613364834</v>
      </c>
    </row>
    <row r="282" spans="2:25" x14ac:dyDescent="0.25">
      <c r="B282" s="50" t="s">
        <v>226</v>
      </c>
      <c r="C282" s="51" cm="1">
        <f t="array" aca="1" ref="C282:I282" ca="1">IF(_xlfn.ANCHORARRAY(C281)&gt;=OFFSET(C237,0,0,1,$C$1),OFFSET(C237,0,0,1,$C$1)/10,OFFSET(C237,0,0,1,$C$1)-_xlfn.ANCHORARRAY(C281))</f>
        <v>1754.6633305990813</v>
      </c>
      <c r="D282" s="51">
        <f ca="1"/>
        <v>223679.88185985759</v>
      </c>
      <c r="E282" s="51">
        <f ca="1"/>
        <v>0.36150635588977431</v>
      </c>
      <c r="F282" s="51">
        <f ca="1"/>
        <v>2.6915348039269101E-8</v>
      </c>
      <c r="G282" s="51">
        <f ca="1"/>
        <v>0.98949283804381793</v>
      </c>
      <c r="H282" s="51">
        <f ca="1"/>
        <v>2.7594208522562412E-10</v>
      </c>
      <c r="I282" s="51">
        <f ca="1"/>
        <v>5.9538657655140888E-5</v>
      </c>
    </row>
    <row r="283" spans="2:25" x14ac:dyDescent="0.25">
      <c r="B283" s="50" t="s">
        <v>228</v>
      </c>
      <c r="C283" s="51" cm="1">
        <f t="array" aca="1" ref="C283:Y283" ca="1">IF(OFFSET(C282,0,0,1,$C$2)=0,OFFSET(C237,0,0,1,$C$2),OFFSET(C282,0,0,1,$C$2))</f>
        <v>1754.6633305990813</v>
      </c>
      <c r="D283" s="51">
        <f ca="1"/>
        <v>223679.88185985759</v>
      </c>
      <c r="E283" s="51">
        <f ca="1"/>
        <v>0.36150635588977431</v>
      </c>
      <c r="F283" s="51">
        <f ca="1"/>
        <v>2.6915348039269101E-8</v>
      </c>
      <c r="G283" s="51">
        <f ca="1"/>
        <v>0.98949283804381793</v>
      </c>
      <c r="H283" s="51">
        <f ca="1"/>
        <v>2.7594208522562412E-10</v>
      </c>
      <c r="I283" s="51">
        <f ca="1"/>
        <v>5.9538657655140888E-5</v>
      </c>
      <c r="J283" s="51">
        <f ca="1"/>
        <v>8.1721870235427361E-7</v>
      </c>
      <c r="K283" s="51">
        <f ca="1"/>
        <v>2.8655825701941859E-3</v>
      </c>
      <c r="L283" s="51">
        <f ca="1"/>
        <v>4.1695673889057643E-2</v>
      </c>
      <c r="M283" s="51">
        <f ca="1"/>
        <v>0</v>
      </c>
      <c r="N283" s="51">
        <f ca="1"/>
        <v>0</v>
      </c>
      <c r="O283" s="51">
        <f ca="1"/>
        <v>3.615090492720662</v>
      </c>
      <c r="P283" s="51">
        <f ca="1"/>
        <v>0</v>
      </c>
      <c r="Q283" s="51">
        <f ca="1"/>
        <v>3.7411337556145216E-7</v>
      </c>
      <c r="R283" s="51">
        <f ca="1"/>
        <v>0</v>
      </c>
      <c r="S283" s="51">
        <f ca="1"/>
        <v>0</v>
      </c>
      <c r="T283" s="51">
        <f ca="1"/>
        <v>2.6352264556176643E-3</v>
      </c>
      <c r="U283" s="51">
        <f ca="1"/>
        <v>8.8064127957994268E-9</v>
      </c>
      <c r="V283" s="51">
        <f ca="1"/>
        <v>8.3802892560939568E-5</v>
      </c>
      <c r="W283" s="51">
        <f ca="1"/>
        <v>7.748900889645903E-2</v>
      </c>
      <c r="X283" s="51">
        <f ca="1"/>
        <v>9.402839197725926E-5</v>
      </c>
      <c r="Y283" s="51">
        <f ca="1"/>
        <v>8.6944097987396524E-2</v>
      </c>
    </row>
    <row r="284" spans="2:25" x14ac:dyDescent="0.25">
      <c r="B284" s="50" t="s">
        <v>108</v>
      </c>
      <c r="C284" s="51" cm="1">
        <f t="array" aca="1" ref="C284" ca="1">SUM(_xlfn.ANCHORARRAY(C283)*OFFSET($C$10,0,0,1,$C$2)^2)*0.5</f>
        <v>115351.31827481215</v>
      </c>
    </row>
    <row r="285" spans="2:25" x14ac:dyDescent="0.25">
      <c r="B285" s="50" t="s">
        <v>232</v>
      </c>
      <c r="C285" s="51" cm="1">
        <f t="array" aca="1" ref="C285:Y285" ca="1">IF(OFFSET($C$11,0,0,1,$C$2)="Debye",10^(ABS(OFFSET($C$10,0,0,1,$C$2))^2*(-(0.27+0.0008*$C$17)*SQRT(C284))/(1+(3*ABS(OFFSET($C$10,0,0,1,$C$2))*0.33*SQRT(C284)))),1)</f>
        <v>9.7802482379980418E-2</v>
      </c>
      <c r="D285" s="51">
        <f ca="1"/>
        <v>0.31327331992883367</v>
      </c>
      <c r="E285" s="51">
        <f ca="1"/>
        <v>0.31327331992883367</v>
      </c>
      <c r="F285" s="51">
        <f ca="1"/>
        <v>0.31327331992883367</v>
      </c>
      <c r="G285" s="51">
        <f ca="1"/>
        <v>1</v>
      </c>
      <c r="H285" s="51">
        <f ca="1"/>
        <v>1</v>
      </c>
      <c r="I285" s="51">
        <f ca="1"/>
        <v>1</v>
      </c>
      <c r="J285" s="51">
        <f ca="1"/>
        <v>0.31327331992883367</v>
      </c>
      <c r="K285" s="51">
        <f ca="1"/>
        <v>0.31327331992883367</v>
      </c>
      <c r="L285" s="51">
        <f ca="1"/>
        <v>0.31327331992883367</v>
      </c>
      <c r="M285" s="51">
        <f ca="1"/>
        <v>1</v>
      </c>
      <c r="N285" s="51">
        <f ca="1"/>
        <v>1</v>
      </c>
      <c r="O285" s="51">
        <f ca="1"/>
        <v>1</v>
      </c>
      <c r="P285" s="51">
        <f ca="1"/>
        <v>1</v>
      </c>
      <c r="Q285" s="51">
        <f ca="1"/>
        <v>1</v>
      </c>
      <c r="R285" s="51">
        <f ca="1"/>
        <v>1</v>
      </c>
      <c r="S285" s="51">
        <f ca="1"/>
        <v>1</v>
      </c>
      <c r="T285" s="51">
        <f ca="1"/>
        <v>1</v>
      </c>
      <c r="U285" s="51">
        <f ca="1"/>
        <v>1</v>
      </c>
      <c r="V285" s="51">
        <f ca="1"/>
        <v>1</v>
      </c>
      <c r="W285" s="51">
        <f ca="1"/>
        <v>1</v>
      </c>
      <c r="X285" s="51">
        <f ca="1"/>
        <v>1</v>
      </c>
      <c r="Y285" s="51">
        <f ca="1"/>
        <v>1</v>
      </c>
    </row>
    <row r="286" spans="2:25" x14ac:dyDescent="0.25">
      <c r="B286" s="50" t="s">
        <v>228</v>
      </c>
      <c r="C286" s="51" cm="1">
        <f t="array" aca="1" ref="C286:Y286" ca="1">OFFSET($C$53,0,0,1,$C$2)*TRANSPOSE(_xlfn.BYROW(C283:I283^OFFSET($C$29,0,0,$C$2,$C$1),_xlfn.LAMBDA(_xlpm.array, PRODUCT(_xlpm.array))))</f>
        <v>1754.6633305990813</v>
      </c>
      <c r="D286" s="51">
        <f ca="1"/>
        <v>223679.88185985759</v>
      </c>
      <c r="E286" s="51">
        <f ca="1"/>
        <v>0.36150635588977431</v>
      </c>
      <c r="F286" s="51">
        <f ca="1"/>
        <v>2.6915348039269101E-8</v>
      </c>
      <c r="G286" s="51">
        <f ca="1"/>
        <v>1</v>
      </c>
      <c r="H286" s="51">
        <f ca="1"/>
        <v>2.7594208522562412E-10</v>
      </c>
      <c r="I286" s="51">
        <f ca="1"/>
        <v>5.9538657655140888E-5</v>
      </c>
      <c r="J286" s="51">
        <f ca="1"/>
        <v>8.1721870235427361E-7</v>
      </c>
      <c r="K286" s="51">
        <f ca="1"/>
        <v>974.91254721359746</v>
      </c>
      <c r="L286" s="51">
        <f ca="1"/>
        <v>1418.5470019875943</v>
      </c>
      <c r="M286" s="51">
        <f ca="1"/>
        <v>1717.9839826381858</v>
      </c>
      <c r="N286" s="51">
        <f ca="1"/>
        <v>221329.64111481639</v>
      </c>
      <c r="O286" s="51">
        <f ca="1"/>
        <v>0.35770795006025125</v>
      </c>
      <c r="P286" s="51">
        <f ca="1"/>
        <v>2.6632544118313494E-8</v>
      </c>
      <c r="Q286" s="51">
        <f ca="1"/>
        <v>3.7017974773155555E-7</v>
      </c>
      <c r="R286" s="51">
        <f ca="1"/>
        <v>1948.0785091138516</v>
      </c>
      <c r="S286" s="51">
        <f ca="1"/>
        <v>1576.6031598020322</v>
      </c>
      <c r="T286" s="51">
        <f ca="1"/>
        <v>2.635226455617664E-4</v>
      </c>
      <c r="U286" s="51">
        <f ca="1"/>
        <v>8.8064127957994268E-10</v>
      </c>
      <c r="V286" s="51">
        <f ca="1"/>
        <v>2.8510953514390134</v>
      </c>
      <c r="W286" s="51">
        <f ca="1"/>
        <v>2636.2879168121372</v>
      </c>
      <c r="X286" s="51">
        <f ca="1"/>
        <v>3.1989815992891271</v>
      </c>
      <c r="Y286" s="51">
        <f ca="1"/>
        <v>2957.9636935165131</v>
      </c>
    </row>
    <row r="287" spans="2:25" x14ac:dyDescent="0.25">
      <c r="B287" s="50" t="s">
        <v>108</v>
      </c>
      <c r="C287" s="51" cm="1">
        <f t="array" aca="1" ref="C287" ca="1">SUM(_xlfn.ANCHORARRAY(C286)*OFFSET($C$10,0,0,1,$C$2)^2)*0.5</f>
        <v>233729.05596848711</v>
      </c>
    </row>
    <row r="288" spans="2:25" x14ac:dyDescent="0.25">
      <c r="B288" s="50" t="s">
        <v>233</v>
      </c>
      <c r="C288" s="51" cm="1">
        <f t="array" aca="1" ref="C288" ca="1">IFERROR(SUM(_xlfn._xlws.FILTER(_xlfn.ANCHORARRAY(C286)*OFFSET($C$10,0,0,1,$C$2),OFFSET($C$11,0,0,1,$C$2)="WHAMHA")),0)</f>
        <v>0</v>
      </c>
      <c r="D288" s="51" cm="1">
        <f t="array" aca="1" ref="D288" ca="1">IFERROR(SUM(_xlfn._xlws.FILTER(_xlfn.ANCHORARRAY(C286)*OFFSET($C$10,0,0,1,$C$2),OFFSET($C$11,0,0,1,$C$2)="WHAMFA")),0)</f>
        <v>2639.1387486400499</v>
      </c>
    </row>
    <row r="289" spans="2:25" x14ac:dyDescent="0.25">
      <c r="B289" s="50" t="s">
        <v>234</v>
      </c>
      <c r="C289" s="51" cm="1">
        <f t="array" aca="1" ref="C289:Y289" ca="1">OFFSET($C$53,0,0,1,$C$2)*IF(OFFSET($C$11,0,0,1,$C$2)="WHAMFA",EXP(2*$D$26*LOG10(C287)*D288*ABS(OFFSET($C$10,0,0,1,$C$2))),IF(OFFSET($C$11,0,0,1,$C$2)="WHAMHA",EXP(2*$D$26*LOG10(C287)*C288*ABS(OFFSET($C$10,0,0,1,$C$2))),1))</f>
        <v>1</v>
      </c>
      <c r="D289" s="51">
        <f ca="1"/>
        <v>1</v>
      </c>
      <c r="E289" s="51">
        <f ca="1"/>
        <v>1</v>
      </c>
      <c r="F289" s="51">
        <f ca="1"/>
        <v>1</v>
      </c>
      <c r="G289" s="51">
        <f ca="1"/>
        <v>1</v>
      </c>
      <c r="H289" s="51">
        <f ca="1"/>
        <v>1</v>
      </c>
      <c r="I289" s="51">
        <f ca="1"/>
        <v>1</v>
      </c>
      <c r="J289" s="51">
        <f ca="1"/>
        <v>2.1995725798065139E-14</v>
      </c>
      <c r="K289" s="51">
        <f ca="1"/>
        <v>1.4954498711240171E-8</v>
      </c>
      <c r="L289" s="51">
        <f ca="1"/>
        <v>2.2363202312453416</v>
      </c>
      <c r="M289" s="51">
        <f ca="1"/>
        <v>1</v>
      </c>
      <c r="N289" s="51">
        <f ca="1"/>
        <v>1</v>
      </c>
      <c r="O289" s="51">
        <f ca="1"/>
        <v>1</v>
      </c>
      <c r="P289" s="51">
        <f ca="1"/>
        <v>1</v>
      </c>
      <c r="Q289" s="51">
        <f ca="1"/>
        <v>1.0069316688518E-14</v>
      </c>
      <c r="R289" s="51">
        <f ca="1"/>
        <v>3.0199517204020201E-8</v>
      </c>
      <c r="S289" s="51">
        <f ca="1"/>
        <v>2.5118864315095801</v>
      </c>
      <c r="T289" s="51">
        <f ca="1"/>
        <v>0</v>
      </c>
      <c r="U289" s="51">
        <f ca="1"/>
        <v>0</v>
      </c>
      <c r="V289" s="51">
        <f ca="1"/>
        <v>0</v>
      </c>
      <c r="W289" s="51">
        <f ca="1"/>
        <v>0</v>
      </c>
      <c r="X289" s="51">
        <f ca="1"/>
        <v>4.7863009232263802E-9</v>
      </c>
      <c r="Y289" s="51">
        <f ca="1"/>
        <v>2.0511621788255701E-11</v>
      </c>
    </row>
    <row r="290" spans="2:25" x14ac:dyDescent="0.25">
      <c r="B290" s="50" t="s">
        <v>236</v>
      </c>
      <c r="C290" s="51" cm="1">
        <f t="array" aca="1" ref="C290:D290" ca="1">((1000*((6.022E+23)/$C$24:$D$24)*(4*PI()/3)*((($C$25:$D$25+(0.000000000304 / SQRT(C287)))^3)-(($C$25:$D$25)^3)))*$C$20*ABS(C288:D288))/(1+$C$20*ABS(C288:D288))*$C$23:$D$23*$C$24:$D$24</f>
        <v>0</v>
      </c>
      <c r="D290" s="51">
        <f ca="1"/>
        <v>3.2436398627028035E-10</v>
      </c>
    </row>
    <row r="291" spans="2:25" x14ac:dyDescent="0.25">
      <c r="B291" s="50" t="s">
        <v>237</v>
      </c>
      <c r="C291" s="51" cm="1">
        <f t="array" aca="1" ref="C291:D291" ca="1">$C$19/($C$19+SUM(_xlfn.ANCHORARRAY(C290)))*_xlfn.ANCHORARRAY(C290)</f>
        <v>0</v>
      </c>
      <c r="D291" s="51">
        <f ca="1"/>
        <v>3.2436398584943236E-10</v>
      </c>
    </row>
    <row r="292" spans="2:25" x14ac:dyDescent="0.25">
      <c r="B292" s="50" t="s">
        <v>235</v>
      </c>
      <c r="C292" s="51" cm="1">
        <f t="array" aca="1" ref="C292:Y292" ca="1">IF(OFFSET($C$11,0,0,1,$C$2)="DonnanHA",C291,IF(OFFSET($C$11,0,0,1,$C$2)="DonnanFA",D291,IF(OR(OFFSET($C$11,0,0,1,$C$2)="WHAMHA",OFFSET($C$11,0,0,1,$C$2)="WHAMFA"),OFFSET($C$14,0,0,1,$C$2),OFFSET($C$14,0,0,1,$C$2)-SUM(_xlfn.ANCHORARRAY(C291)))))</f>
        <v>1</v>
      </c>
      <c r="D292" s="51">
        <f ca="1"/>
        <v>1</v>
      </c>
      <c r="E292" s="51">
        <f ca="1"/>
        <v>1</v>
      </c>
      <c r="F292" s="51">
        <f ca="1"/>
        <v>1</v>
      </c>
      <c r="G292" s="51">
        <f ca="1"/>
        <v>3.2436398584943236E-10</v>
      </c>
      <c r="H292" s="51">
        <f ca="1"/>
        <v>1</v>
      </c>
      <c r="I292" s="51">
        <f ca="1"/>
        <v>1</v>
      </c>
      <c r="J292" s="51">
        <f ca="1"/>
        <v>1</v>
      </c>
      <c r="K292" s="51">
        <f ca="1"/>
        <v>1</v>
      </c>
      <c r="L292" s="51">
        <f ca="1"/>
        <v>1</v>
      </c>
      <c r="M292" s="51">
        <f ca="1"/>
        <v>3.2436398584943236E-10</v>
      </c>
      <c r="N292" s="51">
        <f ca="1"/>
        <v>3.2436398584943236E-10</v>
      </c>
      <c r="O292" s="51">
        <f ca="1"/>
        <v>3.2436398584943236E-10</v>
      </c>
      <c r="P292" s="51">
        <f ca="1"/>
        <v>3.2436398584943236E-10</v>
      </c>
      <c r="Q292" s="51">
        <f ca="1"/>
        <v>3.2436398584943236E-10</v>
      </c>
      <c r="R292" s="51">
        <f ca="1"/>
        <v>3.2436398584943236E-10</v>
      </c>
      <c r="S292" s="51">
        <f ca="1"/>
        <v>3.2436398584943236E-10</v>
      </c>
      <c r="T292" s="51">
        <f ca="1"/>
        <v>1</v>
      </c>
      <c r="U292" s="51">
        <f ca="1"/>
        <v>1</v>
      </c>
      <c r="V292" s="51">
        <f ca="1"/>
        <v>1</v>
      </c>
      <c r="W292" s="51">
        <f ca="1"/>
        <v>1</v>
      </c>
      <c r="X292" s="51">
        <f ca="1"/>
        <v>1</v>
      </c>
      <c r="Y292" s="51">
        <f ca="1"/>
        <v>1</v>
      </c>
    </row>
    <row r="293" spans="2:25" x14ac:dyDescent="0.25">
      <c r="B293" s="50" t="s">
        <v>228</v>
      </c>
      <c r="C293" s="51" cm="1">
        <f t="array" aca="1" ref="C293:Y293" ca="1">IF((OFFSET($C$11,0,0,1,$C$2)="DonnanFA")*(SIGN(_xlfn.SEQUENCE(1,$C$2,D288,0))=SIGN(OFFSET($C$10,0,0,1,$C$2))),0,OFFSET(C286,0,0,1,$C$2))</f>
        <v>1754.6633305990813</v>
      </c>
      <c r="D293" s="51">
        <f ca="1"/>
        <v>223679.88185985759</v>
      </c>
      <c r="E293" s="51">
        <f ca="1"/>
        <v>0.36150635588977431</v>
      </c>
      <c r="F293" s="51">
        <f ca="1"/>
        <v>2.6915348039269101E-8</v>
      </c>
      <c r="G293" s="51">
        <f ca="1"/>
        <v>1</v>
      </c>
      <c r="H293" s="51">
        <f ca="1"/>
        <v>2.7594208522562412E-10</v>
      </c>
      <c r="I293" s="51">
        <f ca="1"/>
        <v>5.9538657655140888E-5</v>
      </c>
      <c r="J293" s="51">
        <f ca="1"/>
        <v>8.1721870235427361E-7</v>
      </c>
      <c r="K293" s="51">
        <f ca="1"/>
        <v>974.91254721359746</v>
      </c>
      <c r="L293" s="51">
        <f ca="1"/>
        <v>1418.5470019875943</v>
      </c>
      <c r="M293" s="51">
        <f ca="1"/>
        <v>0</v>
      </c>
      <c r="N293" s="51">
        <f ca="1"/>
        <v>0</v>
      </c>
      <c r="O293" s="51">
        <f ca="1"/>
        <v>0.35770795006025125</v>
      </c>
      <c r="P293" s="51">
        <f ca="1"/>
        <v>0</v>
      </c>
      <c r="Q293" s="51">
        <f ca="1"/>
        <v>3.7017974773155555E-7</v>
      </c>
      <c r="R293" s="51">
        <f ca="1"/>
        <v>0</v>
      </c>
      <c r="S293" s="51">
        <f ca="1"/>
        <v>0</v>
      </c>
      <c r="T293" s="51">
        <f ca="1"/>
        <v>2.635226455617664E-4</v>
      </c>
      <c r="U293" s="51">
        <f ca="1"/>
        <v>8.8064127957994268E-10</v>
      </c>
      <c r="V293" s="51">
        <f ca="1"/>
        <v>2.8510953514390134</v>
      </c>
      <c r="W293" s="51">
        <f ca="1"/>
        <v>2636.2879168121372</v>
      </c>
      <c r="X293" s="51">
        <f ca="1"/>
        <v>3.1989815992891271</v>
      </c>
      <c r="Y293" s="51">
        <f ca="1"/>
        <v>2957.9636935165131</v>
      </c>
    </row>
    <row r="294" spans="2:25" x14ac:dyDescent="0.25">
      <c r="B294" s="50" t="s">
        <v>238</v>
      </c>
      <c r="C294" s="51" cm="1">
        <f t="array" aca="1" ref="C294:Y294" ca="1">_xlfn.ANCHORARRAY(C293)*_xlfn.ANCHORARRAY(C292)</f>
        <v>1754.6633305990813</v>
      </c>
      <c r="D294" s="51">
        <f ca="1"/>
        <v>223679.88185985759</v>
      </c>
      <c r="E294" s="51">
        <f ca="1"/>
        <v>0.36150635588977431</v>
      </c>
      <c r="F294" s="51">
        <f ca="1"/>
        <v>2.6915348039269101E-8</v>
      </c>
      <c r="G294" s="51">
        <f ca="1"/>
        <v>3.2436398584943236E-10</v>
      </c>
      <c r="H294" s="51">
        <f ca="1"/>
        <v>2.7594208522562412E-10</v>
      </c>
      <c r="I294" s="51">
        <f ca="1"/>
        <v>5.9538657655140888E-5</v>
      </c>
      <c r="J294" s="51">
        <f ca="1"/>
        <v>8.1721870235427361E-7</v>
      </c>
      <c r="K294" s="51">
        <f ca="1"/>
        <v>974.91254721359746</v>
      </c>
      <c r="L294" s="51">
        <f ca="1"/>
        <v>1418.5470019875943</v>
      </c>
      <c r="M294" s="51">
        <f ca="1"/>
        <v>0</v>
      </c>
      <c r="N294" s="51">
        <f ca="1"/>
        <v>0</v>
      </c>
      <c r="O294" s="51">
        <f ca="1"/>
        <v>1.1602757645157279E-10</v>
      </c>
      <c r="P294" s="51">
        <f ca="1"/>
        <v>0</v>
      </c>
      <c r="Q294" s="51">
        <f ca="1"/>
        <v>1.2007297845494472E-16</v>
      </c>
      <c r="R294" s="51">
        <f ca="1"/>
        <v>0</v>
      </c>
      <c r="S294" s="51">
        <f ca="1"/>
        <v>0</v>
      </c>
      <c r="T294" s="51">
        <f ca="1"/>
        <v>2.635226455617664E-4</v>
      </c>
      <c r="U294" s="51">
        <f ca="1"/>
        <v>8.8064127957994268E-10</v>
      </c>
      <c r="V294" s="51">
        <f ca="1"/>
        <v>2.8510953514390134</v>
      </c>
      <c r="W294" s="51">
        <f ca="1"/>
        <v>2636.2879168121372</v>
      </c>
      <c r="X294" s="51">
        <f ca="1"/>
        <v>3.1989815992891271</v>
      </c>
      <c r="Y294" s="51">
        <f ca="1"/>
        <v>2957.9636935165131</v>
      </c>
    </row>
    <row r="295" spans="2:25" x14ac:dyDescent="0.25">
      <c r="B295" s="50" t="s">
        <v>105</v>
      </c>
      <c r="C295" s="51" cm="1">
        <f t="array" aca="1" ref="C295:I295" ca="1">IF(OFFSET($C$5,0,0,1,$C$1)="DonnanFA",-D288,OFFSET(C281,0,0,1,$C$1))</f>
        <v>-1754.6581730773414</v>
      </c>
      <c r="D295" s="51">
        <f ca="1"/>
        <v>-223678.46366064099</v>
      </c>
      <c r="E295" s="51">
        <f ca="1"/>
        <v>378289.67055070173</v>
      </c>
      <c r="F295" s="51">
        <f ca="1"/>
        <v>0</v>
      </c>
      <c r="G295" s="51">
        <f ca="1"/>
        <v>-2639.1387486400499</v>
      </c>
      <c r="H295" s="51">
        <f ca="1"/>
        <v>1.1726618343458901E-3</v>
      </c>
      <c r="I295" s="51">
        <f ca="1"/>
        <v>101.3206613364834</v>
      </c>
    </row>
    <row r="296" spans="2:25" x14ac:dyDescent="0.25">
      <c r="B296" s="50" t="s">
        <v>222</v>
      </c>
      <c r="C296" s="51" cm="1">
        <f t="array" aca="1" ref="C296:I296" ca="1">OFFSET(C292,0,0,1,$C$1)*_xlfn.ANCHORARRAY(C295)</f>
        <v>-1754.6581730773414</v>
      </c>
      <c r="D296" s="51">
        <f ca="1"/>
        <v>-223678.46366064099</v>
      </c>
      <c r="E296" s="51">
        <f ca="1"/>
        <v>378289.67055070173</v>
      </c>
      <c r="F296" s="51">
        <f ca="1"/>
        <v>0</v>
      </c>
      <c r="G296" s="51">
        <f ca="1"/>
        <v>-8.5604156371856975E-7</v>
      </c>
      <c r="H296" s="51">
        <f ca="1"/>
        <v>1.1726618343458901E-3</v>
      </c>
      <c r="I296" s="51">
        <f ca="1"/>
        <v>101.3206613364834</v>
      </c>
    </row>
    <row r="297" spans="2:25" x14ac:dyDescent="0.25">
      <c r="B297" s="50" t="s">
        <v>222</v>
      </c>
      <c r="C297" s="51" cm="1">
        <f t="array" aca="1" ref="C297:I297" ca="1">IF(OFFSET($C$6,0,0,1,$C$1)="FixedAct",MMULT((_xlfn.ANCHORARRAY(C293)*_xlfn.ANCHORARRAY(C292)),OFFSET($C$29,0,0,$C$2,$C$1)),_xlfn.ANCHORARRAY(C296))</f>
        <v>-1754.6581730773414</v>
      </c>
      <c r="D297" s="51">
        <f ca="1"/>
        <v>-223678.46366064099</v>
      </c>
      <c r="E297" s="51">
        <f ca="1"/>
        <v>378289.67055070173</v>
      </c>
      <c r="F297" s="51">
        <f ca="1"/>
        <v>-9536.3771739226067</v>
      </c>
      <c r="G297" s="51">
        <f ca="1"/>
        <v>-8.5604156371856975E-7</v>
      </c>
      <c r="H297" s="51">
        <f ca="1"/>
        <v>1.1726618343458901E-3</v>
      </c>
      <c r="I297" s="51">
        <f ca="1"/>
        <v>101.3206613364834</v>
      </c>
    </row>
    <row r="298" spans="2:25" x14ac:dyDescent="0.25">
      <c r="B298" s="50" t="s">
        <v>105</v>
      </c>
      <c r="C298" s="51" cm="1">
        <f t="array" aca="1" ref="C298:I298" ca="1">_xlfn.ANCHORARRAY(C297)*OFFSET(C292,0,0,1,$C$1)</f>
        <v>-1754.6581730773414</v>
      </c>
      <c r="D298" s="51">
        <f ca="1"/>
        <v>-223678.46366064099</v>
      </c>
      <c r="E298" s="51">
        <f ca="1"/>
        <v>378289.67055070173</v>
      </c>
      <c r="F298" s="51">
        <f ca="1"/>
        <v>-9536.3771739226067</v>
      </c>
      <c r="G298" s="51">
        <f ca="1"/>
        <v>-2.7766905366053613E-16</v>
      </c>
      <c r="H298" s="51">
        <f ca="1"/>
        <v>1.1726618343458901E-3</v>
      </c>
      <c r="I298" s="51">
        <f ca="1"/>
        <v>101.3206613364834</v>
      </c>
    </row>
    <row r="299" spans="2:25" x14ac:dyDescent="0.25">
      <c r="B299" s="50" t="s">
        <v>239</v>
      </c>
      <c r="C299" s="51" cm="1">
        <f t="array" aca="1" ref="C299:I299" ca="1">MMULT((_xlfn.ANCHORARRAY(C293)*_xlfn.ANCHORARRAY(C292)),OFFSET($C$29,0,0,$C$2,$C$1))</f>
        <v>9748.4245670796518</v>
      </c>
      <c r="D299" s="51">
        <f ca="1"/>
        <v>223679.88185985759</v>
      </c>
      <c r="E299" s="51">
        <f ca="1"/>
        <v>1418.9085083436</v>
      </c>
      <c r="F299" s="51">
        <f ca="1"/>
        <v>-9536.3771739226067</v>
      </c>
      <c r="G299" s="51">
        <f ca="1"/>
        <v>1.1602769652455125E-10</v>
      </c>
      <c r="H299" s="51">
        <f ca="1"/>
        <v>6.0503404736496442</v>
      </c>
      <c r="I299" s="51">
        <f ca="1"/>
        <v>5594.2516698681884</v>
      </c>
    </row>
    <row r="300" spans="2:25" x14ac:dyDescent="0.25">
      <c r="B300" s="50" t="s">
        <v>103</v>
      </c>
      <c r="C300" s="51" cm="1">
        <f t="array" aca="1" ref="C300:I300" ca="1">_xlfn.ANCHORARRAY(C299)/OFFSET(C292,0,0,1,$C$1)</f>
        <v>9748.4245670796518</v>
      </c>
      <c r="D300" s="51">
        <f ca="1"/>
        <v>223679.88185985759</v>
      </c>
      <c r="E300" s="51">
        <f ca="1"/>
        <v>1418.9085083436</v>
      </c>
      <c r="F300" s="51">
        <f ca="1"/>
        <v>-9536.3771739226067</v>
      </c>
      <c r="G300" s="51">
        <f ca="1"/>
        <v>0.35770832023999899</v>
      </c>
      <c r="H300" s="51">
        <f ca="1"/>
        <v>6.0503404736496442</v>
      </c>
      <c r="I300" s="51">
        <f ca="1"/>
        <v>5594.2516698681884</v>
      </c>
    </row>
    <row r="301" spans="2:25" x14ac:dyDescent="0.25">
      <c r="B301" s="50" t="s">
        <v>104</v>
      </c>
      <c r="C301" s="51" cm="1">
        <f t="array" aca="1" ref="C301:I301" ca="1">IF(OFFSET($C$6,0,0,1,$C$1)="FixedAct",0,_xlfn.ANCHORARRAY(C299)-_xlfn.ANCHORARRAY(C297))</f>
        <v>11503.082740156993</v>
      </c>
      <c r="D301" s="51">
        <f ca="1"/>
        <v>447358.34552049858</v>
      </c>
      <c r="E301" s="51">
        <f ca="1"/>
        <v>-376870.76204235811</v>
      </c>
      <c r="F301" s="51">
        <f ca="1"/>
        <v>0</v>
      </c>
      <c r="G301" s="51">
        <f ca="1"/>
        <v>8.5615759141509427E-7</v>
      </c>
      <c r="H301" s="51">
        <f ca="1"/>
        <v>6.0491678118152983</v>
      </c>
      <c r="I301" s="51">
        <f ca="1"/>
        <v>5492.9310085317047</v>
      </c>
    </row>
    <row r="302" spans="2:25" x14ac:dyDescent="0.25">
      <c r="B302" s="50" t="s">
        <v>240</v>
      </c>
      <c r="C302" s="51" cm="1">
        <f t="array" aca="1" ref="C302:I302" ca="1">ABS(_xlfn.ANCHORARRAY(C301)/_xlfn.ANCHORARRAY(C297))</f>
        <v>6.555739982097335</v>
      </c>
      <c r="D302" s="51">
        <f ca="1"/>
        <v>2.0000063403476283</v>
      </c>
      <c r="E302" s="51">
        <f ca="1"/>
        <v>0.99624914815602017</v>
      </c>
      <c r="F302" s="51">
        <f ca="1"/>
        <v>0</v>
      </c>
      <c r="G302" s="51">
        <f ca="1"/>
        <v>1.0001355397932088</v>
      </c>
      <c r="H302" s="51">
        <f ca="1"/>
        <v>5158.4929556350062</v>
      </c>
      <c r="I302" s="51">
        <f ca="1"/>
        <v>54.213335523835731</v>
      </c>
    </row>
    <row r="303" spans="2:25" x14ac:dyDescent="0.25">
      <c r="B303" s="50" t="s">
        <v>58</v>
      </c>
      <c r="C303" s="51">
        <f ca="1">MAX(_xlfn.ANCHORARRAY(C302))</f>
        <v>5158.4929556350062</v>
      </c>
    </row>
    <row r="305" spans="2:9" x14ac:dyDescent="0.25">
      <c r="B305" s="50" t="s">
        <v>252</v>
      </c>
    </row>
    <row r="306" spans="2:9" x14ac:dyDescent="0.25">
      <c r="B306" s="50" t="s">
        <v>242</v>
      </c>
      <c r="C306" s="51" cm="1">
        <f t="array" ref="C306:I306">_xlfn.SEQUENCE(1,$C$1,0,1)</f>
        <v>0</v>
      </c>
      <c r="D306" s="51">
        <v>1</v>
      </c>
      <c r="E306" s="51">
        <v>2</v>
      </c>
      <c r="F306" s="51">
        <v>3</v>
      </c>
      <c r="G306" s="51">
        <v>4</v>
      </c>
      <c r="H306" s="51">
        <v>5</v>
      </c>
      <c r="I306" s="51">
        <v>6</v>
      </c>
    </row>
    <row r="307" spans="2:9" x14ac:dyDescent="0.25">
      <c r="B307" s="51" cm="1">
        <f t="array" ref="B307:B313">_xlfn.SEQUENCE($C$1,1,0,1)</f>
        <v>0</v>
      </c>
      <c r="C307" s="51" cm="1">
        <f t="array" aca="1" ref="C307:I313" ca="1">MMULT(TRANSPOSE(_xlfn.MAKEARRAY($C$2,$C$1,_xlfn.LAMBDA(_xlpm.row,_xlpm.col,OFFSET(C294,0,_xlpm.col-1)))*OFFSET($C$29,0,0,$C$2,$C$1)),OFFSET($C$29,0,0,$C$2,$C$1)*_xlfn.MAKEARRAY($C$2,$C$1,_xlfn.LAMBDA(_xlpm.row,_xlpm.col,1/OFFSET(C294,0,_xlpm.col-1))))</f>
        <v>10</v>
      </c>
      <c r="D307" s="51">
        <f ca="1"/>
        <v>0</v>
      </c>
      <c r="E307" s="51">
        <f ca="1"/>
        <v>9707.5102664811238</v>
      </c>
      <c r="F307" s="51">
        <f ca="1"/>
        <v>-521535394018.03101</v>
      </c>
      <c r="G307" s="51">
        <f ca="1"/>
        <v>21638201614819.035</v>
      </c>
      <c r="H307" s="51">
        <f ca="1"/>
        <v>12717620287346.748</v>
      </c>
      <c r="I307" s="51">
        <f ca="1"/>
        <v>58941984.912136301</v>
      </c>
    </row>
    <row r="308" spans="2:9" x14ac:dyDescent="0.25">
      <c r="B308" s="50">
        <v>1</v>
      </c>
      <c r="C308" s="51">
        <f ca="1"/>
        <v>0</v>
      </c>
      <c r="D308" s="51">
        <f ca="1"/>
        <v>1.9999999999999998</v>
      </c>
      <c r="E308" s="51">
        <f ca="1"/>
        <v>0</v>
      </c>
      <c r="F308" s="51">
        <f ca="1"/>
        <v>0</v>
      </c>
      <c r="G308" s="51">
        <f ca="1"/>
        <v>689595305329884.38</v>
      </c>
      <c r="H308" s="51">
        <f ca="1"/>
        <v>0</v>
      </c>
      <c r="I308" s="51">
        <f ca="1"/>
        <v>0</v>
      </c>
    </row>
    <row r="309" spans="2:9" x14ac:dyDescent="0.25">
      <c r="B309" s="50">
        <v>2</v>
      </c>
      <c r="C309" s="51">
        <f ca="1"/>
        <v>4.1205210091938032E-4</v>
      </c>
      <c r="D309" s="51">
        <f ca="1"/>
        <v>0</v>
      </c>
      <c r="E309" s="51">
        <f ca="1"/>
        <v>4</v>
      </c>
      <c r="F309" s="51">
        <f ca="1"/>
        <v>0</v>
      </c>
      <c r="G309" s="51">
        <f ca="1"/>
        <v>2229016608.8758278</v>
      </c>
      <c r="H309" s="51">
        <f ca="1"/>
        <v>0</v>
      </c>
      <c r="I309" s="51">
        <f ca="1"/>
        <v>0</v>
      </c>
    </row>
    <row r="310" spans="2:9" x14ac:dyDescent="0.25">
      <c r="B310" s="50">
        <v>3</v>
      </c>
      <c r="C310" s="51">
        <f ca="1"/>
        <v>-1.2271458607426234E-10</v>
      </c>
      <c r="D310" s="51">
        <f ca="1"/>
        <v>0</v>
      </c>
      <c r="E310" s="51">
        <f ca="1"/>
        <v>0</v>
      </c>
      <c r="F310" s="51">
        <f ca="1"/>
        <v>17.999999999999996</v>
      </c>
      <c r="G310" s="51">
        <f ca="1"/>
        <v>-82.97884232981103</v>
      </c>
      <c r="H310" s="51">
        <f ca="1"/>
        <v>-390.15937735284939</v>
      </c>
      <c r="I310" s="51">
        <f ca="1"/>
        <v>-1.8082603202220556E-3</v>
      </c>
    </row>
    <row r="311" spans="2:9" x14ac:dyDescent="0.25">
      <c r="B311" s="50">
        <v>4</v>
      </c>
      <c r="C311" s="51">
        <f ca="1"/>
        <v>7.394329845342748E-13</v>
      </c>
      <c r="D311" s="51">
        <f ca="1"/>
        <v>1.4501258814713452E-15</v>
      </c>
      <c r="E311" s="51">
        <f ca="1"/>
        <v>1.7945133221853125E-9</v>
      </c>
      <c r="F311" s="51">
        <f ca="1"/>
        <v>-1.2051264779344113E-2</v>
      </c>
      <c r="G311" s="51">
        <f ca="1"/>
        <v>10</v>
      </c>
      <c r="H311" s="51">
        <f ca="1"/>
        <v>0</v>
      </c>
      <c r="I311" s="51">
        <f ca="1"/>
        <v>0</v>
      </c>
    </row>
    <row r="312" spans="2:9" x14ac:dyDescent="0.25">
      <c r="B312" s="50">
        <v>5</v>
      </c>
      <c r="C312" s="51">
        <f ca="1"/>
        <v>3.1452425136326447E-13</v>
      </c>
      <c r="D312" s="51">
        <f ca="1"/>
        <v>0</v>
      </c>
      <c r="E312" s="51">
        <f ca="1"/>
        <v>0</v>
      </c>
      <c r="F312" s="51">
        <f ca="1"/>
        <v>-4.1008882340741591E-2</v>
      </c>
      <c r="G312" s="51">
        <f ca="1"/>
        <v>0</v>
      </c>
      <c r="H312" s="51">
        <f ca="1"/>
        <v>4</v>
      </c>
      <c r="I312" s="51">
        <f ca="1"/>
        <v>0</v>
      </c>
    </row>
    <row r="313" spans="2:9" x14ac:dyDescent="0.25">
      <c r="B313" s="50">
        <v>6</v>
      </c>
      <c r="C313" s="51">
        <f ca="1"/>
        <v>6.7863340638472292E-8</v>
      </c>
      <c r="D313" s="51">
        <f ca="1"/>
        <v>0</v>
      </c>
      <c r="E313" s="51">
        <f ca="1"/>
        <v>0</v>
      </c>
      <c r="F313" s="51">
        <f ca="1"/>
        <v>-8848.2835248163756</v>
      </c>
      <c r="G313" s="51">
        <f ca="1"/>
        <v>0</v>
      </c>
      <c r="H313" s="51">
        <f ca="1"/>
        <v>0</v>
      </c>
      <c r="I313" s="51">
        <f ca="1"/>
        <v>4</v>
      </c>
    </row>
    <row r="314" spans="2:9" x14ac:dyDescent="0.25">
      <c r="B314" s="50" t="s">
        <v>244</v>
      </c>
      <c r="C314" s="51" cm="1">
        <f t="array" aca="1" ref="C314:I320" ca="1">MINVERSE(_xlfn.ANCHORARRAY(C307))</f>
        <v>0.21761658031088085</v>
      </c>
      <c r="D314" s="51">
        <f ca="1"/>
        <v>2.6419398346623957E-4</v>
      </c>
      <c r="E314" s="51">
        <f ca="1"/>
        <v>-364.6603597512339</v>
      </c>
      <c r="F314" s="51">
        <f ca="1"/>
        <v>5235620859.6369743</v>
      </c>
      <c r="G314" s="51">
        <f ca="1"/>
        <v>-364373861389.43964</v>
      </c>
      <c r="H314" s="51">
        <f ca="1"/>
        <v>-181209615493.28262</v>
      </c>
      <c r="I314" s="51">
        <f ca="1"/>
        <v>-839846.93527656014</v>
      </c>
    </row>
    <row r="315" spans="2:9" x14ac:dyDescent="0.25">
      <c r="C315" s="51">
        <f ca="1"/>
        <v>4.2932795930257193</v>
      </c>
      <c r="D315" s="51">
        <f ca="1"/>
        <v>0.53497409326424883</v>
      </c>
      <c r="E315" s="51">
        <f ca="1"/>
        <v>11220.745772430675</v>
      </c>
      <c r="F315" s="51">
        <f ca="1"/>
        <v>53824453465.823875</v>
      </c>
      <c r="G315" s="51">
        <f ca="1"/>
        <v>-48235941046390.875</v>
      </c>
      <c r="H315" s="51">
        <f ca="1"/>
        <v>-8400046100233.168</v>
      </c>
      <c r="I315" s="51">
        <f ca="1"/>
        <v>-38931449.383955292</v>
      </c>
    </row>
    <row r="316" spans="2:9" x14ac:dyDescent="0.25">
      <c r="B316" s="51"/>
      <c r="C316" s="51">
        <f ca="1"/>
        <v>-1.547864109671247E-5</v>
      </c>
      <c r="D316" s="51">
        <f ca="1"/>
        <v>2.9308915444718E-8</v>
      </c>
      <c r="E316" s="51">
        <f ca="1"/>
        <v>0.30569948186528495</v>
      </c>
      <c r="F316" s="51">
        <f ca="1"/>
        <v>-452347.28181934904</v>
      </c>
      <c r="G316" s="51">
        <f ca="1"/>
        <v>-40422580.989976153</v>
      </c>
      <c r="H316" s="51">
        <f ca="1"/>
        <v>5090986.5525545878</v>
      </c>
      <c r="I316" s="51">
        <f ca="1"/>
        <v>23.595047327140843</v>
      </c>
    </row>
    <row r="317" spans="2:9" x14ac:dyDescent="0.25">
      <c r="C317" s="51">
        <f ca="1"/>
        <v>1.2319145622740066E-12</v>
      </c>
      <c r="D317" s="51">
        <f ca="1"/>
        <v>7.7933786837428108E-16</v>
      </c>
      <c r="E317" s="51">
        <f ca="1"/>
        <v>-2.5074951998247217E-9</v>
      </c>
      <c r="F317" s="51">
        <f ca="1"/>
        <v>0.1308290155440415</v>
      </c>
      <c r="G317" s="51">
        <f ca="1"/>
        <v>-1.0748554705934068</v>
      </c>
      <c r="H317" s="51">
        <f ca="1"/>
        <v>8.8442864037239186</v>
      </c>
      <c r="I317" s="51">
        <f ca="1"/>
        <v>4.0990356999852259E-5</v>
      </c>
    </row>
    <row r="318" spans="2:9" x14ac:dyDescent="0.25">
      <c r="C318" s="51">
        <f ca="1"/>
        <v>-1.2451591708478717E-14</v>
      </c>
      <c r="D318" s="51">
        <f ca="1"/>
        <v>-1.0143367564695938E-16</v>
      </c>
      <c r="E318" s="51">
        <f ca="1"/>
        <v>-3.2542987708023801E-11</v>
      </c>
      <c r="F318" s="51">
        <f ca="1"/>
        <v>-1.5610446605368247E-4</v>
      </c>
      <c r="G318" s="51">
        <f ca="1"/>
        <v>0.13989637305699479</v>
      </c>
      <c r="H318" s="51">
        <f ca="1"/>
        <v>2.4362248511001112E-2</v>
      </c>
      <c r="I318" s="51">
        <f ca="1"/>
        <v>1.1291100470973043E-7</v>
      </c>
    </row>
    <row r="319" spans="2:9" x14ac:dyDescent="0.25">
      <c r="C319" s="51">
        <f ca="1"/>
        <v>-4.4815631670931505E-15</v>
      </c>
      <c r="D319" s="51">
        <f ca="1"/>
        <v>-1.2783909979138108E-17</v>
      </c>
      <c r="E319" s="51">
        <f ca="1"/>
        <v>2.9662377582573087E-12</v>
      </c>
      <c r="F319" s="51">
        <f ca="1"/>
        <v>9.2960549347536085E-4</v>
      </c>
      <c r="G319" s="51">
        <f ca="1"/>
        <v>1.7631448610746989E-2</v>
      </c>
      <c r="H319" s="51">
        <f ca="1"/>
        <v>0.35492227979274615</v>
      </c>
      <c r="I319" s="51">
        <f ca="1"/>
        <v>4.8628023897238197E-7</v>
      </c>
    </row>
    <row r="320" spans="2:9" x14ac:dyDescent="0.25">
      <c r="C320" s="51">
        <f ca="1"/>
        <v>-9.669646982165746E-10</v>
      </c>
      <c r="D320" s="51">
        <f ca="1"/>
        <v>-2.7583209684006659E-12</v>
      </c>
      <c r="E320" s="51">
        <f ca="1"/>
        <v>6.4001043649515234E-7</v>
      </c>
      <c r="F320" s="51">
        <f ca="1"/>
        <v>200.57637523871324</v>
      </c>
      <c r="G320" s="51">
        <f ca="1"/>
        <v>3804.2503808041583</v>
      </c>
      <c r="H320" s="51">
        <f ca="1"/>
        <v>22638.560884503764</v>
      </c>
      <c r="I320" s="51">
        <f ca="1"/>
        <v>0.3549222797927461</v>
      </c>
    </row>
    <row r="321" spans="2:9" x14ac:dyDescent="0.25">
      <c r="C321" s="51" cm="1">
        <f t="array" aca="1" ref="C321:I321" ca="1">TRANSPOSE(MMULT(_xlfn.ANCHORARRAY(C314),TRANSPOSE(_xlfn.ANCHORARRAY(C301))))</f>
        <v>-1100643474018.9236</v>
      </c>
      <c r="D321" s="51">
        <f ca="1"/>
        <v>-51031406032689.281</v>
      </c>
      <c r="E321" s="51">
        <f ca="1"/>
        <v>30810593.981482167</v>
      </c>
      <c r="F321" s="51">
        <f ca="1"/>
        <v>53.726673930798249</v>
      </c>
      <c r="G321" s="51">
        <f ca="1"/>
        <v>0.14800392596047723</v>
      </c>
      <c r="H321" s="51">
        <f ca="1"/>
        <v>2.1496544315716144</v>
      </c>
      <c r="I321" s="51">
        <f ca="1"/>
        <v>138893.77944811326</v>
      </c>
    </row>
    <row r="322" spans="2:9" x14ac:dyDescent="0.25">
      <c r="B322" s="50" t="s">
        <v>245</v>
      </c>
      <c r="C322" s="51" cm="1">
        <f t="array" aca="1" ref="C322:H322" ca="1">_xlfn._xlws.FILTER(_xlfn.ANCHORARRAY(C306),OFFSET($C$6,0,0,1,$C$1)&lt;&gt;"FixedAct")</f>
        <v>0</v>
      </c>
      <c r="D322" s="51">
        <f ca="1"/>
        <v>1</v>
      </c>
      <c r="E322" s="51">
        <f ca="1"/>
        <v>2</v>
      </c>
      <c r="F322" s="51">
        <f ca="1"/>
        <v>4</v>
      </c>
      <c r="G322" s="51">
        <f ca="1"/>
        <v>5</v>
      </c>
      <c r="H322" s="51">
        <f ca="1"/>
        <v>6</v>
      </c>
    </row>
    <row r="323" spans="2:9" x14ac:dyDescent="0.25">
      <c r="B323" s="51" cm="1">
        <f t="array" aca="1" ref="B323:B328" ca="1">TRANSPOSE(_xlfn.ANCHORARRAY(C322))</f>
        <v>0</v>
      </c>
      <c r="C323" s="52">
        <f ca="1">IF(OFFSET($C$6,0,C$114)="FixedAct",0,IF(OFFSET($C$6,0,$B323)="FixedAct",0,C307))</f>
        <v>10</v>
      </c>
      <c r="D323" s="52">
        <f ca="1">IF(OFFSET($C$6,0,D$114)="FixedAct",0,IF(OFFSET($C$6,0,$B323)="FixedAct",0,D307))</f>
        <v>0</v>
      </c>
      <c r="E323" s="52">
        <f ca="1">IF(OFFSET($C$6,0,E$114)="FixedAct",0,IF(OFFSET($C$6,0,$B323)="FixedAct",0,E307))</f>
        <v>9707.5102664811238</v>
      </c>
      <c r="F323" s="52">
        <f ca="1">IF(OFFSET($C$6,0,F$114)="FixedAct",0,IF(OFFSET($C$6,0,$B323)="FixedAct",0,G307))</f>
        <v>21638201614819.035</v>
      </c>
      <c r="G323" s="52">
        <f ca="1">IF(OFFSET($C$6,0,G$114)="FixedAct",0,IF(OFFSET($C$6,0,$B323)="FixedAct",0,H307))</f>
        <v>12717620287346.748</v>
      </c>
      <c r="H323" s="52">
        <f ca="1">IF(OFFSET($C$6,0,H$114)="FixedAct",0,IF(OFFSET($C$6,0,$B323)="FixedAct",0,I307))</f>
        <v>58941984.912136301</v>
      </c>
      <c r="I323" s="52"/>
    </row>
    <row r="324" spans="2:9" x14ac:dyDescent="0.25">
      <c r="B324" s="51">
        <f ca="1"/>
        <v>1</v>
      </c>
      <c r="C324" s="52">
        <f ca="1">IF(OFFSET($C$6,0,C$114)="FixedAct",0,IF(OFFSET($C$6,0,$B324)="FixedAct",0,C308))</f>
        <v>0</v>
      </c>
      <c r="D324" s="52">
        <f ca="1">IF(OFFSET($C$6,0,D$114)="FixedAct",0,IF(OFFSET($C$6,0,$B324)="FixedAct",0,D308))</f>
        <v>1.9999999999999998</v>
      </c>
      <c r="E324" s="52">
        <f ca="1">IF(OFFSET($C$6,0,E$114)="FixedAct",0,IF(OFFSET($C$6,0,$B324)="FixedAct",0,E308))</f>
        <v>0</v>
      </c>
      <c r="F324" s="52">
        <f ca="1">IF(OFFSET($C$6,0,F$114)="FixedAct",0,IF(OFFSET($C$6,0,$B324)="FixedAct",0,G308))</f>
        <v>689595305329884.38</v>
      </c>
      <c r="G324" s="52">
        <f ca="1">IF(OFFSET($C$6,0,G$114)="FixedAct",0,IF(OFFSET($C$6,0,$B324)="FixedAct",0,H308))</f>
        <v>0</v>
      </c>
      <c r="H324" s="52">
        <f ca="1">IF(OFFSET($C$6,0,H$114)="FixedAct",0,IF(OFFSET($C$6,0,$B324)="FixedAct",0,I308))</f>
        <v>0</v>
      </c>
      <c r="I324" s="52"/>
    </row>
    <row r="325" spans="2:9" x14ac:dyDescent="0.25">
      <c r="B325" s="51">
        <f ca="1"/>
        <v>2</v>
      </c>
      <c r="C325" s="52">
        <f ca="1">IF(OFFSET($C$6,0,C$114)="FixedAct",0,IF(OFFSET($C$6,0,$B325)="FixedAct",0,C309))</f>
        <v>4.1205210091938032E-4</v>
      </c>
      <c r="D325" s="52">
        <f ca="1">IF(OFFSET($C$6,0,D$114)="FixedAct",0,IF(OFFSET($C$6,0,$B325)="FixedAct",0,D309))</f>
        <v>0</v>
      </c>
      <c r="E325" s="52">
        <f ca="1">IF(OFFSET($C$6,0,E$114)="FixedAct",0,IF(OFFSET($C$6,0,$B325)="FixedAct",0,E309))</f>
        <v>4</v>
      </c>
      <c r="F325" s="52">
        <f ca="1">IF(OFFSET($C$6,0,F$114)="FixedAct",0,IF(OFFSET($C$6,0,$B325)="FixedAct",0,G309))</f>
        <v>2229016608.8758278</v>
      </c>
      <c r="G325" s="52">
        <f ca="1">IF(OFFSET($C$6,0,G$114)="FixedAct",0,IF(OFFSET($C$6,0,$B325)="FixedAct",0,H309))</f>
        <v>0</v>
      </c>
      <c r="H325" s="52">
        <f ca="1">IF(OFFSET($C$6,0,H$114)="FixedAct",0,IF(OFFSET($C$6,0,$B325)="FixedAct",0,I309))</f>
        <v>0</v>
      </c>
      <c r="I325" s="52"/>
    </row>
    <row r="326" spans="2:9" x14ac:dyDescent="0.25">
      <c r="B326" s="51">
        <f ca="1"/>
        <v>4</v>
      </c>
      <c r="C326" s="52">
        <f ca="1">IF(OFFSET($C$6,0,C$114)="FixedAct",0,IF(OFFSET($C$6,0,$B326)="FixedAct",0,C311))</f>
        <v>7.394329845342748E-13</v>
      </c>
      <c r="D326" s="52">
        <f ca="1">IF(OFFSET($C$6,0,D$114)="FixedAct",0,IF(OFFSET($C$6,0,$B326)="FixedAct",0,D311))</f>
        <v>1.4501258814713452E-15</v>
      </c>
      <c r="E326" s="52">
        <f ca="1">IF(OFFSET($C$6,0,E$114)="FixedAct",0,IF(OFFSET($C$6,0,$B326)="FixedAct",0,E311))</f>
        <v>1.7945133221853125E-9</v>
      </c>
      <c r="F326" s="52">
        <f ca="1">IF(OFFSET($C$6,0,F$114)="FixedAct",0,IF(OFFSET($C$6,0,$B326)="FixedAct",0,G311))</f>
        <v>10</v>
      </c>
      <c r="G326" s="52">
        <f ca="1">IF(OFFSET($C$6,0,G$114)="FixedAct",0,IF(OFFSET($C$6,0,$B326)="FixedAct",0,H311))</f>
        <v>0</v>
      </c>
      <c r="H326" s="52">
        <f ca="1">IF(OFFSET($C$6,0,H$114)="FixedAct",0,IF(OFFSET($C$6,0,$B326)="FixedAct",0,I311))</f>
        <v>0</v>
      </c>
      <c r="I326" s="52"/>
    </row>
    <row r="327" spans="2:9" x14ac:dyDescent="0.25">
      <c r="B327" s="51">
        <f ca="1"/>
        <v>5</v>
      </c>
      <c r="C327" s="52">
        <f ca="1">IF(OFFSET($C$6,0,C$114)="FixedAct",0,IF(OFFSET($C$6,0,$B327)="FixedAct",0,C312))</f>
        <v>3.1452425136326447E-13</v>
      </c>
      <c r="D327" s="52">
        <f ca="1">IF(OFFSET($C$6,0,D$114)="FixedAct",0,IF(OFFSET($C$6,0,$B327)="FixedAct",0,D312))</f>
        <v>0</v>
      </c>
      <c r="E327" s="52">
        <f ca="1">IF(OFFSET($C$6,0,E$114)="FixedAct",0,IF(OFFSET($C$6,0,$B327)="FixedAct",0,E312))</f>
        <v>0</v>
      </c>
      <c r="F327" s="52">
        <f ca="1">IF(OFFSET($C$6,0,F$114)="FixedAct",0,IF(OFFSET($C$6,0,$B327)="FixedAct",0,G312))</f>
        <v>0</v>
      </c>
      <c r="G327" s="52">
        <f ca="1">IF(OFFSET($C$6,0,G$114)="FixedAct",0,IF(OFFSET($C$6,0,$B327)="FixedAct",0,H312))</f>
        <v>4</v>
      </c>
      <c r="H327" s="52">
        <f ca="1">IF(OFFSET($C$6,0,H$114)="FixedAct",0,IF(OFFSET($C$6,0,$B327)="FixedAct",0,I312))</f>
        <v>0</v>
      </c>
      <c r="I327" s="52"/>
    </row>
    <row r="328" spans="2:9" x14ac:dyDescent="0.25">
      <c r="B328" s="51">
        <f ca="1"/>
        <v>6</v>
      </c>
      <c r="C328" s="52">
        <f ca="1">IF(OFFSET($C$6,0,C$114)="FixedAct",0,IF(OFFSET($C$6,0,$B328)="FixedAct",0,C313))</f>
        <v>6.7863340638472292E-8</v>
      </c>
      <c r="D328" s="52">
        <f ca="1">IF(OFFSET($C$6,0,D$114)="FixedAct",0,IF(OFFSET($C$6,0,$B328)="FixedAct",0,D313))</f>
        <v>0</v>
      </c>
      <c r="E328" s="52">
        <f ca="1">IF(OFFSET($C$6,0,E$114)="FixedAct",0,IF(OFFSET($C$6,0,$B328)="FixedAct",0,E313))</f>
        <v>0</v>
      </c>
      <c r="F328" s="52">
        <f ca="1">IF(OFFSET($C$6,0,F$114)="FixedAct",0,IF(OFFSET($C$6,0,$B328)="FixedAct",0,G313))</f>
        <v>0</v>
      </c>
      <c r="G328" s="52">
        <f ca="1">IF(OFFSET($C$6,0,G$114)="FixedAct",0,IF(OFFSET($C$6,0,$B328)="FixedAct",0,H313))</f>
        <v>0</v>
      </c>
      <c r="H328" s="52">
        <f ca="1">IF(OFFSET($C$6,0,H$114)="FixedAct",0,IF(OFFSET($C$6,0,$B328)="FixedAct",0,I313))</f>
        <v>4</v>
      </c>
      <c r="I328" s="52"/>
    </row>
    <row r="329" spans="2:9" x14ac:dyDescent="0.25">
      <c r="B329" s="50" t="s">
        <v>246</v>
      </c>
      <c r="C329" s="51" cm="1">
        <f t="array" aca="1" ref="C329:H334" ca="1">MINVERSE(C323:H328)</f>
        <v>0.16831683168316836</v>
      </c>
      <c r="D329" s="51">
        <f ca="1"/>
        <v>2.3300581329314956E-4</v>
      </c>
      <c r="E329" s="51">
        <f ca="1"/>
        <v>-264.31339834478314</v>
      </c>
      <c r="F329" s="51">
        <f ca="1"/>
        <v>-321359429923.05505</v>
      </c>
      <c r="G329" s="51">
        <f ca="1"/>
        <v>-535147388328.94739</v>
      </c>
      <c r="H329" s="51">
        <f ca="1"/>
        <v>-2480232.0383819742</v>
      </c>
    </row>
    <row r="330" spans="2:9" x14ac:dyDescent="0.25">
      <c r="C330" s="51">
        <f ca="1"/>
        <v>3.7864567926304522</v>
      </c>
      <c r="D330" s="51">
        <f ca="1"/>
        <v>0.5346534653465348</v>
      </c>
      <c r="E330" s="51">
        <f ca="1"/>
        <v>12252.356062682435</v>
      </c>
      <c r="F330" s="51">
        <f ca="1"/>
        <v>-47793734032764.273</v>
      </c>
      <c r="G330" s="51">
        <f ca="1"/>
        <v>-12038679930779.732</v>
      </c>
      <c r="H330" s="51">
        <f ca="1"/>
        <v>-55795319.785420068</v>
      </c>
    </row>
    <row r="331" spans="2:9" x14ac:dyDescent="0.25">
      <c r="C331" s="51">
        <f ca="1"/>
        <v>-1.1219240371567289E-5</v>
      </c>
      <c r="D331" s="51">
        <f ca="1"/>
        <v>3.2003511631290373E-8</v>
      </c>
      <c r="E331" s="51">
        <f ca="1"/>
        <v>0.29702970297029702</v>
      </c>
      <c r="F331" s="51">
        <f ca="1"/>
        <v>-44138942.750016391</v>
      </c>
      <c r="G331" s="51">
        <f ca="1"/>
        <v>35670509.739515953</v>
      </c>
      <c r="H331" s="51">
        <f ca="1"/>
        <v>165.32107417663738</v>
      </c>
    </row>
    <row r="332" spans="2:9" x14ac:dyDescent="0.25">
      <c r="C332" s="51">
        <f ca="1"/>
        <v>-1.0981677988132793E-14</v>
      </c>
      <c r="D332" s="51">
        <f ca="1"/>
        <v>-1.0050377396336055E-16</v>
      </c>
      <c r="E332" s="51">
        <f ca="1"/>
        <v>-3.5534917270996286E-11</v>
      </c>
      <c r="F332" s="51">
        <f ca="1"/>
        <v>0.13861386138613863</v>
      </c>
      <c r="G332" s="51">
        <f ca="1"/>
        <v>3.49152026927467E-2</v>
      </c>
      <c r="H332" s="51">
        <f ca="1"/>
        <v>1.6182047457161571E-7</v>
      </c>
    </row>
    <row r="333" spans="2:9" x14ac:dyDescent="0.25">
      <c r="C333" s="51">
        <f ca="1"/>
        <v>-1.3234931369246294E-14</v>
      </c>
      <c r="D333" s="51">
        <f ca="1"/>
        <v>-1.8321494747329131E-17</v>
      </c>
      <c r="E333" s="51">
        <f ca="1"/>
        <v>2.0783243434918324E-11</v>
      </c>
      <c r="F333" s="51">
        <f ca="1"/>
        <v>2.5268833528768596E-2</v>
      </c>
      <c r="G333" s="51">
        <f ca="1"/>
        <v>0.29207920792079212</v>
      </c>
      <c r="H333" s="51">
        <f ca="1"/>
        <v>1.9502328126981919E-7</v>
      </c>
    </row>
    <row r="334" spans="2:9" x14ac:dyDescent="0.25">
      <c r="C334" s="51">
        <f ca="1"/>
        <v>-2.8556356209258151E-9</v>
      </c>
      <c r="D334" s="51">
        <f ca="1"/>
        <v>-3.9531382195643212E-12</v>
      </c>
      <c r="E334" s="51">
        <f ca="1"/>
        <v>4.4842975467960591E-6</v>
      </c>
      <c r="F334" s="51">
        <f ca="1"/>
        <v>5452.1311150633865</v>
      </c>
      <c r="G334" s="51">
        <f ca="1"/>
        <v>9079.2223764890423</v>
      </c>
      <c r="H334" s="51">
        <f ca="1"/>
        <v>0.29207920792079206</v>
      </c>
    </row>
    <row r="335" spans="2:9" x14ac:dyDescent="0.25">
      <c r="B335" s="50" t="s">
        <v>247</v>
      </c>
      <c r="C335" s="51" cm="1">
        <f t="array" aca="1" ref="C335:H335" ca="1">_xlfn._xlws.FILTER(OFFSET(C301,0,0,1,$C$1),OFFSET($C$6,0,0,1,$C$1)&lt;&gt;"FixedAct")</f>
        <v>11503.082740156993</v>
      </c>
      <c r="D335" s="51">
        <f ca="1"/>
        <v>447358.34552049858</v>
      </c>
      <c r="E335" s="51">
        <f ca="1"/>
        <v>-376870.76204235811</v>
      </c>
      <c r="F335" s="51">
        <f ca="1"/>
        <v>8.5615759141509427E-7</v>
      </c>
      <c r="G335" s="51">
        <f ca="1"/>
        <v>6.0491678118152983</v>
      </c>
      <c r="H335" s="51">
        <f ca="1"/>
        <v>5492.9310085317047</v>
      </c>
    </row>
    <row r="336" spans="2:9" x14ac:dyDescent="0.25">
      <c r="B336" s="50" t="s">
        <v>248</v>
      </c>
      <c r="C336" s="51" cm="1">
        <f t="array" aca="1" ref="C336:H336" ca="1">TRANSPOSE(MMULT(_xlfn.ANCHORARRAY(C329),TRANSPOSE(_xlfn.ANCHORARRAY(C335))))</f>
        <v>-3250720760630.5361</v>
      </c>
      <c r="D336" s="51">
        <f ca="1"/>
        <v>-73135133167196.609</v>
      </c>
      <c r="E336" s="51">
        <f ca="1"/>
        <v>216573016.88689527</v>
      </c>
      <c r="F336" s="51">
        <f ca="1"/>
        <v>0.21211029954993629</v>
      </c>
      <c r="G336" s="51">
        <f ca="1"/>
        <v>1.76789958136091</v>
      </c>
      <c r="H336" s="51">
        <f ca="1"/>
        <v>56524.425326938886</v>
      </c>
    </row>
    <row r="337" spans="2:25" x14ac:dyDescent="0.25">
      <c r="B337" s="50" t="s">
        <v>243</v>
      </c>
      <c r="C337" s="51" cm="1">
        <f t="array" aca="1" ref="C337:I337" ca="1">_xlfn.XLOOKUP(_xlfn.ANCHORARRAY(C306),C322:H322,_xlfn.ANCHORARRAY(C336),0)</f>
        <v>-3250720760630.5361</v>
      </c>
      <c r="D337" s="51">
        <f ca="1"/>
        <v>-73135133167196.609</v>
      </c>
      <c r="E337" s="51">
        <f ca="1"/>
        <v>216573016.88689527</v>
      </c>
      <c r="F337" s="51">
        <f ca="1"/>
        <v>0</v>
      </c>
      <c r="G337" s="51">
        <f ca="1"/>
        <v>0.21211029954993629</v>
      </c>
      <c r="H337" s="51">
        <f ca="1"/>
        <v>1.76789958136091</v>
      </c>
      <c r="I337" s="51">
        <f ca="1"/>
        <v>56524.425326938886</v>
      </c>
    </row>
    <row r="338" spans="2:25" x14ac:dyDescent="0.25">
      <c r="B338" s="50" t="s">
        <v>226</v>
      </c>
      <c r="C338" s="51" cm="1">
        <f t="array" aca="1" ref="C338:I338" ca="1">IF(_xlfn.ANCHORARRAY(C337)&gt;=OFFSET(C293,0,0,1,$C$1),OFFSET(C293,0,0,1,$C$1)/10,OFFSET(C293,0,0,1,$C$1)-_xlfn.ANCHORARRAY(C337))</f>
        <v>3250720762385.1997</v>
      </c>
      <c r="D338" s="51">
        <f ca="1"/>
        <v>73135133390876.484</v>
      </c>
      <c r="E338" s="51">
        <f ca="1"/>
        <v>3.615063558897743E-2</v>
      </c>
      <c r="F338" s="51">
        <f ca="1"/>
        <v>2.6915348039269101E-8</v>
      </c>
      <c r="G338" s="51">
        <f ca="1"/>
        <v>0.78788970045006368</v>
      </c>
      <c r="H338" s="51">
        <f ca="1"/>
        <v>2.7594208522562412E-11</v>
      </c>
      <c r="I338" s="51">
        <f ca="1"/>
        <v>5.9538657655140889E-6</v>
      </c>
    </row>
    <row r="339" spans="2:25" x14ac:dyDescent="0.25">
      <c r="B339" s="50" t="s">
        <v>228</v>
      </c>
      <c r="C339" s="51" cm="1">
        <f t="array" aca="1" ref="C339:Y339" ca="1">IF(OFFSET(C338,0,0,1,$C$2)=0,OFFSET(C293,0,0,1,$C$2),OFFSET(C338,0,0,1,$C$2))</f>
        <v>3250720762385.1997</v>
      </c>
      <c r="D339" s="51">
        <f ca="1"/>
        <v>73135133390876.484</v>
      </c>
      <c r="E339" s="51">
        <f ca="1"/>
        <v>3.615063558897743E-2</v>
      </c>
      <c r="F339" s="51">
        <f ca="1"/>
        <v>2.6915348039269101E-8</v>
      </c>
      <c r="G339" s="51">
        <f ca="1"/>
        <v>0.78788970045006368</v>
      </c>
      <c r="H339" s="51">
        <f ca="1"/>
        <v>2.7594208522562412E-11</v>
      </c>
      <c r="I339" s="51">
        <f ca="1"/>
        <v>5.9538657655140889E-6</v>
      </c>
      <c r="J339" s="51">
        <f ca="1"/>
        <v>8.1721870235427361E-7</v>
      </c>
      <c r="K339" s="51">
        <f ca="1"/>
        <v>974.91254721359746</v>
      </c>
      <c r="L339" s="51">
        <f ca="1"/>
        <v>1418.5470019875943</v>
      </c>
      <c r="M339" s="51">
        <f ca="1"/>
        <v>0</v>
      </c>
      <c r="N339" s="51">
        <f ca="1"/>
        <v>0</v>
      </c>
      <c r="O339" s="51">
        <f ca="1"/>
        <v>0.35770795006025125</v>
      </c>
      <c r="P339" s="51">
        <f ca="1"/>
        <v>0</v>
      </c>
      <c r="Q339" s="51">
        <f ca="1"/>
        <v>3.7017974773155555E-7</v>
      </c>
      <c r="R339" s="51">
        <f ca="1"/>
        <v>0</v>
      </c>
      <c r="S339" s="51">
        <f ca="1"/>
        <v>0</v>
      </c>
      <c r="T339" s="51">
        <f ca="1"/>
        <v>2.635226455617664E-4</v>
      </c>
      <c r="U339" s="51">
        <f ca="1"/>
        <v>8.8064127957994268E-10</v>
      </c>
      <c r="V339" s="51">
        <f ca="1"/>
        <v>2.8510953514390134</v>
      </c>
      <c r="W339" s="51">
        <f ca="1"/>
        <v>2636.2879168121372</v>
      </c>
      <c r="X339" s="51">
        <f ca="1"/>
        <v>3.1989815992891271</v>
      </c>
      <c r="Y339" s="51">
        <f ca="1"/>
        <v>2957.9636935165131</v>
      </c>
    </row>
    <row r="340" spans="2:25" x14ac:dyDescent="0.25">
      <c r="B340" s="50" t="s">
        <v>108</v>
      </c>
      <c r="C340" s="51" cm="1">
        <f t="array" aca="1" ref="C340" ca="1">SUM(_xlfn.ANCHORARRAY(C339)*OFFSET($C$10,0,0,1,$C$2)^2)*0.5</f>
        <v>43069008222725.125</v>
      </c>
    </row>
    <row r="341" spans="2:25" x14ac:dyDescent="0.25">
      <c r="B341" s="50" t="s">
        <v>232</v>
      </c>
      <c r="C341" s="51" cm="1">
        <f t="array" aca="1" ref="C341:Y341" ca="1">IF(OFFSET($C$11,0,0,1,$C$2)="Debye",10^(ABS(OFFSET($C$10,0,0,1,$C$2))^2*(-(0.27+0.0008*$C$17)*SQRT(C340))/(1+(3*ABS(OFFSET($C$10,0,0,1,$C$2))*0.33*SQRT(C340)))),1)</f>
        <v>9.7464972068058736E-2</v>
      </c>
      <c r="D341" s="51">
        <f ca="1"/>
        <v>0.31219383326968453</v>
      </c>
      <c r="E341" s="51">
        <f ca="1"/>
        <v>0.31219383326968453</v>
      </c>
      <c r="F341" s="51">
        <f ca="1"/>
        <v>0.31219383326968453</v>
      </c>
      <c r="G341" s="51">
        <f ca="1"/>
        <v>1</v>
      </c>
      <c r="H341" s="51">
        <f ca="1"/>
        <v>1</v>
      </c>
      <c r="I341" s="51">
        <f ca="1"/>
        <v>1</v>
      </c>
      <c r="J341" s="51">
        <f ca="1"/>
        <v>0.31219383326968453</v>
      </c>
      <c r="K341" s="51">
        <f ca="1"/>
        <v>0.31219383326968453</v>
      </c>
      <c r="L341" s="51">
        <f ca="1"/>
        <v>0.31219383326968453</v>
      </c>
      <c r="M341" s="51">
        <f ca="1"/>
        <v>1</v>
      </c>
      <c r="N341" s="51">
        <f ca="1"/>
        <v>1</v>
      </c>
      <c r="O341" s="51">
        <f ca="1"/>
        <v>1</v>
      </c>
      <c r="P341" s="51">
        <f ca="1"/>
        <v>1</v>
      </c>
      <c r="Q341" s="51">
        <f ca="1"/>
        <v>1</v>
      </c>
      <c r="R341" s="51">
        <f ca="1"/>
        <v>1</v>
      </c>
      <c r="S341" s="51">
        <f ca="1"/>
        <v>1</v>
      </c>
      <c r="T341" s="51">
        <f ca="1"/>
        <v>1</v>
      </c>
      <c r="U341" s="51">
        <f ca="1"/>
        <v>1</v>
      </c>
      <c r="V341" s="51">
        <f ca="1"/>
        <v>1</v>
      </c>
      <c r="W341" s="51">
        <f ca="1"/>
        <v>1</v>
      </c>
      <c r="X341" s="51">
        <f ca="1"/>
        <v>1</v>
      </c>
      <c r="Y341" s="51">
        <f ca="1"/>
        <v>1</v>
      </c>
    </row>
    <row r="342" spans="2:25" x14ac:dyDescent="0.25">
      <c r="B342" s="50" t="s">
        <v>228</v>
      </c>
      <c r="C342" s="51" cm="1">
        <f t="array" aca="1" ref="C342:Y342" ca="1">OFFSET($C$53,0,0,1,$C$2)*TRANSPOSE(_xlfn.BYROW(C339:I339^OFFSET($C$29,0,0,$C$2,$C$1),_xlfn.LAMBDA(_xlpm.array, PRODUCT(_xlpm.array))))</f>
        <v>3250720762385.1997</v>
      </c>
      <c r="D342" s="51">
        <f ca="1"/>
        <v>73135133390876.484</v>
      </c>
      <c r="E342" s="51">
        <f ca="1"/>
        <v>3.615063558897743E-2</v>
      </c>
      <c r="F342" s="51">
        <f ca="1"/>
        <v>2.6915348039269101E-8</v>
      </c>
      <c r="G342" s="51">
        <f ca="1"/>
        <v>1</v>
      </c>
      <c r="H342" s="51">
        <f ca="1"/>
        <v>2.7594208522562412E-11</v>
      </c>
      <c r="I342" s="51">
        <f ca="1"/>
        <v>5.9538657655140889E-6</v>
      </c>
      <c r="J342" s="51">
        <f ca="1"/>
        <v>8.1721870235427361E-7</v>
      </c>
      <c r="K342" s="51">
        <f ca="1"/>
        <v>1806140473486.1917</v>
      </c>
      <c r="L342" s="51">
        <f ca="1"/>
        <v>262802562255.97137</v>
      </c>
      <c r="M342" s="51">
        <f ca="1"/>
        <v>2017950513040.3479</v>
      </c>
      <c r="N342" s="51">
        <f ca="1"/>
        <v>57622418339713.125</v>
      </c>
      <c r="O342" s="51">
        <f ca="1"/>
        <v>2.8482713445278838E-2</v>
      </c>
      <c r="P342" s="51">
        <f ca="1"/>
        <v>2.1206325504168942E-8</v>
      </c>
      <c r="Q342" s="51">
        <f ca="1"/>
        <v>2.9475787932886457E-7</v>
      </c>
      <c r="R342" s="51">
        <f ca="1"/>
        <v>2873724220796.4312</v>
      </c>
      <c r="S342" s="51">
        <f ca="1"/>
        <v>232573926857.20023</v>
      </c>
      <c r="T342" s="51">
        <f ca="1"/>
        <v>2.6352264556176639E-5</v>
      </c>
      <c r="U342" s="51">
        <f ca="1"/>
        <v>8.8064127957994265E-11</v>
      </c>
      <c r="V342" s="51">
        <f ca="1"/>
        <v>528199039.25947934</v>
      </c>
      <c r="W342" s="51">
        <f ca="1"/>
        <v>488403428587.09583</v>
      </c>
      <c r="X342" s="51">
        <f ca="1"/>
        <v>592649069.59370518</v>
      </c>
      <c r="Y342" s="51">
        <f ca="1"/>
        <v>547997660019.07544</v>
      </c>
    </row>
    <row r="343" spans="2:25" x14ac:dyDescent="0.25">
      <c r="B343" s="50" t="s">
        <v>108</v>
      </c>
      <c r="C343" s="51" cm="1">
        <f t="array" aca="1" ref="C343" ca="1">SUM(_xlfn.ANCHORARRAY(C342)*OFFSET($C$10,0,0,1,$C$2)^2)*0.5</f>
        <v>78748204821657</v>
      </c>
    </row>
    <row r="344" spans="2:25" x14ac:dyDescent="0.25">
      <c r="B344" s="50" t="s">
        <v>233</v>
      </c>
      <c r="C344" s="51" cm="1">
        <f t="array" aca="1" ref="C344" ca="1">IFERROR(SUM(_xlfn._xlws.FILTER(_xlfn.ANCHORARRAY(C342)*OFFSET($C$10,0,0,1,$C$2),OFFSET($C$11,0,0,1,$C$2)="WHAMHA")),0)</f>
        <v>0</v>
      </c>
      <c r="D344" s="51" cm="1">
        <f t="array" aca="1" ref="D344" ca="1">IFERROR(SUM(_xlfn._xlws.FILTER(_xlfn.ANCHORARRAY(C342)*OFFSET($C$10,0,0,1,$C$2),OFFSET($C$11,0,0,1,$C$2)="WHAMFA")),0)</f>
        <v>488931627626.35529</v>
      </c>
    </row>
    <row r="345" spans="2:25" x14ac:dyDescent="0.25">
      <c r="B345" s="50" t="s">
        <v>234</v>
      </c>
      <c r="C345" s="51" cm="1">
        <f t="array" aca="1" ref="C345:Y345" ca="1">OFFSET($C$53,0,0,1,$C$2)*IF(OFFSET($C$11,0,0,1,$C$2)="WHAMFA",EXP(2*$D$26*LOG10(C343)*D344*ABS(OFFSET($C$10,0,0,1,$C$2))),IF(OFFSET($C$11,0,0,1,$C$2)="WHAMHA",EXP(2*$D$26*LOG10(C343)*C344*ABS(OFFSET($C$10,0,0,1,$C$2))),1))</f>
        <v>1</v>
      </c>
      <c r="D345" s="51">
        <f ca="1"/>
        <v>1</v>
      </c>
      <c r="E345" s="51">
        <f ca="1"/>
        <v>1</v>
      </c>
      <c r="F345" s="51">
        <f ca="1"/>
        <v>1</v>
      </c>
      <c r="G345" s="51">
        <f ca="1"/>
        <v>1</v>
      </c>
      <c r="H345" s="51">
        <f ca="1"/>
        <v>1</v>
      </c>
      <c r="I345" s="51">
        <f ca="1"/>
        <v>1</v>
      </c>
      <c r="J345" s="51">
        <f ca="1"/>
        <v>2.1995725798065139E-14</v>
      </c>
      <c r="K345" s="51">
        <f ca="1"/>
        <v>1.4954498711240171E-8</v>
      </c>
      <c r="L345" s="51">
        <f ca="1"/>
        <v>2.2363202312453416</v>
      </c>
      <c r="M345" s="51">
        <f ca="1"/>
        <v>1</v>
      </c>
      <c r="N345" s="51">
        <f ca="1"/>
        <v>1</v>
      </c>
      <c r="O345" s="51">
        <f ca="1"/>
        <v>1</v>
      </c>
      <c r="P345" s="51">
        <f ca="1"/>
        <v>1</v>
      </c>
      <c r="Q345" s="51">
        <f ca="1"/>
        <v>1.0069316688518E-14</v>
      </c>
      <c r="R345" s="51">
        <f ca="1"/>
        <v>3.0199517204020201E-8</v>
      </c>
      <c r="S345" s="51">
        <f ca="1"/>
        <v>2.5118864315095801</v>
      </c>
      <c r="T345" s="51">
        <f ca="1"/>
        <v>0</v>
      </c>
      <c r="U345" s="51">
        <f ca="1"/>
        <v>0</v>
      </c>
      <c r="V345" s="51">
        <f ca="1"/>
        <v>0</v>
      </c>
      <c r="W345" s="51">
        <f ca="1"/>
        <v>0</v>
      </c>
      <c r="X345" s="51">
        <f ca="1"/>
        <v>4.7863009232263802E-9</v>
      </c>
      <c r="Y345" s="51">
        <f ca="1"/>
        <v>2.0511621788255701E-11</v>
      </c>
    </row>
    <row r="346" spans="2:25" x14ac:dyDescent="0.25">
      <c r="B346" s="50" t="s">
        <v>236</v>
      </c>
      <c r="C346" s="51" cm="1">
        <f t="array" aca="1" ref="C346:D346" ca="1">((1000*((6.022E+23)/$C$24:$D$24)*(4*PI()/3)*((($C$25:$D$25+(0.000000000304 / SQRT(C343)))^3)-(($C$25:$D$25)^3)))*$C$20*ABS(C344:D344))/(1+$C$20*ABS(C344:D344))*$C$23:$D$23*$C$24:$D$24</f>
        <v>0</v>
      </c>
      <c r="D346" s="51">
        <f ca="1"/>
        <v>1.7657431089545071E-14</v>
      </c>
    </row>
    <row r="347" spans="2:25" x14ac:dyDescent="0.25">
      <c r="B347" s="50" t="s">
        <v>237</v>
      </c>
      <c r="C347" s="51" cm="1">
        <f t="array" aca="1" ref="C347:D347" ca="1">$C$19/($C$19+SUM(_xlfn.ANCHORARRAY(C346)))*_xlfn.ANCHORARRAY(C346)</f>
        <v>0</v>
      </c>
      <c r="D347" s="51">
        <f ca="1"/>
        <v>1.7657431089543825E-14</v>
      </c>
    </row>
    <row r="348" spans="2:25" x14ac:dyDescent="0.25">
      <c r="B348" s="50" t="s">
        <v>235</v>
      </c>
      <c r="C348" s="51" cm="1">
        <f t="array" aca="1" ref="C348:Y348" ca="1">IF(OFFSET($C$11,0,0,1,$C$2)="DonnanHA",C347,IF(OFFSET($C$11,0,0,1,$C$2)="DonnanFA",D347,IF(OR(OFFSET($C$11,0,0,1,$C$2)="WHAMHA",OFFSET($C$11,0,0,1,$C$2)="WHAMFA"),OFFSET($C$14,0,0,1,$C$2),OFFSET($C$14,0,0,1,$C$2)-SUM(_xlfn.ANCHORARRAY(C347)))))</f>
        <v>1</v>
      </c>
      <c r="D348" s="51">
        <f ca="1"/>
        <v>1</v>
      </c>
      <c r="E348" s="51">
        <f ca="1"/>
        <v>1</v>
      </c>
      <c r="F348" s="51">
        <f ca="1"/>
        <v>1</v>
      </c>
      <c r="G348" s="51">
        <f ca="1"/>
        <v>1.7657431089543825E-14</v>
      </c>
      <c r="H348" s="51">
        <f ca="1"/>
        <v>1</v>
      </c>
      <c r="I348" s="51">
        <f ca="1"/>
        <v>1</v>
      </c>
      <c r="J348" s="51">
        <f ca="1"/>
        <v>1</v>
      </c>
      <c r="K348" s="51">
        <f ca="1"/>
        <v>1</v>
      </c>
      <c r="L348" s="51">
        <f ca="1"/>
        <v>1</v>
      </c>
      <c r="M348" s="51">
        <f ca="1"/>
        <v>1.7657431089543825E-14</v>
      </c>
      <c r="N348" s="51">
        <f ca="1"/>
        <v>1.7657431089543825E-14</v>
      </c>
      <c r="O348" s="51">
        <f ca="1"/>
        <v>1.7657431089543825E-14</v>
      </c>
      <c r="P348" s="51">
        <f ca="1"/>
        <v>1.7657431089543825E-14</v>
      </c>
      <c r="Q348" s="51">
        <f ca="1"/>
        <v>1.7657431089543825E-14</v>
      </c>
      <c r="R348" s="51">
        <f ca="1"/>
        <v>1.7657431089543825E-14</v>
      </c>
      <c r="S348" s="51">
        <f ca="1"/>
        <v>1.7657431089543825E-14</v>
      </c>
      <c r="T348" s="51">
        <f ca="1"/>
        <v>1</v>
      </c>
      <c r="U348" s="51">
        <f ca="1"/>
        <v>1</v>
      </c>
      <c r="V348" s="51">
        <f ca="1"/>
        <v>1</v>
      </c>
      <c r="W348" s="51">
        <f ca="1"/>
        <v>1</v>
      </c>
      <c r="X348" s="51">
        <f ca="1"/>
        <v>1</v>
      </c>
      <c r="Y348" s="51">
        <f ca="1"/>
        <v>1</v>
      </c>
    </row>
    <row r="349" spans="2:25" x14ac:dyDescent="0.25">
      <c r="B349" s="50" t="s">
        <v>228</v>
      </c>
      <c r="C349" s="51" cm="1">
        <f t="array" aca="1" ref="C349:Y349" ca="1">IF((OFFSET($C$11,0,0,1,$C$2)="DonnanFA")*(SIGN(_xlfn.SEQUENCE(1,$C$2,D344,0))=SIGN(OFFSET($C$10,0,0,1,$C$2))),0,OFFSET(C342,0,0,1,$C$2))</f>
        <v>3250720762385.1997</v>
      </c>
      <c r="D349" s="51">
        <f ca="1"/>
        <v>73135133390876.484</v>
      </c>
      <c r="E349" s="51">
        <f ca="1"/>
        <v>3.615063558897743E-2</v>
      </c>
      <c r="F349" s="51">
        <f ca="1"/>
        <v>2.6915348039269101E-8</v>
      </c>
      <c r="G349" s="51">
        <f ca="1"/>
        <v>1</v>
      </c>
      <c r="H349" s="51">
        <f ca="1"/>
        <v>2.7594208522562412E-11</v>
      </c>
      <c r="I349" s="51">
        <f ca="1"/>
        <v>5.9538657655140889E-6</v>
      </c>
      <c r="J349" s="51">
        <f ca="1"/>
        <v>8.1721870235427361E-7</v>
      </c>
      <c r="K349" s="51">
        <f ca="1"/>
        <v>1806140473486.1917</v>
      </c>
      <c r="L349" s="51">
        <f ca="1"/>
        <v>262802562255.97137</v>
      </c>
      <c r="M349" s="51">
        <f ca="1"/>
        <v>0</v>
      </c>
      <c r="N349" s="51">
        <f ca="1"/>
        <v>0</v>
      </c>
      <c r="O349" s="51">
        <f ca="1"/>
        <v>2.8482713445278838E-2</v>
      </c>
      <c r="P349" s="51">
        <f ca="1"/>
        <v>0</v>
      </c>
      <c r="Q349" s="51">
        <f ca="1"/>
        <v>2.9475787932886457E-7</v>
      </c>
      <c r="R349" s="51">
        <f ca="1"/>
        <v>0</v>
      </c>
      <c r="S349" s="51">
        <f ca="1"/>
        <v>0</v>
      </c>
      <c r="T349" s="51">
        <f ca="1"/>
        <v>2.6352264556176639E-5</v>
      </c>
      <c r="U349" s="51">
        <f ca="1"/>
        <v>8.8064127957994265E-11</v>
      </c>
      <c r="V349" s="51">
        <f ca="1"/>
        <v>528199039.25947934</v>
      </c>
      <c r="W349" s="51">
        <f ca="1"/>
        <v>488403428587.09583</v>
      </c>
      <c r="X349" s="51">
        <f ca="1"/>
        <v>592649069.59370518</v>
      </c>
      <c r="Y349" s="51">
        <f ca="1"/>
        <v>547997660019.07544</v>
      </c>
    </row>
    <row r="350" spans="2:25" x14ac:dyDescent="0.25">
      <c r="B350" s="50" t="s">
        <v>238</v>
      </c>
      <c r="C350" s="51" cm="1">
        <f t="array" aca="1" ref="C350:Y350" ca="1">_xlfn.ANCHORARRAY(C349)*_xlfn.ANCHORARRAY(C348)</f>
        <v>3250720762385.1997</v>
      </c>
      <c r="D350" s="51">
        <f ca="1"/>
        <v>73135133390876.484</v>
      </c>
      <c r="E350" s="51">
        <f ca="1"/>
        <v>3.615063558897743E-2</v>
      </c>
      <c r="F350" s="51">
        <f ca="1"/>
        <v>2.6915348039269101E-8</v>
      </c>
      <c r="G350" s="51">
        <f ca="1"/>
        <v>1.7657431089543825E-14</v>
      </c>
      <c r="H350" s="51">
        <f ca="1"/>
        <v>2.7594208522562412E-11</v>
      </c>
      <c r="I350" s="51">
        <f ca="1"/>
        <v>5.9538657655140889E-6</v>
      </c>
      <c r="J350" s="51">
        <f ca="1"/>
        <v>8.1721870235427361E-7</v>
      </c>
      <c r="K350" s="51">
        <f ca="1"/>
        <v>1806140473486.1917</v>
      </c>
      <c r="L350" s="51">
        <f ca="1"/>
        <v>262802562255.97137</v>
      </c>
      <c r="M350" s="51">
        <f ca="1"/>
        <v>0</v>
      </c>
      <c r="N350" s="51">
        <f ca="1"/>
        <v>0</v>
      </c>
      <c r="O350" s="51">
        <f ca="1"/>
        <v>5.0293154990323446E-16</v>
      </c>
      <c r="P350" s="51">
        <f ca="1"/>
        <v>0</v>
      </c>
      <c r="Q350" s="51">
        <f ca="1"/>
        <v>5.2046669423495006E-21</v>
      </c>
      <c r="R350" s="51">
        <f ca="1"/>
        <v>0</v>
      </c>
      <c r="S350" s="51">
        <f ca="1"/>
        <v>0</v>
      </c>
      <c r="T350" s="51">
        <f ca="1"/>
        <v>2.6352264556176639E-5</v>
      </c>
      <c r="U350" s="51">
        <f ca="1"/>
        <v>8.8064127957994265E-11</v>
      </c>
      <c r="V350" s="51">
        <f ca="1"/>
        <v>528199039.25947934</v>
      </c>
      <c r="W350" s="51">
        <f ca="1"/>
        <v>488403428587.09583</v>
      </c>
      <c r="X350" s="51">
        <f ca="1"/>
        <v>592649069.59370518</v>
      </c>
      <c r="Y350" s="51">
        <f ca="1"/>
        <v>547997660019.07544</v>
      </c>
    </row>
    <row r="351" spans="2:25" x14ac:dyDescent="0.25">
      <c r="B351" s="50" t="s">
        <v>105</v>
      </c>
      <c r="C351" s="51" cm="1">
        <f t="array" aca="1" ref="C351:I351" ca="1">IF(OFFSET($C$5,0,0,1,$C$1)="DonnanFA",-D344,OFFSET(C337,0,0,1,$C$1))</f>
        <v>-3250720760630.5361</v>
      </c>
      <c r="D351" s="51">
        <f ca="1"/>
        <v>-73135133167196.609</v>
      </c>
      <c r="E351" s="51">
        <f ca="1"/>
        <v>216573016.88689527</v>
      </c>
      <c r="F351" s="51">
        <f ca="1"/>
        <v>0</v>
      </c>
      <c r="G351" s="51">
        <f ca="1"/>
        <v>-488931627626.35529</v>
      </c>
      <c r="H351" s="51">
        <f ca="1"/>
        <v>1.76789958136091</v>
      </c>
      <c r="I351" s="51">
        <f ca="1"/>
        <v>56524.425326938886</v>
      </c>
    </row>
    <row r="352" spans="2:25" x14ac:dyDescent="0.25">
      <c r="B352" s="50" t="s">
        <v>222</v>
      </c>
      <c r="C352" s="51" cm="1">
        <f t="array" aca="1" ref="C352:I352" ca="1">OFFSET(C348,0,0,1,$C$1)*_xlfn.ANCHORARRAY(C351)</f>
        <v>-3250720760630.5361</v>
      </c>
      <c r="D352" s="51">
        <f ca="1"/>
        <v>-73135133167196.609</v>
      </c>
      <c r="E352" s="51">
        <f ca="1"/>
        <v>216573016.88689527</v>
      </c>
      <c r="F352" s="51">
        <f ca="1"/>
        <v>0</v>
      </c>
      <c r="G352" s="51">
        <f ca="1"/>
        <v>-8.6332765223108704E-3</v>
      </c>
      <c r="H352" s="51">
        <f ca="1"/>
        <v>1.76789958136091</v>
      </c>
      <c r="I352" s="51">
        <f ca="1"/>
        <v>56524.425326938886</v>
      </c>
    </row>
    <row r="353" spans="2:9" x14ac:dyDescent="0.25">
      <c r="B353" s="50" t="s">
        <v>222</v>
      </c>
      <c r="C353" s="51" cm="1">
        <f t="array" aca="1" ref="C353:I353" ca="1">IF(OFFSET($C$6,0,0,1,$C$1)="FixedAct",MMULT((_xlfn.ANCHORARRAY(C349)*_xlfn.ANCHORARRAY(C348)),OFFSET($C$29,0,0,$C$2,$C$1)),_xlfn.ANCHORARRAY(C352))</f>
        <v>-3250720760630.5361</v>
      </c>
      <c r="D353" s="51">
        <f ca="1"/>
        <v>-73135133167196.609</v>
      </c>
      <c r="E353" s="51">
        <f ca="1"/>
        <v>216573016.88689527</v>
      </c>
      <c r="F353" s="51">
        <f ca="1"/>
        <v>-3392252719289.8853</v>
      </c>
      <c r="G353" s="51">
        <f ca="1"/>
        <v>-8.6332765223108704E-3</v>
      </c>
      <c r="H353" s="51">
        <f ca="1"/>
        <v>1.76789958136091</v>
      </c>
      <c r="I353" s="51">
        <f ca="1"/>
        <v>56524.425326938886</v>
      </c>
    </row>
    <row r="354" spans="2:9" x14ac:dyDescent="0.25">
      <c r="B354" s="50" t="s">
        <v>105</v>
      </c>
      <c r="C354" s="51" cm="1">
        <f t="array" aca="1" ref="C354:I354" ca="1">_xlfn.ANCHORARRAY(C353)*OFFSET(C348,0,0,1,$C$1)</f>
        <v>-3250720760630.5361</v>
      </c>
      <c r="D354" s="51">
        <f ca="1"/>
        <v>-73135133167196.609</v>
      </c>
      <c r="E354" s="51">
        <f ca="1"/>
        <v>216573016.88689527</v>
      </c>
      <c r="F354" s="51">
        <f ca="1"/>
        <v>-3392252719289.8853</v>
      </c>
      <c r="G354" s="51">
        <f ca="1"/>
        <v>-1.5244148526968075E-16</v>
      </c>
      <c r="H354" s="51">
        <f ca="1"/>
        <v>1.76789958136091</v>
      </c>
      <c r="I354" s="51">
        <f ca="1"/>
        <v>56524.425326938886</v>
      </c>
    </row>
    <row r="355" spans="2:9" x14ac:dyDescent="0.25">
      <c r="B355" s="50" t="s">
        <v>239</v>
      </c>
      <c r="C355" s="51" cm="1">
        <f t="array" aca="1" ref="C355:I355" ca="1">MMULT((_xlfn.ANCHORARRAY(C349)*_xlfn.ANCHORARRAY(C348)),OFFSET($C$29,0,0,$C$2,$C$1))</f>
        <v>6357185734842.3877</v>
      </c>
      <c r="D355" s="51">
        <f ca="1"/>
        <v>73135133390876.484</v>
      </c>
      <c r="E355" s="51">
        <f ca="1"/>
        <v>262802562256.00754</v>
      </c>
      <c r="F355" s="51">
        <f ca="1"/>
        <v>-3392252719289.8853</v>
      </c>
      <c r="G355" s="51">
        <f ca="1"/>
        <v>5.0293675457017685E-16</v>
      </c>
      <c r="H355" s="51">
        <f ca="1"/>
        <v>1120848108.8532109</v>
      </c>
      <c r="I355" s="51">
        <f ca="1"/>
        <v>1036401088606.1713</v>
      </c>
    </row>
    <row r="356" spans="2:9" x14ac:dyDescent="0.25">
      <c r="B356" s="50" t="s">
        <v>103</v>
      </c>
      <c r="C356" s="51" cm="1">
        <f t="array" aca="1" ref="C356:I356" ca="1">_xlfn.ANCHORARRAY(C355)/OFFSET(C348,0,0,1,$C$1)</f>
        <v>6357185734842.3877</v>
      </c>
      <c r="D356" s="51">
        <f ca="1"/>
        <v>73135133390876.484</v>
      </c>
      <c r="E356" s="51">
        <f ca="1"/>
        <v>262802562256.00754</v>
      </c>
      <c r="F356" s="51">
        <f ca="1"/>
        <v>-3392252719289.8853</v>
      </c>
      <c r="G356" s="51">
        <f ca="1"/>
        <v>2.8483008203158168E-2</v>
      </c>
      <c r="H356" s="51">
        <f ca="1"/>
        <v>1120848108.8532109</v>
      </c>
      <c r="I356" s="51">
        <f ca="1"/>
        <v>1036401088606.1713</v>
      </c>
    </row>
    <row r="357" spans="2:9" x14ac:dyDescent="0.25">
      <c r="B357" s="50" t="s">
        <v>104</v>
      </c>
      <c r="C357" s="51" cm="1">
        <f t="array" aca="1" ref="C357:I357" ca="1">IF(OFFSET($C$6,0,0,1,$C$1)="FixedAct",0,_xlfn.ANCHORARRAY(C355)-_xlfn.ANCHORARRAY(C353))</f>
        <v>9607906495472.9238</v>
      </c>
      <c r="D357" s="51">
        <f ca="1"/>
        <v>146270266558073.09</v>
      </c>
      <c r="E357" s="51">
        <f ca="1"/>
        <v>262585989239.12064</v>
      </c>
      <c r="F357" s="51">
        <f ca="1"/>
        <v>0</v>
      </c>
      <c r="G357" s="51">
        <f ca="1"/>
        <v>8.6332765223113735E-3</v>
      </c>
      <c r="H357" s="51">
        <f ca="1"/>
        <v>1120848107.0853114</v>
      </c>
      <c r="I357" s="51">
        <f ca="1"/>
        <v>1036401032081.746</v>
      </c>
    </row>
    <row r="358" spans="2:9" x14ac:dyDescent="0.25">
      <c r="B358" s="50" t="s">
        <v>240</v>
      </c>
      <c r="C358" s="51" cm="1">
        <f t="array" aca="1" ref="C358:I358" ca="1">ABS(_xlfn.ANCHORARRAY(C357)/_xlfn.ANCHORARRAY(C353))</f>
        <v>2.9556234456783352</v>
      </c>
      <c r="D358" s="51">
        <f ca="1"/>
        <v>2.0000000030584464</v>
      </c>
      <c r="E358" s="51">
        <f ca="1"/>
        <v>1212.459395974779</v>
      </c>
      <c r="F358" s="51">
        <f ca="1"/>
        <v>0</v>
      </c>
      <c r="G358" s="51">
        <f ca="1"/>
        <v>1.0000000000000582</v>
      </c>
      <c r="H358" s="51">
        <f ca="1"/>
        <v>633999871.31763148</v>
      </c>
      <c r="I358" s="51">
        <f ca="1"/>
        <v>18335454.559461202</v>
      </c>
    </row>
    <row r="359" spans="2:9" x14ac:dyDescent="0.25">
      <c r="B359" s="50" t="s">
        <v>58</v>
      </c>
      <c r="C359" s="51">
        <f ca="1">MAX(_xlfn.ANCHORARRAY(C358))</f>
        <v>633999871.31763148</v>
      </c>
    </row>
    <row r="361" spans="2:9" hidden="1" x14ac:dyDescent="0.25">
      <c r="B361" s="50" t="s">
        <v>253</v>
      </c>
    </row>
    <row r="362" spans="2:9" hidden="1" x14ac:dyDescent="0.25">
      <c r="B362" s="50" t="s">
        <v>242</v>
      </c>
      <c r="C362" s="51" cm="1">
        <f t="array" ref="C362:I362">_xlfn.SEQUENCE(1,$C$1,0,1)</f>
        <v>0</v>
      </c>
      <c r="D362" s="51">
        <v>1</v>
      </c>
      <c r="E362" s="51">
        <v>2</v>
      </c>
      <c r="F362" s="51">
        <v>3</v>
      </c>
      <c r="G362" s="51">
        <v>4</v>
      </c>
      <c r="H362" s="51">
        <v>5</v>
      </c>
      <c r="I362" s="51">
        <v>6</v>
      </c>
    </row>
    <row r="363" spans="2:9" hidden="1" x14ac:dyDescent="0.25">
      <c r="B363" s="51" cm="1">
        <f t="array" ref="B363:B369">_xlfn.SEQUENCE($C$1,1,0,1)</f>
        <v>0</v>
      </c>
      <c r="C363" s="51" cm="1">
        <f t="array" aca="1" ref="C363:I369" ca="1">MMULT(TRANSPOSE(_xlfn.MAKEARRAY($C$2,$C$1,_xlfn.LAMBDA(_xlpm.row,_xlpm.col,OFFSET(C350,0,_xlpm.col-1)))*OFFSET($C$29,0,0,$C$2,$C$1)),OFFSET($C$29,0,0,$C$2,$C$1)*_xlfn.MAKEARRAY($C$2,$C$1,_xlfn.LAMBDA(_xlpm.row,_xlpm.col,1/OFFSET(C350,0,_xlpm.col-1))))</f>
        <v>10</v>
      </c>
      <c r="D363" s="51">
        <f ca="1"/>
        <v>0</v>
      </c>
      <c r="E363" s="51">
        <f ca="1"/>
        <v>179843076583492.56</v>
      </c>
      <c r="F363" s="51">
        <f ca="1"/>
        <v>-9.6620582654697839E+20</v>
      </c>
      <c r="G363" s="51">
        <f ca="1"/>
        <v>7.36397213365918E+26</v>
      </c>
      <c r="H363" s="51">
        <f ca="1"/>
        <v>2.3560891480016517E+23</v>
      </c>
      <c r="I363" s="51">
        <f ca="1"/>
        <v>1.0919697858201595E+18</v>
      </c>
    </row>
    <row r="364" spans="2:9" hidden="1" x14ac:dyDescent="0.25">
      <c r="B364" s="50">
        <v>1</v>
      </c>
      <c r="C364" s="51">
        <f ca="1"/>
        <v>0</v>
      </c>
      <c r="D364" s="51">
        <f ca="1"/>
        <v>2</v>
      </c>
      <c r="E364" s="51">
        <f ca="1"/>
        <v>0</v>
      </c>
      <c r="F364" s="51">
        <f ca="1"/>
        <v>0</v>
      </c>
      <c r="G364" s="51">
        <f ca="1"/>
        <v>4.1418897811349699E+27</v>
      </c>
      <c r="H364" s="51">
        <f ca="1"/>
        <v>0</v>
      </c>
      <c r="I364" s="51">
        <f ca="1"/>
        <v>0</v>
      </c>
    </row>
    <row r="365" spans="2:9" hidden="1" x14ac:dyDescent="0.25">
      <c r="B365" s="50">
        <v>2</v>
      </c>
      <c r="C365" s="51">
        <f ca="1"/>
        <v>2.2241612387802934E-14</v>
      </c>
      <c r="D365" s="51">
        <f ca="1"/>
        <v>0</v>
      </c>
      <c r="E365" s="51">
        <f ca="1"/>
        <v>4</v>
      </c>
      <c r="F365" s="51">
        <f ca="1"/>
        <v>0</v>
      </c>
      <c r="G365" s="51">
        <f ca="1"/>
        <v>4094665345785.7412</v>
      </c>
      <c r="H365" s="51">
        <f ca="1"/>
        <v>0</v>
      </c>
      <c r="I365" s="51">
        <f ca="1"/>
        <v>0</v>
      </c>
    </row>
    <row r="366" spans="2:9" hidden="1" x14ac:dyDescent="0.25">
      <c r="B366" s="50">
        <v>3</v>
      </c>
      <c r="C366" s="51">
        <f ca="1"/>
        <v>-6.6238474496394712E-20</v>
      </c>
      <c r="D366" s="51">
        <f ca="1"/>
        <v>0</v>
      </c>
      <c r="E366" s="51">
        <f ca="1"/>
        <v>0</v>
      </c>
      <c r="F366" s="51">
        <f ca="1"/>
        <v>17.999999999999996</v>
      </c>
      <c r="G366" s="51">
        <f ca="1"/>
        <v>-1524307.126148578</v>
      </c>
      <c r="H366" s="51">
        <f ca="1"/>
        <v>-3901.5937735284938</v>
      </c>
      <c r="I366" s="51">
        <f ca="1"/>
        <v>-1.8082603202220555E-2</v>
      </c>
    </row>
    <row r="367" spans="2:9" hidden="1" x14ac:dyDescent="0.25">
      <c r="B367" s="50">
        <v>4</v>
      </c>
      <c r="C367" s="51">
        <f ca="1"/>
        <v>2.1727404326894908E-26</v>
      </c>
      <c r="D367" s="51">
        <f ca="1"/>
        <v>2.4143568584434367E-28</v>
      </c>
      <c r="E367" s="51">
        <f ca="1"/>
        <v>9.7688081008056702E-13</v>
      </c>
      <c r="F367" s="51">
        <f ca="1"/>
        <v>-6.5603577051212152E-7</v>
      </c>
      <c r="G367" s="51">
        <f ca="1"/>
        <v>10</v>
      </c>
      <c r="H367" s="51">
        <f ca="1"/>
        <v>0</v>
      </c>
      <c r="I367" s="51">
        <f ca="1"/>
        <v>0</v>
      </c>
    </row>
    <row r="368" spans="2:9" hidden="1" x14ac:dyDescent="0.25">
      <c r="B368" s="50">
        <v>5</v>
      </c>
      <c r="C368" s="51">
        <f ca="1"/>
        <v>1.6977286294080396E-23</v>
      </c>
      <c r="D368" s="51">
        <f ca="1"/>
        <v>0</v>
      </c>
      <c r="E368" s="51">
        <f ca="1"/>
        <v>0</v>
      </c>
      <c r="F368" s="51">
        <f ca="1"/>
        <v>-4.1008882340741589E-3</v>
      </c>
      <c r="G368" s="51">
        <f ca="1"/>
        <v>0</v>
      </c>
      <c r="H368" s="51">
        <f ca="1"/>
        <v>4</v>
      </c>
      <c r="I368" s="51">
        <f ca="1"/>
        <v>0</v>
      </c>
    </row>
    <row r="369" spans="2:9" hidden="1" x14ac:dyDescent="0.25">
      <c r="B369" s="50">
        <v>6</v>
      </c>
      <c r="C369" s="51">
        <f ca="1"/>
        <v>3.6631050162213692E-18</v>
      </c>
      <c r="D369" s="51">
        <f ca="1"/>
        <v>0</v>
      </c>
      <c r="E369" s="51">
        <f ca="1"/>
        <v>0</v>
      </c>
      <c r="F369" s="51">
        <f ca="1"/>
        <v>-884.82835248163758</v>
      </c>
      <c r="G369" s="51">
        <f ca="1"/>
        <v>0</v>
      </c>
      <c r="H369" s="51">
        <f ca="1"/>
        <v>0</v>
      </c>
      <c r="I369" s="51">
        <f ca="1"/>
        <v>4</v>
      </c>
    </row>
    <row r="370" spans="2:9" hidden="1" x14ac:dyDescent="0.25">
      <c r="B370" s="50" t="s">
        <v>244</v>
      </c>
      <c r="C370" s="51" cm="1">
        <f t="array" aca="1" ref="C370:I376" ca="1">MINVERSE(_xlfn.ANCHORARRAY(C363))</f>
        <v>0.21761658031088085</v>
      </c>
      <c r="D370" s="51">
        <f ca="1"/>
        <v>1.4969581356329218E-3</v>
      </c>
      <c r="E370" s="51">
        <f ca="1"/>
        <v>-6755763239535.3438</v>
      </c>
      <c r="F370" s="51">
        <f ca="1"/>
        <v>9.6996051240143585E+18</v>
      </c>
      <c r="G370" s="51">
        <f ca="1"/>
        <v>-1.2400471209529707E+25</v>
      </c>
      <c r="H370" s="51">
        <f ca="1"/>
        <v>-3.3571218430075297E+21</v>
      </c>
      <c r="I370" s="51">
        <f ca="1"/>
        <v>-1.5559154979302676E+16</v>
      </c>
    </row>
    <row r="371" spans="2:9" hidden="1" x14ac:dyDescent="0.25">
      <c r="C371" s="51">
        <f ca="1"/>
        <v>0.75770899052979157</v>
      </c>
      <c r="D371" s="51">
        <f ca="1"/>
        <v>0.53497409326424872</v>
      </c>
      <c r="E371" s="51">
        <f ca="1"/>
        <v>36687731233959.656</v>
      </c>
      <c r="F371" s="51">
        <f ca="1"/>
        <v>1.7598625997041275E+19</v>
      </c>
      <c r="G371" s="51">
        <f ca="1"/>
        <v>-2.8971767899130618E+26</v>
      </c>
      <c r="H371" s="51">
        <f ca="1"/>
        <v>-2.7465075845084918E+22</v>
      </c>
      <c r="I371" s="51">
        <f ca="1"/>
        <v>-1.2729158832350893E+17</v>
      </c>
    </row>
    <row r="372" spans="2:9" hidden="1" x14ac:dyDescent="0.25">
      <c r="B372" s="51"/>
      <c r="C372" s="51">
        <f ca="1"/>
        <v>-8.3550098347964404E-16</v>
      </c>
      <c r="D372" s="51">
        <f ca="1"/>
        <v>8.9639745497926557E-18</v>
      </c>
      <c r="E372" s="51">
        <f ca="1"/>
        <v>0.30569948186528495</v>
      </c>
      <c r="F372" s="51">
        <f ca="1"/>
        <v>-45234.728181934966</v>
      </c>
      <c r="G372" s="51">
        <f ca="1"/>
        <v>-74255589172.280304</v>
      </c>
      <c r="H372" s="51">
        <f ca="1"/>
        <v>5090986.552554599</v>
      </c>
      <c r="I372" s="51">
        <f ca="1"/>
        <v>23.595047327142076</v>
      </c>
    </row>
    <row r="373" spans="2:9" hidden="1" x14ac:dyDescent="0.25">
      <c r="C373" s="51">
        <f ca="1"/>
        <v>6.6495877894696805E-22</v>
      </c>
      <c r="D373" s="51">
        <f ca="1"/>
        <v>2.3835630598387498E-24</v>
      </c>
      <c r="E373" s="51">
        <f ca="1"/>
        <v>-2.507495199824723E-8</v>
      </c>
      <c r="F373" s="51">
        <f ca="1"/>
        <v>0.13082901554404147</v>
      </c>
      <c r="G373" s="51">
        <f ca="1"/>
        <v>-19744.910960473826</v>
      </c>
      <c r="H373" s="51">
        <f ca="1"/>
        <v>88.44286403723919</v>
      </c>
      <c r="I373" s="51">
        <f ca="1"/>
        <v>4.0990356999852303E-4</v>
      </c>
    </row>
    <row r="374" spans="2:9" hidden="1" x14ac:dyDescent="0.25">
      <c r="C374" s="51">
        <f ca="1"/>
        <v>-3.6587597959797109E-28</v>
      </c>
      <c r="D374" s="51">
        <f ca="1"/>
        <v>-1.6887988388075853E-29</v>
      </c>
      <c r="E374" s="51">
        <f ca="1"/>
        <v>-1.7715455105087998E-14</v>
      </c>
      <c r="F374" s="51">
        <f ca="1"/>
        <v>-8.4978726750275134E-9</v>
      </c>
      <c r="G374" s="51">
        <f ca="1"/>
        <v>0.13989637305699482</v>
      </c>
      <c r="H374" s="51">
        <f ca="1"/>
        <v>1.3262098846849989E-5</v>
      </c>
      <c r="I374" s="51">
        <f ca="1"/>
        <v>6.1465463858204455E-11</v>
      </c>
    </row>
    <row r="375" spans="2:9" hidden="1" x14ac:dyDescent="0.25">
      <c r="C375" s="51">
        <f ca="1"/>
        <v>-2.4190433838715568E-25</v>
      </c>
      <c r="D375" s="51">
        <f ca="1"/>
        <v>-3.9098902829066056E-27</v>
      </c>
      <c r="E375" s="51">
        <f ca="1"/>
        <v>2.9662377582572937E-12</v>
      </c>
      <c r="F375" s="51">
        <f ca="1"/>
        <v>9.2960549347536012E-5</v>
      </c>
      <c r="G375" s="51">
        <f ca="1"/>
        <v>32.388669216259572</v>
      </c>
      <c r="H375" s="51">
        <f ca="1"/>
        <v>0.35492227979274615</v>
      </c>
      <c r="I375" s="51">
        <f ca="1"/>
        <v>4.8628023897238133E-7</v>
      </c>
    </row>
    <row r="376" spans="2:9" hidden="1" x14ac:dyDescent="0.25">
      <c r="C376" s="51">
        <f ca="1"/>
        <v>-5.2194501526470233E-20</v>
      </c>
      <c r="D376" s="51">
        <f ca="1"/>
        <v>-8.4361767010928332E-22</v>
      </c>
      <c r="E376" s="51">
        <f ca="1"/>
        <v>6.4001043649514991E-7</v>
      </c>
      <c r="F376" s="51">
        <f ca="1"/>
        <v>20.057637523871321</v>
      </c>
      <c r="G376" s="51">
        <f ca="1"/>
        <v>6988342.8140210658</v>
      </c>
      <c r="H376" s="51">
        <f ca="1"/>
        <v>22638.56088450376</v>
      </c>
      <c r="I376" s="51">
        <f ca="1"/>
        <v>0.35492227979274599</v>
      </c>
    </row>
    <row r="377" spans="2:9" hidden="1" x14ac:dyDescent="0.25">
      <c r="C377" s="51" cm="1">
        <f t="array" aca="1" ref="C377:I377" ca="1">TRANSPOSE(MMULT(_xlfn.ANCHORARRAY(C370),TRANSPOSE(_xlfn.ANCHORARRAY(C357))))</f>
        <v>-3.7789510682940811E+30</v>
      </c>
      <c r="D377" s="51">
        <f ca="1"/>
        <v>-3.0916096272960387E+31</v>
      </c>
      <c r="E377" s="51">
        <f ca="1"/>
        <v>5730756203361287</v>
      </c>
      <c r="F377" s="51">
        <f ca="1"/>
        <v>99555834469.54921</v>
      </c>
      <c r="G377" s="51">
        <f ca="1"/>
        <v>14928.497814583896</v>
      </c>
      <c r="H377" s="51">
        <f ca="1"/>
        <v>398317947.86816758</v>
      </c>
      <c r="I377" s="51">
        <f ca="1"/>
        <v>25742230160007.691</v>
      </c>
    </row>
    <row r="378" spans="2:9" hidden="1" x14ac:dyDescent="0.25">
      <c r="B378" s="50" t="s">
        <v>245</v>
      </c>
      <c r="C378" s="51" cm="1">
        <f t="array" aca="1" ref="C378:H378" ca="1">_xlfn._xlws.FILTER(_xlfn.ANCHORARRAY(C362),OFFSET($C$6,0,0,1,$C$1)&lt;&gt;"FixedAct")</f>
        <v>0</v>
      </c>
      <c r="D378" s="51">
        <f ca="1"/>
        <v>1</v>
      </c>
      <c r="E378" s="51">
        <f ca="1"/>
        <v>2</v>
      </c>
      <c r="F378" s="51">
        <f ca="1"/>
        <v>4</v>
      </c>
      <c r="G378" s="51">
        <f ca="1"/>
        <v>5</v>
      </c>
      <c r="H378" s="51">
        <f ca="1"/>
        <v>6</v>
      </c>
    </row>
    <row r="379" spans="2:9" hidden="1" x14ac:dyDescent="0.25">
      <c r="B379" s="51" cm="1">
        <f t="array" aca="1" ref="B379:B384" ca="1">TRANSPOSE(_xlfn.ANCHORARRAY(C378))</f>
        <v>0</v>
      </c>
      <c r="C379" s="52">
        <f ca="1">IF(OFFSET($C$6,0,C$114)="FixedAct",0,IF(OFFSET($C$6,0,$B379)="FixedAct",0,C363))</f>
        <v>10</v>
      </c>
      <c r="D379" s="52">
        <f ca="1">IF(OFFSET($C$6,0,D$114)="FixedAct",0,IF(OFFSET($C$6,0,$B379)="FixedAct",0,D363))</f>
        <v>0</v>
      </c>
      <c r="E379" s="52">
        <f ca="1">IF(OFFSET($C$6,0,E$114)="FixedAct",0,IF(OFFSET($C$6,0,$B379)="FixedAct",0,E363))</f>
        <v>179843076583492.56</v>
      </c>
      <c r="F379" s="52">
        <f ca="1">IF(OFFSET($C$6,0,F$114)="FixedAct",0,IF(OFFSET($C$6,0,$B379)="FixedAct",0,G363))</f>
        <v>7.36397213365918E+26</v>
      </c>
      <c r="G379" s="52">
        <f ca="1">IF(OFFSET($C$6,0,G$114)="FixedAct",0,IF(OFFSET($C$6,0,$B379)="FixedAct",0,H363))</f>
        <v>2.3560891480016517E+23</v>
      </c>
      <c r="H379" s="52">
        <f ca="1">IF(OFFSET($C$6,0,H$114)="FixedAct",0,IF(OFFSET($C$6,0,$B379)="FixedAct",0,I363))</f>
        <v>1.0919697858201595E+18</v>
      </c>
      <c r="I379" s="52"/>
    </row>
    <row r="380" spans="2:9" hidden="1" x14ac:dyDescent="0.25">
      <c r="B380" s="51">
        <f ca="1"/>
        <v>1</v>
      </c>
      <c r="C380" s="52">
        <f ca="1">IF(OFFSET($C$6,0,C$114)="FixedAct",0,IF(OFFSET($C$6,0,$B380)="FixedAct",0,C364))</f>
        <v>0</v>
      </c>
      <c r="D380" s="52">
        <f ca="1">IF(OFFSET($C$6,0,D$114)="FixedAct",0,IF(OFFSET($C$6,0,$B380)="FixedAct",0,D364))</f>
        <v>2</v>
      </c>
      <c r="E380" s="52">
        <f ca="1">IF(OFFSET($C$6,0,E$114)="FixedAct",0,IF(OFFSET($C$6,0,$B380)="FixedAct",0,E364))</f>
        <v>0</v>
      </c>
      <c r="F380" s="52">
        <f ca="1">IF(OFFSET($C$6,0,F$114)="FixedAct",0,IF(OFFSET($C$6,0,$B380)="FixedAct",0,G364))</f>
        <v>4.1418897811349699E+27</v>
      </c>
      <c r="G380" s="52">
        <f ca="1">IF(OFFSET($C$6,0,G$114)="FixedAct",0,IF(OFFSET($C$6,0,$B380)="FixedAct",0,H364))</f>
        <v>0</v>
      </c>
      <c r="H380" s="52">
        <f ca="1">IF(OFFSET($C$6,0,H$114)="FixedAct",0,IF(OFFSET($C$6,0,$B380)="FixedAct",0,I364))</f>
        <v>0</v>
      </c>
      <c r="I380" s="52"/>
    </row>
    <row r="381" spans="2:9" hidden="1" x14ac:dyDescent="0.25">
      <c r="B381" s="51">
        <f ca="1"/>
        <v>2</v>
      </c>
      <c r="C381" s="52">
        <f ca="1">IF(OFFSET($C$6,0,C$114)="FixedAct",0,IF(OFFSET($C$6,0,$B381)="FixedAct",0,C365))</f>
        <v>2.2241612387802934E-14</v>
      </c>
      <c r="D381" s="52">
        <f ca="1">IF(OFFSET($C$6,0,D$114)="FixedAct",0,IF(OFFSET($C$6,0,$B381)="FixedAct",0,D365))</f>
        <v>0</v>
      </c>
      <c r="E381" s="52">
        <f ca="1">IF(OFFSET($C$6,0,E$114)="FixedAct",0,IF(OFFSET($C$6,0,$B381)="FixedAct",0,E365))</f>
        <v>4</v>
      </c>
      <c r="F381" s="52">
        <f ca="1">IF(OFFSET($C$6,0,F$114)="FixedAct",0,IF(OFFSET($C$6,0,$B381)="FixedAct",0,G365))</f>
        <v>4094665345785.7412</v>
      </c>
      <c r="G381" s="52">
        <f ca="1">IF(OFFSET($C$6,0,G$114)="FixedAct",0,IF(OFFSET($C$6,0,$B381)="FixedAct",0,H365))</f>
        <v>0</v>
      </c>
      <c r="H381" s="52">
        <f ca="1">IF(OFFSET($C$6,0,H$114)="FixedAct",0,IF(OFFSET($C$6,0,$B381)="FixedAct",0,I365))</f>
        <v>0</v>
      </c>
      <c r="I381" s="52"/>
    </row>
    <row r="382" spans="2:9" hidden="1" x14ac:dyDescent="0.25">
      <c r="B382" s="51">
        <f ca="1"/>
        <v>4</v>
      </c>
      <c r="C382" s="52">
        <f ca="1">IF(OFFSET($C$6,0,C$114)="FixedAct",0,IF(OFFSET($C$6,0,$B382)="FixedAct",0,C367))</f>
        <v>2.1727404326894908E-26</v>
      </c>
      <c r="D382" s="52">
        <f ca="1">IF(OFFSET($C$6,0,D$114)="FixedAct",0,IF(OFFSET($C$6,0,$B382)="FixedAct",0,D367))</f>
        <v>2.4143568584434367E-28</v>
      </c>
      <c r="E382" s="52">
        <f ca="1">IF(OFFSET($C$6,0,E$114)="FixedAct",0,IF(OFFSET($C$6,0,$B382)="FixedAct",0,E367))</f>
        <v>9.7688081008056702E-13</v>
      </c>
      <c r="F382" s="52">
        <f ca="1">IF(OFFSET($C$6,0,F$114)="FixedAct",0,IF(OFFSET($C$6,0,$B382)="FixedAct",0,G367))</f>
        <v>10</v>
      </c>
      <c r="G382" s="52">
        <f ca="1">IF(OFFSET($C$6,0,G$114)="FixedAct",0,IF(OFFSET($C$6,0,$B382)="FixedAct",0,H367))</f>
        <v>0</v>
      </c>
      <c r="H382" s="52">
        <f ca="1">IF(OFFSET($C$6,0,H$114)="FixedAct",0,IF(OFFSET($C$6,0,$B382)="FixedAct",0,I367))</f>
        <v>0</v>
      </c>
      <c r="I382" s="52"/>
    </row>
    <row r="383" spans="2:9" hidden="1" x14ac:dyDescent="0.25">
      <c r="B383" s="51">
        <f ca="1"/>
        <v>5</v>
      </c>
      <c r="C383" s="52">
        <f ca="1">IF(OFFSET($C$6,0,C$114)="FixedAct",0,IF(OFFSET($C$6,0,$B383)="FixedAct",0,C368))</f>
        <v>1.6977286294080396E-23</v>
      </c>
      <c r="D383" s="52">
        <f ca="1">IF(OFFSET($C$6,0,D$114)="FixedAct",0,IF(OFFSET($C$6,0,$B383)="FixedAct",0,D368))</f>
        <v>0</v>
      </c>
      <c r="E383" s="52">
        <f ca="1">IF(OFFSET($C$6,0,E$114)="FixedAct",0,IF(OFFSET($C$6,0,$B383)="FixedAct",0,E368))</f>
        <v>0</v>
      </c>
      <c r="F383" s="52">
        <f ca="1">IF(OFFSET($C$6,0,F$114)="FixedAct",0,IF(OFFSET($C$6,0,$B383)="FixedAct",0,G368))</f>
        <v>0</v>
      </c>
      <c r="G383" s="52">
        <f ca="1">IF(OFFSET($C$6,0,G$114)="FixedAct",0,IF(OFFSET($C$6,0,$B383)="FixedAct",0,H368))</f>
        <v>4</v>
      </c>
      <c r="H383" s="52">
        <f ca="1">IF(OFFSET($C$6,0,H$114)="FixedAct",0,IF(OFFSET($C$6,0,$B383)="FixedAct",0,I368))</f>
        <v>0</v>
      </c>
      <c r="I383" s="52"/>
    </row>
    <row r="384" spans="2:9" hidden="1" x14ac:dyDescent="0.25">
      <c r="B384" s="51">
        <f ca="1"/>
        <v>6</v>
      </c>
      <c r="C384" s="52">
        <f ca="1">IF(OFFSET($C$6,0,C$114)="FixedAct",0,IF(OFFSET($C$6,0,$B384)="FixedAct",0,C369))</f>
        <v>3.6631050162213692E-18</v>
      </c>
      <c r="D384" s="52">
        <f ca="1">IF(OFFSET($C$6,0,D$114)="FixedAct",0,IF(OFFSET($C$6,0,$B384)="FixedAct",0,D369))</f>
        <v>0</v>
      </c>
      <c r="E384" s="52">
        <f ca="1">IF(OFFSET($C$6,0,E$114)="FixedAct",0,IF(OFFSET($C$6,0,$B384)="FixedAct",0,E369))</f>
        <v>0</v>
      </c>
      <c r="F384" s="52">
        <f ca="1">IF(OFFSET($C$6,0,F$114)="FixedAct",0,IF(OFFSET($C$6,0,$B384)="FixedAct",0,G369))</f>
        <v>0</v>
      </c>
      <c r="G384" s="52">
        <f ca="1">IF(OFFSET($C$6,0,G$114)="FixedAct",0,IF(OFFSET($C$6,0,$B384)="FixedAct",0,H369))</f>
        <v>0</v>
      </c>
      <c r="H384" s="52">
        <f ca="1">IF(OFFSET($C$6,0,H$114)="FixedAct",0,IF(OFFSET($C$6,0,$B384)="FixedAct",0,I369))</f>
        <v>4</v>
      </c>
      <c r="I384" s="52"/>
    </row>
    <row r="385" spans="2:25" hidden="1" x14ac:dyDescent="0.25">
      <c r="B385" s="50" t="s">
        <v>246</v>
      </c>
      <c r="C385" s="51" cm="1">
        <f t="array" aca="1" ref="C385:H390" ca="1">MINVERSE(C379:H384)</f>
        <v>0.1683168316831683</v>
      </c>
      <c r="D385" s="51">
        <f ca="1"/>
        <v>1.3202418286846328E-3</v>
      </c>
      <c r="E385" s="51">
        <f ca="1"/>
        <v>-4896717431728.7578</v>
      </c>
      <c r="F385" s="51">
        <f ca="1"/>
        <v>-1.0936592277711652E+25</v>
      </c>
      <c r="G385" s="51">
        <f ca="1"/>
        <v>-9.9142365138683355E+21</v>
      </c>
      <c r="H385" s="51">
        <f ca="1"/>
        <v>-4.5949223660749288E+16</v>
      </c>
    </row>
    <row r="386" spans="2:25" hidden="1" x14ac:dyDescent="0.25">
      <c r="C386" s="51">
        <f ca="1"/>
        <v>0.66826124221896277</v>
      </c>
      <c r="D386" s="51">
        <f ca="1"/>
        <v>0.53465346534653468</v>
      </c>
      <c r="E386" s="51">
        <f ca="1"/>
        <v>40060719254054.977</v>
      </c>
      <c r="F386" s="51">
        <f ca="1"/>
        <v>-2.8706166799945334E+26</v>
      </c>
      <c r="G386" s="51">
        <f ca="1"/>
        <v>-3.9362076520555066E+22</v>
      </c>
      <c r="H386" s="51">
        <f ca="1"/>
        <v>-1.8243027138443894E+17</v>
      </c>
    </row>
    <row r="387" spans="2:25" hidden="1" x14ac:dyDescent="0.25">
      <c r="C387" s="51">
        <f ca="1"/>
        <v>-6.0558845610354534E-16</v>
      </c>
      <c r="D387" s="51">
        <f ca="1"/>
        <v>9.7881023372559144E-18</v>
      </c>
      <c r="E387" s="51">
        <f ca="1"/>
        <v>0.29702970297029702</v>
      </c>
      <c r="F387" s="51">
        <f ca="1"/>
        <v>-81082482094.767181</v>
      </c>
      <c r="G387" s="51">
        <f ca="1"/>
        <v>35670509.73951593</v>
      </c>
      <c r="H387" s="51">
        <f ca="1"/>
        <v>165.32107417663724</v>
      </c>
    </row>
    <row r="388" spans="2:25" hidden="1" x14ac:dyDescent="0.25">
      <c r="C388" s="51">
        <f ca="1"/>
        <v>-3.2268422267665669E-28</v>
      </c>
      <c r="D388" s="51">
        <f ca="1"/>
        <v>-1.6733166345647581E-29</v>
      </c>
      <c r="E388" s="51">
        <f ca="1"/>
        <v>-1.9344174457040934E-14</v>
      </c>
      <c r="F388" s="51">
        <f ca="1"/>
        <v>0.1386138613861386</v>
      </c>
      <c r="G388" s="51">
        <f ca="1"/>
        <v>1.90068198819955E-5</v>
      </c>
      <c r="H388" s="51">
        <f ca="1"/>
        <v>8.8090355380943524E-11</v>
      </c>
    </row>
    <row r="389" spans="2:25" hidden="1" x14ac:dyDescent="0.25">
      <c r="C389" s="51">
        <f ca="1"/>
        <v>-7.1439075989942251E-25</v>
      </c>
      <c r="D389" s="51">
        <f ca="1"/>
        <v>-5.6035308757498139E-27</v>
      </c>
      <c r="E389" s="51">
        <f ca="1"/>
        <v>2.0783243434918302E-11</v>
      </c>
      <c r="F389" s="51">
        <f ca="1"/>
        <v>46.418414545084886</v>
      </c>
      <c r="G389" s="51">
        <f ca="1"/>
        <v>0.29207920792079206</v>
      </c>
      <c r="H389" s="51">
        <f ca="1"/>
        <v>1.9502328126981843E-7</v>
      </c>
    </row>
    <row r="390" spans="2:25" hidden="1" x14ac:dyDescent="0.25">
      <c r="C390" s="51">
        <f ca="1"/>
        <v>-1.5414055761327541E-19</v>
      </c>
      <c r="D390" s="51">
        <f ca="1"/>
        <v>-1.2090461163199881E-21</v>
      </c>
      <c r="E390" s="51">
        <f ca="1"/>
        <v>4.4842975467960583E-6</v>
      </c>
      <c r="F390" s="51">
        <f ca="1"/>
        <v>10015471.508213362</v>
      </c>
      <c r="G390" s="51">
        <f ca="1"/>
        <v>9079.2223764890405</v>
      </c>
      <c r="H390" s="51">
        <f ca="1"/>
        <v>0.29207920792079206</v>
      </c>
    </row>
    <row r="391" spans="2:25" hidden="1" x14ac:dyDescent="0.25">
      <c r="B391" s="50" t="s">
        <v>247</v>
      </c>
      <c r="C391" s="51" cm="1">
        <f t="array" aca="1" ref="C391:H391" ca="1">_xlfn._xlws.FILTER(OFFSET(C357,0,0,1,$C$1),OFFSET($C$6,0,0,1,$C$1)&lt;&gt;"FixedAct")</f>
        <v>9607906495472.9238</v>
      </c>
      <c r="D391" s="51">
        <f ca="1"/>
        <v>146270266558073.09</v>
      </c>
      <c r="E391" s="51">
        <f ca="1"/>
        <v>262585989239.12064</v>
      </c>
      <c r="F391" s="51">
        <f ca="1"/>
        <v>8.6332765223113735E-3</v>
      </c>
      <c r="G391" s="51">
        <f ca="1"/>
        <v>1120848107.0853114</v>
      </c>
      <c r="H391" s="51">
        <f ca="1"/>
        <v>1036401032081.746</v>
      </c>
    </row>
    <row r="392" spans="2:25" hidden="1" x14ac:dyDescent="0.25">
      <c r="B392" s="50" t="s">
        <v>248</v>
      </c>
      <c r="C392" s="51" cm="1">
        <f t="array" aca="1" ref="C392:H392" ca="1">TRANSPOSE(MMULT(_xlfn.ANCHORARRAY(C385),TRANSPOSE(_xlfn.ANCHORARRAY(C391))))</f>
        <v>-1.1159976432818772E+31</v>
      </c>
      <c r="D392" s="51">
        <f ca="1"/>
        <v>-4.4307971839456278E+31</v>
      </c>
      <c r="E392" s="51">
        <f ca="1"/>
        <v>4.0152639548037016E+16</v>
      </c>
      <c r="F392" s="51">
        <f ca="1"/>
        <v>21395.051138861989</v>
      </c>
      <c r="G392" s="51">
        <f ca="1"/>
        <v>327578555.5051164</v>
      </c>
      <c r="H392" s="51">
        <f ca="1"/>
        <v>10479141671013.115</v>
      </c>
    </row>
    <row r="393" spans="2:25" hidden="1" x14ac:dyDescent="0.25">
      <c r="B393" s="50" t="s">
        <v>243</v>
      </c>
      <c r="C393" s="51" cm="1">
        <f t="array" aca="1" ref="C393:I393" ca="1">_xlfn.XLOOKUP(_xlfn.ANCHORARRAY(C362),C378:H378,_xlfn.ANCHORARRAY(C392),0)</f>
        <v>-1.1159976432818772E+31</v>
      </c>
      <c r="D393" s="51">
        <f ca="1"/>
        <v>-4.4307971839456278E+31</v>
      </c>
      <c r="E393" s="51">
        <f ca="1"/>
        <v>4.0152639548037016E+16</v>
      </c>
      <c r="F393" s="51">
        <f ca="1"/>
        <v>0</v>
      </c>
      <c r="G393" s="51">
        <f ca="1"/>
        <v>21395.051138861989</v>
      </c>
      <c r="H393" s="51">
        <f ca="1"/>
        <v>327578555.5051164</v>
      </c>
      <c r="I393" s="51">
        <f ca="1"/>
        <v>10479141671013.115</v>
      </c>
    </row>
    <row r="394" spans="2:25" hidden="1" x14ac:dyDescent="0.25">
      <c r="B394" s="50" t="s">
        <v>226</v>
      </c>
      <c r="C394" s="51" cm="1">
        <f t="array" aca="1" ref="C394:I394" ca="1">IF(_xlfn.ANCHORARRAY(C393)&gt;=OFFSET(C349,0,0,1,$C$1),OFFSET(C349,0,0,1,$C$1)/10,OFFSET(C349,0,0,1,$C$1)-_xlfn.ANCHORARRAY(C393))</f>
        <v>1.1159976432818772E+31</v>
      </c>
      <c r="D394" s="51">
        <f ca="1"/>
        <v>4.4307971839456278E+31</v>
      </c>
      <c r="E394" s="51">
        <f ca="1"/>
        <v>3.6150635588977431E-3</v>
      </c>
      <c r="F394" s="51">
        <f ca="1"/>
        <v>2.6915348039269101E-8</v>
      </c>
      <c r="G394" s="51">
        <f ca="1"/>
        <v>0.1</v>
      </c>
      <c r="H394" s="51">
        <f ca="1"/>
        <v>2.7594208522562414E-12</v>
      </c>
      <c r="I394" s="51">
        <f ca="1"/>
        <v>5.9538657655140887E-7</v>
      </c>
    </row>
    <row r="395" spans="2:25" hidden="1" x14ac:dyDescent="0.25">
      <c r="B395" s="50" t="s">
        <v>228</v>
      </c>
      <c r="C395" s="51" cm="1">
        <f t="array" aca="1" ref="C395:Y395" ca="1">IF(OFFSET(C394,0,0,1,$C$2)=0,OFFSET(C349,0,0,1,$C$2),OFFSET(C394,0,0,1,$C$2))</f>
        <v>1.1159976432818772E+31</v>
      </c>
      <c r="D395" s="51">
        <f ca="1"/>
        <v>4.4307971839456278E+31</v>
      </c>
      <c r="E395" s="51">
        <f ca="1"/>
        <v>3.6150635588977431E-3</v>
      </c>
      <c r="F395" s="51">
        <f ca="1"/>
        <v>2.6915348039269101E-8</v>
      </c>
      <c r="G395" s="51">
        <f ca="1"/>
        <v>0.1</v>
      </c>
      <c r="H395" s="51">
        <f ca="1"/>
        <v>2.7594208522562414E-12</v>
      </c>
      <c r="I395" s="51">
        <f ca="1"/>
        <v>5.9538657655140887E-7</v>
      </c>
      <c r="J395" s="51">
        <f ca="1"/>
        <v>8.1721870235427361E-7</v>
      </c>
      <c r="K395" s="51">
        <f ca="1"/>
        <v>1806140473486.1917</v>
      </c>
      <c r="L395" s="51">
        <f ca="1"/>
        <v>262802562255.97137</v>
      </c>
      <c r="M395" s="51">
        <f ca="1"/>
        <v>0</v>
      </c>
      <c r="N395" s="51">
        <f ca="1"/>
        <v>0</v>
      </c>
      <c r="O395" s="51">
        <f ca="1"/>
        <v>2.8482713445278838E-2</v>
      </c>
      <c r="P395" s="51">
        <f ca="1"/>
        <v>0</v>
      </c>
      <c r="Q395" s="51">
        <f ca="1"/>
        <v>2.9475787932886457E-7</v>
      </c>
      <c r="R395" s="51">
        <f ca="1"/>
        <v>0</v>
      </c>
      <c r="S395" s="51">
        <f ca="1"/>
        <v>0</v>
      </c>
      <c r="T395" s="51">
        <f ca="1"/>
        <v>2.6352264556176639E-5</v>
      </c>
      <c r="U395" s="51">
        <f ca="1"/>
        <v>8.8064127957994265E-11</v>
      </c>
      <c r="V395" s="51">
        <f ca="1"/>
        <v>528199039.25947934</v>
      </c>
      <c r="W395" s="51">
        <f ca="1"/>
        <v>488403428587.09583</v>
      </c>
      <c r="X395" s="51">
        <f ca="1"/>
        <v>592649069.59370518</v>
      </c>
      <c r="Y395" s="51">
        <f ca="1"/>
        <v>547997660019.07544</v>
      </c>
    </row>
    <row r="396" spans="2:25" hidden="1" x14ac:dyDescent="0.25">
      <c r="B396" s="50" t="s">
        <v>108</v>
      </c>
      <c r="C396" s="51" cm="1">
        <f t="array" aca="1" ref="C396" ca="1">SUM(_xlfn.ANCHORARRAY(C395)*OFFSET($C$10,0,0,1,$C$2)^2)*0.5</f>
        <v>4.4473938785365684E+31</v>
      </c>
    </row>
    <row r="397" spans="2:25" hidden="1" x14ac:dyDescent="0.25">
      <c r="B397" s="50" t="s">
        <v>232</v>
      </c>
      <c r="C397" s="51" cm="1">
        <f t="array" aca="1" ref="C397:Y397" ca="1">IF(OFFSET($C$11,0,0,1,$C$2)="Debye",10^(ABS(OFFSET($C$10,0,0,1,$C$2))^2*(-(0.27+0.0008*$C$17)*SQRT(C396))/(1+(3*ABS(OFFSET($C$10,0,0,1,$C$2))*0.33*SQRT(C396)))),1)</f>
        <v>9.7464954604498374E-2</v>
      </c>
      <c r="D397" s="51">
        <f ca="1"/>
        <v>0.31219377733148113</v>
      </c>
      <c r="E397" s="51">
        <f ca="1"/>
        <v>0.31219377733148113</v>
      </c>
      <c r="F397" s="51">
        <f ca="1"/>
        <v>0.31219377733148113</v>
      </c>
      <c r="G397" s="51">
        <f ca="1"/>
        <v>1</v>
      </c>
      <c r="H397" s="51">
        <f ca="1"/>
        <v>1</v>
      </c>
      <c r="I397" s="51">
        <f ca="1"/>
        <v>1</v>
      </c>
      <c r="J397" s="51">
        <f ca="1"/>
        <v>0.31219377733148113</v>
      </c>
      <c r="K397" s="51">
        <f ca="1"/>
        <v>0.31219377733148113</v>
      </c>
      <c r="L397" s="51">
        <f ca="1"/>
        <v>0.31219377733148113</v>
      </c>
      <c r="M397" s="51">
        <f ca="1"/>
        <v>1</v>
      </c>
      <c r="N397" s="51">
        <f ca="1"/>
        <v>1</v>
      </c>
      <c r="O397" s="51">
        <f ca="1"/>
        <v>1</v>
      </c>
      <c r="P397" s="51">
        <f ca="1"/>
        <v>1</v>
      </c>
      <c r="Q397" s="51">
        <f ca="1"/>
        <v>1</v>
      </c>
      <c r="R397" s="51">
        <f ca="1"/>
        <v>1</v>
      </c>
      <c r="S397" s="51">
        <f ca="1"/>
        <v>1</v>
      </c>
      <c r="T397" s="51">
        <f ca="1"/>
        <v>1</v>
      </c>
      <c r="U397" s="51">
        <f ca="1"/>
        <v>1</v>
      </c>
      <c r="V397" s="51">
        <f ca="1"/>
        <v>1</v>
      </c>
      <c r="W397" s="51">
        <f ca="1"/>
        <v>1</v>
      </c>
      <c r="X397" s="51">
        <f ca="1"/>
        <v>1</v>
      </c>
      <c r="Y397" s="51">
        <f ca="1"/>
        <v>1</v>
      </c>
    </row>
    <row r="398" spans="2:25" hidden="1" x14ac:dyDescent="0.25">
      <c r="B398" s="50" t="s">
        <v>228</v>
      </c>
      <c r="C398" s="51" cm="1">
        <f t="array" aca="1" ref="C398:Y398" ca="1">OFFSET($C$53,0,0,1,$C$2)*TRANSPOSE(_xlfn.BYROW(C395:I395^OFFSET($C$29,0,0,$C$2,$C$1),_xlfn.LAMBDA(_xlpm.array, PRODUCT(_xlpm.array))))</f>
        <v>1.1159976432818772E+31</v>
      </c>
      <c r="D398" s="51">
        <f ca="1"/>
        <v>4.4307971839456278E+31</v>
      </c>
      <c r="E398" s="51">
        <f ca="1"/>
        <v>3.6150635588977431E-3</v>
      </c>
      <c r="F398" s="51">
        <f ca="1"/>
        <v>2.6915348039269101E-8</v>
      </c>
      <c r="G398" s="51">
        <f ca="1"/>
        <v>1</v>
      </c>
      <c r="H398" s="51">
        <f ca="1"/>
        <v>2.7594208522562414E-12</v>
      </c>
      <c r="I398" s="51">
        <f ca="1"/>
        <v>5.9538657655140887E-7</v>
      </c>
      <c r="J398" s="51">
        <f ca="1"/>
        <v>8.1721870235427361E-7</v>
      </c>
      <c r="K398" s="51">
        <f ca="1"/>
        <v>6.2006202906448105E+30</v>
      </c>
      <c r="L398" s="51">
        <f ca="1"/>
        <v>9.0222157350391752E+28</v>
      </c>
      <c r="M398" s="51">
        <f ca="1"/>
        <v>1.1159976432818775E+29</v>
      </c>
      <c r="N398" s="51">
        <f ca="1"/>
        <v>4.430797183945628E+30</v>
      </c>
      <c r="O398" s="51">
        <f ca="1"/>
        <v>3.6150635588977435E-4</v>
      </c>
      <c r="P398" s="51">
        <f ca="1"/>
        <v>2.6915348039269101E-9</v>
      </c>
      <c r="Q398" s="51">
        <f ca="1"/>
        <v>3.7411058827205258E-8</v>
      </c>
      <c r="R398" s="51">
        <f ca="1"/>
        <v>1.2521699507197701E+30</v>
      </c>
      <c r="S398" s="51">
        <f ca="1"/>
        <v>1.013396067806304E+28</v>
      </c>
      <c r="T398" s="51">
        <f ca="1"/>
        <v>2.6352264556176646E-6</v>
      </c>
      <c r="U398" s="51">
        <f ca="1"/>
        <v>8.8064127957994268E-12</v>
      </c>
      <c r="V398" s="51">
        <f ca="1"/>
        <v>1.8133482574640185E+26</v>
      </c>
      <c r="W398" s="51">
        <f ca="1"/>
        <v>1.6767268403394166E+29</v>
      </c>
      <c r="X398" s="51">
        <f ca="1"/>
        <v>2.034610208950944E+26</v>
      </c>
      <c r="Y398" s="51">
        <f ca="1"/>
        <v>1.881318457684257E+29</v>
      </c>
    </row>
    <row r="399" spans="2:25" hidden="1" x14ac:dyDescent="0.25">
      <c r="B399" s="50" t="s">
        <v>108</v>
      </c>
      <c r="C399" s="51" cm="1">
        <f t="array" aca="1" ref="C399" ca="1">SUM(_xlfn.ANCHORARRAY(C398)*OFFSET($C$10,0,0,1,$C$2)^2)*0.5</f>
        <v>5.0773037095121245E+31</v>
      </c>
    </row>
    <row r="400" spans="2:25" hidden="1" x14ac:dyDescent="0.25">
      <c r="B400" s="50" t="s">
        <v>233</v>
      </c>
      <c r="C400" s="51" cm="1">
        <f t="array" aca="1" ref="C400" ca="1">IFERROR(SUM(_xlfn._xlws.FILTER(_xlfn.ANCHORARRAY(C398)*OFFSET($C$10,0,0,1,$C$2),OFFSET($C$11,0,0,1,$C$2)="WHAMHA")),0)</f>
        <v>0</v>
      </c>
      <c r="D400" s="51" cm="1">
        <f t="array" aca="1" ref="D400" ca="1">IFERROR(SUM(_xlfn._xlws.FILTER(_xlfn.ANCHORARRAY(C398)*OFFSET($C$10,0,0,1,$C$2),OFFSET($C$11,0,0,1,$C$2)="WHAMFA")),0)</f>
        <v>1.6785401885968805E+29</v>
      </c>
    </row>
    <row r="401" spans="2:25" hidden="1" x14ac:dyDescent="0.25">
      <c r="B401" s="50" t="s">
        <v>234</v>
      </c>
      <c r="C401" s="51" cm="1">
        <f t="array" aca="1" ref="C401:Y401" ca="1">OFFSET($C$53,0,0,1,$C$2)*IF(OFFSET($C$11,0,0,1,$C$2)="WHAMFA",EXP(2*$D$26*LOG10(C399)*D400*ABS(OFFSET($C$10,0,0,1,$C$2))),IF(OFFSET($C$11,0,0,1,$C$2)="WHAMHA",EXP(2*$D$26*LOG10(C399)*C400*ABS(OFFSET($C$10,0,0,1,$C$2))),1))</f>
        <v>1</v>
      </c>
      <c r="D401" s="51">
        <f ca="1"/>
        <v>1</v>
      </c>
      <c r="E401" s="51">
        <f ca="1"/>
        <v>1</v>
      </c>
      <c r="F401" s="51">
        <f ca="1"/>
        <v>1</v>
      </c>
      <c r="G401" s="51">
        <f ca="1"/>
        <v>1</v>
      </c>
      <c r="H401" s="51">
        <f ca="1"/>
        <v>1</v>
      </c>
      <c r="I401" s="51">
        <f ca="1"/>
        <v>1</v>
      </c>
      <c r="J401" s="51">
        <f ca="1"/>
        <v>2.1995725798065139E-14</v>
      </c>
      <c r="K401" s="51">
        <f ca="1"/>
        <v>1.4954498711240171E-8</v>
      </c>
      <c r="L401" s="51">
        <f ca="1"/>
        <v>2.2363202312453416</v>
      </c>
      <c r="M401" s="51">
        <f ca="1"/>
        <v>1</v>
      </c>
      <c r="N401" s="51">
        <f ca="1"/>
        <v>1</v>
      </c>
      <c r="O401" s="51">
        <f ca="1"/>
        <v>1</v>
      </c>
      <c r="P401" s="51">
        <f ca="1"/>
        <v>1</v>
      </c>
      <c r="Q401" s="51">
        <f ca="1"/>
        <v>1.0069316688518E-14</v>
      </c>
      <c r="R401" s="51">
        <f ca="1"/>
        <v>3.0199517204020201E-8</v>
      </c>
      <c r="S401" s="51">
        <f ca="1"/>
        <v>2.5118864315095801</v>
      </c>
      <c r="T401" s="51">
        <f ca="1"/>
        <v>0</v>
      </c>
      <c r="U401" s="51">
        <f ca="1"/>
        <v>0</v>
      </c>
      <c r="V401" s="51">
        <f ca="1"/>
        <v>0</v>
      </c>
      <c r="W401" s="51">
        <f ca="1"/>
        <v>0</v>
      </c>
      <c r="X401" s="51">
        <f ca="1"/>
        <v>4.7863009232263802E-9</v>
      </c>
      <c r="Y401" s="51">
        <f ca="1"/>
        <v>2.0511621788255701E-11</v>
      </c>
    </row>
    <row r="402" spans="2:25" x14ac:dyDescent="0.25">
      <c r="B402" s="50" t="s">
        <v>236</v>
      </c>
      <c r="C402" s="51" cm="1">
        <f t="array" aca="1" ref="C402:D402" ca="1">((1000*((6.022E+23)/$C$24:$D$24)*(4*PI()/3)*((($C$25:$D$25+(0.000000000304 / SQRT(C399)))^3)-(($C$25:$D$25)^3)))*$C$20*ABS(C400:D400))/(1+$C$20*ABS(C400:D400))*$C$23:$D$23*$C$24:$D$24</f>
        <v>0</v>
      </c>
      <c r="D402" s="51">
        <f ca="1"/>
        <v>0</v>
      </c>
    </row>
    <row r="403" spans="2:25" x14ac:dyDescent="0.25">
      <c r="B403" s="50" t="s">
        <v>237</v>
      </c>
      <c r="C403" s="51" cm="1">
        <f t="array" aca="1" ref="C403:D403" ca="1">$C$19/($C$19+SUM(_xlfn.ANCHORARRAY(C402)))*_xlfn.ANCHORARRAY(C402)</f>
        <v>0</v>
      </c>
      <c r="D403" s="51">
        <f ca="1"/>
        <v>0</v>
      </c>
    </row>
    <row r="404" spans="2:25" x14ac:dyDescent="0.25">
      <c r="B404" s="50" t="s">
        <v>235</v>
      </c>
      <c r="C404" s="51" cm="1">
        <f t="array" aca="1" ref="C404:Y404" ca="1">IF(OFFSET($C$11,0,0,1,$C$2)="DonnanHA",C403,IF(OFFSET($C$11,0,0,1,$C$2)="DonnanFA",D403,IF(OR(OFFSET($C$11,0,0,1,$C$2)="WHAMHA",OFFSET($C$11,0,0,1,$C$2)="WHAMFA"),OFFSET($C$14,0,0,1,$C$2),OFFSET($C$14,0,0,1,$C$2)-SUM(_xlfn.ANCHORARRAY(C403)))))</f>
        <v>1</v>
      </c>
      <c r="D404" s="51">
        <f ca="1"/>
        <v>1</v>
      </c>
      <c r="E404" s="51">
        <f ca="1"/>
        <v>1</v>
      </c>
      <c r="F404" s="51">
        <f ca="1"/>
        <v>1</v>
      </c>
      <c r="G404" s="51">
        <f ca="1"/>
        <v>0</v>
      </c>
      <c r="H404" s="51">
        <f ca="1"/>
        <v>1</v>
      </c>
      <c r="I404" s="51">
        <f ca="1"/>
        <v>1</v>
      </c>
      <c r="J404" s="51">
        <f ca="1"/>
        <v>1</v>
      </c>
      <c r="K404" s="51">
        <f ca="1"/>
        <v>1</v>
      </c>
      <c r="L404" s="51">
        <f ca="1"/>
        <v>1</v>
      </c>
      <c r="M404" s="51">
        <f ca="1"/>
        <v>0</v>
      </c>
      <c r="N404" s="51">
        <f ca="1"/>
        <v>0</v>
      </c>
      <c r="O404" s="51">
        <f ca="1"/>
        <v>0</v>
      </c>
      <c r="P404" s="51">
        <f ca="1"/>
        <v>0</v>
      </c>
      <c r="Q404" s="51">
        <f ca="1"/>
        <v>0</v>
      </c>
      <c r="R404" s="51">
        <f ca="1"/>
        <v>0</v>
      </c>
      <c r="S404" s="51">
        <f ca="1"/>
        <v>0</v>
      </c>
      <c r="T404" s="51">
        <f ca="1"/>
        <v>1</v>
      </c>
      <c r="U404" s="51">
        <f ca="1"/>
        <v>1</v>
      </c>
      <c r="V404" s="51">
        <f ca="1"/>
        <v>1</v>
      </c>
      <c r="W404" s="51">
        <f ca="1"/>
        <v>1</v>
      </c>
      <c r="X404" s="51">
        <f ca="1"/>
        <v>1</v>
      </c>
      <c r="Y404" s="51">
        <f ca="1"/>
        <v>1</v>
      </c>
    </row>
    <row r="405" spans="2:25" x14ac:dyDescent="0.25">
      <c r="B405" s="50" t="s">
        <v>228</v>
      </c>
      <c r="C405" s="51" cm="1">
        <f t="array" aca="1" ref="C405:Y405" ca="1">IF((OFFSET($C$11,0,0,1,$C$2)="DonnanFA")*(SIGN(_xlfn.SEQUENCE(1,$C$2,D400,0))=SIGN(OFFSET($C$10,0,0,1,$C$2))),0,OFFSET(C398,0,0,1,$C$2))</f>
        <v>1.1159976432818772E+31</v>
      </c>
      <c r="D405" s="51">
        <f ca="1"/>
        <v>4.4307971839456278E+31</v>
      </c>
      <c r="E405" s="51">
        <f ca="1"/>
        <v>3.6150635588977431E-3</v>
      </c>
      <c r="F405" s="51">
        <f ca="1"/>
        <v>2.6915348039269101E-8</v>
      </c>
      <c r="G405" s="51">
        <f ca="1"/>
        <v>1</v>
      </c>
      <c r="H405" s="51">
        <f ca="1"/>
        <v>2.7594208522562414E-12</v>
      </c>
      <c r="I405" s="51">
        <f ca="1"/>
        <v>5.9538657655140887E-7</v>
      </c>
      <c r="J405" s="51">
        <f ca="1"/>
        <v>8.1721870235427361E-7</v>
      </c>
      <c r="K405" s="51">
        <f ca="1"/>
        <v>6.2006202906448105E+30</v>
      </c>
      <c r="L405" s="51">
        <f ca="1"/>
        <v>9.0222157350391752E+28</v>
      </c>
      <c r="M405" s="51">
        <f ca="1"/>
        <v>0</v>
      </c>
      <c r="N405" s="51">
        <f ca="1"/>
        <v>0</v>
      </c>
      <c r="O405" s="51">
        <f ca="1"/>
        <v>3.6150635588977435E-4</v>
      </c>
      <c r="P405" s="51">
        <f ca="1"/>
        <v>0</v>
      </c>
      <c r="Q405" s="51">
        <f ca="1"/>
        <v>3.7411058827205258E-8</v>
      </c>
      <c r="R405" s="51">
        <f ca="1"/>
        <v>0</v>
      </c>
      <c r="S405" s="51">
        <f ca="1"/>
        <v>0</v>
      </c>
      <c r="T405" s="51">
        <f ca="1"/>
        <v>2.6352264556176646E-6</v>
      </c>
      <c r="U405" s="51">
        <f ca="1"/>
        <v>8.8064127957994268E-12</v>
      </c>
      <c r="V405" s="51">
        <f ca="1"/>
        <v>1.8133482574640185E+26</v>
      </c>
      <c r="W405" s="51">
        <f ca="1"/>
        <v>1.6767268403394166E+29</v>
      </c>
      <c r="X405" s="51">
        <f ca="1"/>
        <v>2.034610208950944E+26</v>
      </c>
      <c r="Y405" s="51">
        <f ca="1"/>
        <v>1.881318457684257E+29</v>
      </c>
    </row>
    <row r="406" spans="2:25" x14ac:dyDescent="0.25">
      <c r="B406" s="50" t="s">
        <v>238</v>
      </c>
      <c r="C406" s="51" cm="1">
        <f t="array" aca="1" ref="C406:Y406" ca="1">_xlfn.ANCHORARRAY(C405)*_xlfn.ANCHORARRAY(C404)</f>
        <v>1.1159976432818772E+31</v>
      </c>
      <c r="D406" s="51">
        <f ca="1"/>
        <v>4.4307971839456278E+31</v>
      </c>
      <c r="E406" s="51">
        <f ca="1"/>
        <v>3.6150635588977431E-3</v>
      </c>
      <c r="F406" s="51">
        <f ca="1"/>
        <v>2.6915348039269101E-8</v>
      </c>
      <c r="G406" s="51">
        <f ca="1"/>
        <v>0</v>
      </c>
      <c r="H406" s="51">
        <f ca="1"/>
        <v>2.7594208522562414E-12</v>
      </c>
      <c r="I406" s="51">
        <f ca="1"/>
        <v>5.9538657655140887E-7</v>
      </c>
      <c r="J406" s="51">
        <f ca="1"/>
        <v>8.1721870235427361E-7</v>
      </c>
      <c r="K406" s="51">
        <f ca="1"/>
        <v>6.2006202906448105E+30</v>
      </c>
      <c r="L406" s="51">
        <f ca="1"/>
        <v>9.0222157350391752E+28</v>
      </c>
      <c r="M406" s="51">
        <f ca="1"/>
        <v>0</v>
      </c>
      <c r="N406" s="51">
        <f ca="1"/>
        <v>0</v>
      </c>
      <c r="O406" s="51">
        <f ca="1"/>
        <v>0</v>
      </c>
      <c r="P406" s="51">
        <f ca="1"/>
        <v>0</v>
      </c>
      <c r="Q406" s="51">
        <f ca="1"/>
        <v>0</v>
      </c>
      <c r="R406" s="51">
        <f ca="1"/>
        <v>0</v>
      </c>
      <c r="S406" s="51">
        <f ca="1"/>
        <v>0</v>
      </c>
      <c r="T406" s="51">
        <f ca="1"/>
        <v>2.6352264556176646E-6</v>
      </c>
      <c r="U406" s="51">
        <f ca="1"/>
        <v>8.8064127957994268E-12</v>
      </c>
      <c r="V406" s="51">
        <f ca="1"/>
        <v>1.8133482574640185E+26</v>
      </c>
      <c r="W406" s="51">
        <f ca="1"/>
        <v>1.6767268403394166E+29</v>
      </c>
      <c r="X406" s="51">
        <f ca="1"/>
        <v>2.034610208950944E+26</v>
      </c>
      <c r="Y406" s="51">
        <f ca="1"/>
        <v>1.881318457684257E+29</v>
      </c>
    </row>
    <row r="407" spans="2:25" x14ac:dyDescent="0.25">
      <c r="B407" s="50" t="s">
        <v>105</v>
      </c>
      <c r="C407" s="51" cm="1">
        <f t="array" aca="1" ref="C407:I407" ca="1">IF(OFFSET($C$5,0,0,1,$C$1)="DonnanFA",-D400,OFFSET(C393,0,0,1,$C$1))</f>
        <v>-1.1159976432818772E+31</v>
      </c>
      <c r="D407" s="51">
        <f ca="1"/>
        <v>-4.4307971839456278E+31</v>
      </c>
      <c r="E407" s="51">
        <f ca="1"/>
        <v>4.0152639548037016E+16</v>
      </c>
      <c r="F407" s="51">
        <f ca="1"/>
        <v>0</v>
      </c>
      <c r="G407" s="51">
        <f ca="1"/>
        <v>-1.6785401885968805E+29</v>
      </c>
      <c r="H407" s="51">
        <f ca="1"/>
        <v>327578555.5051164</v>
      </c>
      <c r="I407" s="51">
        <f ca="1"/>
        <v>10479141671013.115</v>
      </c>
    </row>
    <row r="408" spans="2:25" x14ac:dyDescent="0.25">
      <c r="B408" s="50" t="s">
        <v>222</v>
      </c>
      <c r="C408" s="51" cm="1">
        <f t="array" aca="1" ref="C408:I408" ca="1">OFFSET(C404,0,0,1,$C$1)*_xlfn.ANCHORARRAY(C407)</f>
        <v>-1.1159976432818772E+31</v>
      </c>
      <c r="D408" s="51">
        <f ca="1"/>
        <v>-4.4307971839456278E+31</v>
      </c>
      <c r="E408" s="51">
        <f ca="1"/>
        <v>4.0152639548037016E+16</v>
      </c>
      <c r="F408" s="51">
        <f ca="1"/>
        <v>0</v>
      </c>
      <c r="G408" s="51">
        <f ca="1"/>
        <v>0</v>
      </c>
      <c r="H408" s="51">
        <f ca="1"/>
        <v>327578555.5051164</v>
      </c>
      <c r="I408" s="51">
        <f ca="1"/>
        <v>10479141671013.115</v>
      </c>
    </row>
    <row r="409" spans="2:25" x14ac:dyDescent="0.25">
      <c r="B409" s="50" t="s">
        <v>222</v>
      </c>
      <c r="C409" s="51" cm="1">
        <f t="array" aca="1" ref="C409:I409" ca="1">IF(OFFSET($C$6,0,0,1,$C$1)="FixedAct",MMULT((_xlfn.ANCHORARRAY(C405)*_xlfn.ANCHORARRAY(C404)),OFFSET($C$29,0,0,$C$2,$C$1)),_xlfn.ANCHORARRAY(C408))</f>
        <v>-1.1159976432818772E+31</v>
      </c>
      <c r="D409" s="51">
        <f ca="1"/>
        <v>-4.4307971839456278E+31</v>
      </c>
      <c r="E409" s="51">
        <f ca="1"/>
        <v>4.0152639548037016E+16</v>
      </c>
      <c r="F409" s="51">
        <f ca="1"/>
        <v>-6.7451449230831399E+30</v>
      </c>
      <c r="G409" s="51">
        <f ca="1"/>
        <v>0</v>
      </c>
      <c r="H409" s="51">
        <f ca="1"/>
        <v>327578555.5051164</v>
      </c>
      <c r="I409" s="51">
        <f ca="1"/>
        <v>10479141671013.115</v>
      </c>
    </row>
    <row r="410" spans="2:25" x14ac:dyDescent="0.25">
      <c r="B410" s="50" t="s">
        <v>105</v>
      </c>
      <c r="C410" s="51" cm="1">
        <f t="array" aca="1" ref="C410:I410" ca="1">_xlfn.ANCHORARRAY(C409)*OFFSET(C404,0,0,1,$C$1)</f>
        <v>-1.1159976432818772E+31</v>
      </c>
      <c r="D410" s="51">
        <f ca="1"/>
        <v>-4.4307971839456278E+31</v>
      </c>
      <c r="E410" s="51">
        <f ca="1"/>
        <v>4.0152639548037016E+16</v>
      </c>
      <c r="F410" s="51">
        <f ca="1"/>
        <v>-6.7451449230831399E+30</v>
      </c>
      <c r="G410" s="51">
        <f ca="1"/>
        <v>0</v>
      </c>
      <c r="H410" s="51">
        <f ca="1"/>
        <v>327578555.5051164</v>
      </c>
      <c r="I410" s="51">
        <f ca="1"/>
        <v>10479141671013.115</v>
      </c>
    </row>
    <row r="411" spans="2:25" x14ac:dyDescent="0.25">
      <c r="B411" s="50" t="s">
        <v>239</v>
      </c>
      <c r="C411" s="51" cm="1">
        <f t="array" aca="1" ref="C411:I411" ca="1">MMULT((_xlfn.ANCHORARRAY(C405)*_xlfn.ANCHORARRAY(C404)),OFFSET($C$29,0,0,$C$2,$C$1))</f>
        <v>1.7807008206462981E+31</v>
      </c>
      <c r="D411" s="51">
        <f ca="1"/>
        <v>4.4307971839456278E+31</v>
      </c>
      <c r="E411" s="51">
        <f ca="1"/>
        <v>9.0222157350391752E+28</v>
      </c>
      <c r="F411" s="51">
        <f ca="1"/>
        <v>-6.7451449230831399E+30</v>
      </c>
      <c r="G411" s="51">
        <f ca="1"/>
        <v>0</v>
      </c>
      <c r="H411" s="51">
        <f ca="1"/>
        <v>3.8479584664149625E+26</v>
      </c>
      <c r="I411" s="51">
        <f ca="1"/>
        <v>3.5580452980236736E+29</v>
      </c>
    </row>
    <row r="412" spans="2:25" x14ac:dyDescent="0.25">
      <c r="B412" s="50" t="s">
        <v>103</v>
      </c>
      <c r="C412" s="51" cm="1">
        <f t="array" aca="1" ref="C412:I412" ca="1">_xlfn.ANCHORARRAY(C411)/OFFSET(C404,0,0,1,$C$1)</f>
        <v>1.7807008206462981E+31</v>
      </c>
      <c r="D412" s="51">
        <f ca="1"/>
        <v>4.4307971839456278E+31</v>
      </c>
      <c r="E412" s="51">
        <f ca="1"/>
        <v>9.0222157350391752E+28</v>
      </c>
      <c r="F412" s="51">
        <f ca="1"/>
        <v>-6.7451449230831399E+30</v>
      </c>
      <c r="G412" s="51" t="e">
        <f ca="1"/>
        <v>#DIV/0!</v>
      </c>
      <c r="H412" s="51">
        <f ca="1"/>
        <v>3.8479584664149625E+26</v>
      </c>
      <c r="I412" s="51">
        <f ca="1"/>
        <v>3.5580452980236736E+29</v>
      </c>
    </row>
    <row r="413" spans="2:25" x14ac:dyDescent="0.25">
      <c r="B413" s="50" t="s">
        <v>104</v>
      </c>
      <c r="C413" s="51" cm="1">
        <f t="array" aca="1" ref="C413:I413" ca="1">IF(OFFSET($C$6,0,0,1,$C$1)="FixedAct",0,_xlfn.ANCHORARRAY(C411)-_xlfn.ANCHORARRAY(C409))</f>
        <v>2.8966984639281756E+31</v>
      </c>
      <c r="D413" s="51">
        <f ca="1"/>
        <v>8.8615943678912556E+31</v>
      </c>
      <c r="E413" s="51">
        <f ca="1"/>
        <v>9.0222157350351607E+28</v>
      </c>
      <c r="F413" s="51">
        <f ca="1"/>
        <v>0</v>
      </c>
      <c r="G413" s="51">
        <f ca="1"/>
        <v>0</v>
      </c>
      <c r="H413" s="51">
        <f ca="1"/>
        <v>3.8479584664149625E+26</v>
      </c>
      <c r="I413" s="51">
        <f ca="1"/>
        <v>3.5580452980236736E+29</v>
      </c>
    </row>
    <row r="414" spans="2:25" x14ac:dyDescent="0.25">
      <c r="B414" s="50" t="s">
        <v>240</v>
      </c>
      <c r="C414" s="51" cm="1">
        <f t="array" aca="1" ref="C414:I414" ca="1">ABS(_xlfn.ANCHORARRAY(C413)/_xlfn.ANCHORARRAY(C409))</f>
        <v>2.5956134238865336</v>
      </c>
      <c r="D414" s="51">
        <f ca="1"/>
        <v>2</v>
      </c>
      <c r="E414" s="51">
        <f ca="1"/>
        <v>2246979485431.1738</v>
      </c>
      <c r="F414" s="51">
        <f ca="1"/>
        <v>0</v>
      </c>
      <c r="G414" s="51" t="e">
        <f ca="1"/>
        <v>#DIV/0!</v>
      </c>
      <c r="H414" s="51">
        <f ca="1"/>
        <v>1.1746673894698401E+18</v>
      </c>
      <c r="I414" s="51">
        <f ca="1"/>
        <v>3.3953594766885944E+16</v>
      </c>
    </row>
    <row r="415" spans="2:25" x14ac:dyDescent="0.25">
      <c r="B415" s="50" t="s">
        <v>58</v>
      </c>
      <c r="C415" s="51" t="e">
        <f ca="1">MAX(_xlfn.ANCHORARRAY(C414))</f>
        <v>#DIV/0!</v>
      </c>
    </row>
    <row r="417" spans="2:9" x14ac:dyDescent="0.25">
      <c r="B417" s="50" t="s">
        <v>254</v>
      </c>
    </row>
    <row r="418" spans="2:9" x14ac:dyDescent="0.25">
      <c r="B418" s="50" t="s">
        <v>242</v>
      </c>
      <c r="C418" s="51" cm="1">
        <f t="array" ref="C418:I418">_xlfn.SEQUENCE(1,$C$1,0,1)</f>
        <v>0</v>
      </c>
      <c r="D418" s="51">
        <v>1</v>
      </c>
      <c r="E418" s="51">
        <v>2</v>
      </c>
      <c r="F418" s="51">
        <v>3</v>
      </c>
      <c r="G418" s="51">
        <v>4</v>
      </c>
      <c r="H418" s="51">
        <v>5</v>
      </c>
      <c r="I418" s="51">
        <v>6</v>
      </c>
    </row>
    <row r="419" spans="2:9" x14ac:dyDescent="0.25">
      <c r="B419" s="51" cm="1">
        <f t="array" ref="B419:B425">_xlfn.SEQUENCE($C$1,1,0,1)</f>
        <v>0</v>
      </c>
      <c r="C419" s="51" t="e" cm="1">
        <f t="array" aca="1" ref="C419" ca="1">MMULT(TRANSPOSE(_xlfn.MAKEARRAY($C$2,$C$1,_xlfn.LAMBDA(_xlpm.row,_xlpm.col,OFFSET(C406,0,_xlpm.col-1)))*OFFSET($C$29,0,0,$C$2,$C$1)),OFFSET($C$29,0,0,$C$2,$C$1)*_xlfn.MAKEARRAY($C$2,$C$1,_xlfn.LAMBDA(_xlpm.row,_xlpm.col,1/OFFSET(C406,0,_xlpm.col-1))))</f>
        <v>#DIV/0!</v>
      </c>
    </row>
    <row r="420" spans="2:9" x14ac:dyDescent="0.25">
      <c r="B420" s="50">
        <v>1</v>
      </c>
    </row>
    <row r="421" spans="2:9" x14ac:dyDescent="0.25">
      <c r="B421" s="50">
        <v>2</v>
      </c>
    </row>
    <row r="422" spans="2:9" x14ac:dyDescent="0.25">
      <c r="B422" s="50">
        <v>3</v>
      </c>
    </row>
    <row r="423" spans="2:9" x14ac:dyDescent="0.25">
      <c r="B423" s="50">
        <v>4</v>
      </c>
    </row>
    <row r="424" spans="2:9" x14ac:dyDescent="0.25">
      <c r="B424" s="50">
        <v>5</v>
      </c>
    </row>
    <row r="425" spans="2:9" x14ac:dyDescent="0.25">
      <c r="B425" s="50">
        <v>6</v>
      </c>
    </row>
    <row r="426" spans="2:9" x14ac:dyDescent="0.25">
      <c r="B426" s="50" t="s">
        <v>244</v>
      </c>
      <c r="C426" s="51" t="e" cm="1">
        <f t="array" aca="1" ref="C426" ca="1">MINVERSE(_xlfn.ANCHORARRAY(C419))</f>
        <v>#DIV/0!</v>
      </c>
    </row>
    <row r="428" spans="2:9" x14ac:dyDescent="0.25">
      <c r="B428" s="51"/>
    </row>
    <row r="433" spans="2:9" x14ac:dyDescent="0.25">
      <c r="C433" s="51" t="e" cm="1">
        <f t="array" aca="1" ref="C433" ca="1">TRANSPOSE(MMULT(_xlfn.ANCHORARRAY(C426),TRANSPOSE(_xlfn.ANCHORARRAY(C413))))</f>
        <v>#DIV/0!</v>
      </c>
    </row>
    <row r="434" spans="2:9" x14ac:dyDescent="0.25">
      <c r="B434" s="50" t="s">
        <v>245</v>
      </c>
      <c r="C434" s="51" cm="1">
        <f t="array" aca="1" ref="C434:H434" ca="1">_xlfn._xlws.FILTER(_xlfn.ANCHORARRAY(C418),OFFSET($C$6,0,0,1,$C$1)&lt;&gt;"FixedAct")</f>
        <v>0</v>
      </c>
      <c r="D434" s="51">
        <f ca="1"/>
        <v>1</v>
      </c>
      <c r="E434" s="51">
        <f ca="1"/>
        <v>2</v>
      </c>
      <c r="F434" s="51">
        <f ca="1"/>
        <v>4</v>
      </c>
      <c r="G434" s="51">
        <f ca="1"/>
        <v>5</v>
      </c>
      <c r="H434" s="51">
        <f ca="1"/>
        <v>6</v>
      </c>
    </row>
    <row r="435" spans="2:9" x14ac:dyDescent="0.25">
      <c r="B435" s="51" cm="1">
        <f t="array" aca="1" ref="B435:B440" ca="1">TRANSPOSE(_xlfn.ANCHORARRAY(C434))</f>
        <v>0</v>
      </c>
      <c r="C435" s="52" t="e">
        <f ca="1">IF(OFFSET($C$6,0,C$114)="FixedAct",0,IF(OFFSET($C$6,0,$B435)="FixedAct",0,C419))</f>
        <v>#DIV/0!</v>
      </c>
      <c r="D435" s="52">
        <f ca="1">IF(OFFSET($C$6,0,D$114)="FixedAct",0,IF(OFFSET($C$6,0,$B435)="FixedAct",0,D419))</f>
        <v>0</v>
      </c>
      <c r="E435" s="52">
        <f ca="1">IF(OFFSET($C$6,0,E$114)="FixedAct",0,IF(OFFSET($C$6,0,$B435)="FixedAct",0,E419))</f>
        <v>0</v>
      </c>
      <c r="F435" s="52">
        <f ca="1">IF(OFFSET($C$6,0,F$114)="FixedAct",0,IF(OFFSET($C$6,0,$B435)="FixedAct",0,G419))</f>
        <v>0</v>
      </c>
      <c r="G435" s="52">
        <f ca="1">IF(OFFSET($C$6,0,G$114)="FixedAct",0,IF(OFFSET($C$6,0,$B435)="FixedAct",0,H419))</f>
        <v>0</v>
      </c>
      <c r="H435" s="52">
        <f ca="1">IF(OFFSET($C$6,0,H$114)="FixedAct",0,IF(OFFSET($C$6,0,$B435)="FixedAct",0,I419))</f>
        <v>0</v>
      </c>
      <c r="I435" s="52"/>
    </row>
    <row r="436" spans="2:9" x14ac:dyDescent="0.25">
      <c r="B436" s="51">
        <f ca="1"/>
        <v>1</v>
      </c>
      <c r="C436" s="52">
        <f ca="1">IF(OFFSET($C$6,0,C$114)="FixedAct",0,IF(OFFSET($C$6,0,$B436)="FixedAct",0,C420))</f>
        <v>0</v>
      </c>
      <c r="D436" s="52">
        <f ca="1">IF(OFFSET($C$6,0,D$114)="FixedAct",0,IF(OFFSET($C$6,0,$B436)="FixedAct",0,D420))</f>
        <v>0</v>
      </c>
      <c r="E436" s="52">
        <f ca="1">IF(OFFSET($C$6,0,E$114)="FixedAct",0,IF(OFFSET($C$6,0,$B436)="FixedAct",0,E420))</f>
        <v>0</v>
      </c>
      <c r="F436" s="52">
        <f ca="1">IF(OFFSET($C$6,0,F$114)="FixedAct",0,IF(OFFSET($C$6,0,$B436)="FixedAct",0,G420))</f>
        <v>0</v>
      </c>
      <c r="G436" s="52">
        <f ca="1">IF(OFFSET($C$6,0,G$114)="FixedAct",0,IF(OFFSET($C$6,0,$B436)="FixedAct",0,H420))</f>
        <v>0</v>
      </c>
      <c r="H436" s="52">
        <f ca="1">IF(OFFSET($C$6,0,H$114)="FixedAct",0,IF(OFFSET($C$6,0,$B436)="FixedAct",0,I420))</f>
        <v>0</v>
      </c>
      <c r="I436" s="52"/>
    </row>
    <row r="437" spans="2:9" x14ac:dyDescent="0.25">
      <c r="B437" s="51">
        <f ca="1"/>
        <v>2</v>
      </c>
      <c r="C437" s="52">
        <f ca="1">IF(OFFSET($C$6,0,C$114)="FixedAct",0,IF(OFFSET($C$6,0,$B437)="FixedAct",0,C421))</f>
        <v>0</v>
      </c>
      <c r="D437" s="52">
        <f ca="1">IF(OFFSET($C$6,0,D$114)="FixedAct",0,IF(OFFSET($C$6,0,$B437)="FixedAct",0,D421))</f>
        <v>0</v>
      </c>
      <c r="E437" s="52">
        <f ca="1">IF(OFFSET($C$6,0,E$114)="FixedAct",0,IF(OFFSET($C$6,0,$B437)="FixedAct",0,E421))</f>
        <v>0</v>
      </c>
      <c r="F437" s="52">
        <f ca="1">IF(OFFSET($C$6,0,F$114)="FixedAct",0,IF(OFFSET($C$6,0,$B437)="FixedAct",0,G421))</f>
        <v>0</v>
      </c>
      <c r="G437" s="52">
        <f ca="1">IF(OFFSET($C$6,0,G$114)="FixedAct",0,IF(OFFSET($C$6,0,$B437)="FixedAct",0,H421))</f>
        <v>0</v>
      </c>
      <c r="H437" s="52">
        <f ca="1">IF(OFFSET($C$6,0,H$114)="FixedAct",0,IF(OFFSET($C$6,0,$B437)="FixedAct",0,I421))</f>
        <v>0</v>
      </c>
      <c r="I437" s="52"/>
    </row>
    <row r="438" spans="2:9" x14ac:dyDescent="0.25">
      <c r="B438" s="51">
        <f ca="1"/>
        <v>4</v>
      </c>
      <c r="C438" s="52">
        <f ca="1">IF(OFFSET($C$6,0,C$114)="FixedAct",0,IF(OFFSET($C$6,0,$B438)="FixedAct",0,C423))</f>
        <v>0</v>
      </c>
      <c r="D438" s="52">
        <f ca="1">IF(OFFSET($C$6,0,D$114)="FixedAct",0,IF(OFFSET($C$6,0,$B438)="FixedAct",0,D423))</f>
        <v>0</v>
      </c>
      <c r="E438" s="52">
        <f ca="1">IF(OFFSET($C$6,0,E$114)="FixedAct",0,IF(OFFSET($C$6,0,$B438)="FixedAct",0,E423))</f>
        <v>0</v>
      </c>
      <c r="F438" s="52">
        <f ca="1">IF(OFFSET($C$6,0,F$114)="FixedAct",0,IF(OFFSET($C$6,0,$B438)="FixedAct",0,G423))</f>
        <v>0</v>
      </c>
      <c r="G438" s="52">
        <f ca="1">IF(OFFSET($C$6,0,G$114)="FixedAct",0,IF(OFFSET($C$6,0,$B438)="FixedAct",0,H423))</f>
        <v>0</v>
      </c>
      <c r="H438" s="52">
        <f ca="1">IF(OFFSET($C$6,0,H$114)="FixedAct",0,IF(OFFSET($C$6,0,$B438)="FixedAct",0,I423))</f>
        <v>0</v>
      </c>
      <c r="I438" s="52"/>
    </row>
    <row r="439" spans="2:9" x14ac:dyDescent="0.25">
      <c r="B439" s="51">
        <f ca="1"/>
        <v>5</v>
      </c>
      <c r="C439" s="52">
        <f ca="1">IF(OFFSET($C$6,0,C$114)="FixedAct",0,IF(OFFSET($C$6,0,$B439)="FixedAct",0,C424))</f>
        <v>0</v>
      </c>
      <c r="D439" s="52">
        <f ca="1">IF(OFFSET($C$6,0,D$114)="FixedAct",0,IF(OFFSET($C$6,0,$B439)="FixedAct",0,D424))</f>
        <v>0</v>
      </c>
      <c r="E439" s="52">
        <f ca="1">IF(OFFSET($C$6,0,E$114)="FixedAct",0,IF(OFFSET($C$6,0,$B439)="FixedAct",0,E424))</f>
        <v>0</v>
      </c>
      <c r="F439" s="52">
        <f ca="1">IF(OFFSET($C$6,0,F$114)="FixedAct",0,IF(OFFSET($C$6,0,$B439)="FixedAct",0,G424))</f>
        <v>0</v>
      </c>
      <c r="G439" s="52">
        <f ca="1">IF(OFFSET($C$6,0,G$114)="FixedAct",0,IF(OFFSET($C$6,0,$B439)="FixedAct",0,H424))</f>
        <v>0</v>
      </c>
      <c r="H439" s="52">
        <f ca="1">IF(OFFSET($C$6,0,H$114)="FixedAct",0,IF(OFFSET($C$6,0,$B439)="FixedAct",0,I424))</f>
        <v>0</v>
      </c>
      <c r="I439" s="52"/>
    </row>
    <row r="440" spans="2:9" x14ac:dyDescent="0.25">
      <c r="B440" s="51">
        <f ca="1"/>
        <v>6</v>
      </c>
      <c r="C440" s="52">
        <f ca="1">IF(OFFSET($C$6,0,C$114)="FixedAct",0,IF(OFFSET($C$6,0,$B440)="FixedAct",0,C425))</f>
        <v>0</v>
      </c>
      <c r="D440" s="52">
        <f ca="1">IF(OFFSET($C$6,0,D$114)="FixedAct",0,IF(OFFSET($C$6,0,$B440)="FixedAct",0,D425))</f>
        <v>0</v>
      </c>
      <c r="E440" s="52">
        <f ca="1">IF(OFFSET($C$6,0,E$114)="FixedAct",0,IF(OFFSET($C$6,0,$B440)="FixedAct",0,E425))</f>
        <v>0</v>
      </c>
      <c r="F440" s="52">
        <f ca="1">IF(OFFSET($C$6,0,F$114)="FixedAct",0,IF(OFFSET($C$6,0,$B440)="FixedAct",0,G425))</f>
        <v>0</v>
      </c>
      <c r="G440" s="52">
        <f ca="1">IF(OFFSET($C$6,0,G$114)="FixedAct",0,IF(OFFSET($C$6,0,$B440)="FixedAct",0,H425))</f>
        <v>0</v>
      </c>
      <c r="H440" s="52">
        <f ca="1">IF(OFFSET($C$6,0,H$114)="FixedAct",0,IF(OFFSET($C$6,0,$B440)="FixedAct",0,I425))</f>
        <v>0</v>
      </c>
      <c r="I440" s="52"/>
    </row>
    <row r="441" spans="2:9" x14ac:dyDescent="0.25">
      <c r="B441" s="50" t="s">
        <v>246</v>
      </c>
      <c r="C441" s="51" t="e" cm="1">
        <f t="array" aca="1" ref="C441" ca="1">MINVERSE(C435:H440)</f>
        <v>#DIV/0!</v>
      </c>
    </row>
    <row r="447" spans="2:9" x14ac:dyDescent="0.25">
      <c r="B447" s="50" t="s">
        <v>247</v>
      </c>
      <c r="C447" s="51" cm="1">
        <f t="array" aca="1" ref="C447:H447" ca="1">_xlfn._xlws.FILTER(OFFSET(C413,0,0,1,$C$1),OFFSET($C$6,0,0,1,$C$1)&lt;&gt;"FixedAct")</f>
        <v>2.8966984639281756E+31</v>
      </c>
      <c r="D447" s="51">
        <f ca="1"/>
        <v>8.8615943678912556E+31</v>
      </c>
      <c r="E447" s="51">
        <f ca="1"/>
        <v>9.0222157350351607E+28</v>
      </c>
      <c r="F447" s="51">
        <f ca="1"/>
        <v>0</v>
      </c>
      <c r="G447" s="51">
        <f ca="1"/>
        <v>3.8479584664149625E+26</v>
      </c>
      <c r="H447" s="51">
        <f ca="1"/>
        <v>3.5580452980236736E+29</v>
      </c>
    </row>
    <row r="448" spans="2:9" x14ac:dyDescent="0.25">
      <c r="B448" s="50" t="s">
        <v>248</v>
      </c>
      <c r="C448" s="51" t="e" cm="1">
        <f t="array" aca="1" ref="C448" ca="1">TRANSPOSE(MMULT(_xlfn.ANCHORARRAY(C441),TRANSPOSE(_xlfn.ANCHORARRAY(C447))))</f>
        <v>#DIV/0!</v>
      </c>
    </row>
    <row r="449" spans="2:25" x14ac:dyDescent="0.25">
      <c r="B449" s="50" t="s">
        <v>243</v>
      </c>
      <c r="C449" s="51" t="e" cm="1">
        <f t="array" aca="1" ref="C449:I449" ca="1">_xlfn.XLOOKUP(_xlfn.ANCHORARRAY(C418),C434:H434,_xlfn.ANCHORARRAY(C448),0)</f>
        <v>#VALUE!</v>
      </c>
      <c r="D449" s="51" t="e">
        <f ca="1"/>
        <v>#VALUE!</v>
      </c>
      <c r="E449" s="51" t="e">
        <f ca="1"/>
        <v>#VALUE!</v>
      </c>
      <c r="F449" s="51" t="e">
        <f ca="1"/>
        <v>#VALUE!</v>
      </c>
      <c r="G449" s="51" t="e">
        <f ca="1"/>
        <v>#VALUE!</v>
      </c>
      <c r="H449" s="51" t="e">
        <f ca="1"/>
        <v>#VALUE!</v>
      </c>
      <c r="I449" s="51" t="e">
        <f ca="1"/>
        <v>#VALUE!</v>
      </c>
    </row>
    <row r="450" spans="2:25" x14ac:dyDescent="0.25">
      <c r="B450" s="50" t="s">
        <v>226</v>
      </c>
      <c r="C450" s="51" t="e" cm="1">
        <f t="array" aca="1" ref="C450:I450" ca="1">IF(_xlfn.ANCHORARRAY(C449)&gt;=OFFSET(C405,0,0,1,$C$1),OFFSET(C405,0,0,1,$C$1)/10,OFFSET(C405,0,0,1,$C$1)-_xlfn.ANCHORARRAY(C449))</f>
        <v>#VALUE!</v>
      </c>
      <c r="D450" s="51" t="e">
        <f ca="1"/>
        <v>#VALUE!</v>
      </c>
      <c r="E450" s="51" t="e">
        <f ca="1"/>
        <v>#VALUE!</v>
      </c>
      <c r="F450" s="51" t="e">
        <f ca="1"/>
        <v>#VALUE!</v>
      </c>
      <c r="G450" s="51" t="e">
        <f ca="1"/>
        <v>#VALUE!</v>
      </c>
      <c r="H450" s="51" t="e">
        <f ca="1"/>
        <v>#VALUE!</v>
      </c>
      <c r="I450" s="51" t="e">
        <f ca="1"/>
        <v>#VALUE!</v>
      </c>
    </row>
    <row r="451" spans="2:25" x14ac:dyDescent="0.25">
      <c r="B451" s="50" t="s">
        <v>228</v>
      </c>
      <c r="C451" s="51" t="e" cm="1">
        <f t="array" aca="1" ref="C451:Y451" ca="1">IF(OFFSET(C450,0,0,1,$C$2)=0,OFFSET(C405,0,0,1,$C$2),OFFSET(C450,0,0,1,$C$2))</f>
        <v>#VALUE!</v>
      </c>
      <c r="D451" s="51" t="e">
        <f ca="1"/>
        <v>#VALUE!</v>
      </c>
      <c r="E451" s="51" t="e">
        <f ca="1"/>
        <v>#VALUE!</v>
      </c>
      <c r="F451" s="51" t="e">
        <f ca="1"/>
        <v>#VALUE!</v>
      </c>
      <c r="G451" s="51" t="e">
        <f ca="1"/>
        <v>#VALUE!</v>
      </c>
      <c r="H451" s="51" t="e">
        <f ca="1"/>
        <v>#VALUE!</v>
      </c>
      <c r="I451" s="51" t="e">
        <f ca="1"/>
        <v>#VALUE!</v>
      </c>
      <c r="J451" s="51">
        <f ca="1"/>
        <v>8.1721870235427361E-7</v>
      </c>
      <c r="K451" s="51">
        <f ca="1"/>
        <v>6.2006202906448105E+30</v>
      </c>
      <c r="L451" s="51">
        <f ca="1"/>
        <v>9.0222157350391752E+28</v>
      </c>
      <c r="M451" s="51">
        <f ca="1"/>
        <v>0</v>
      </c>
      <c r="N451" s="51">
        <f ca="1"/>
        <v>0</v>
      </c>
      <c r="O451" s="51">
        <f ca="1"/>
        <v>3.6150635588977435E-4</v>
      </c>
      <c r="P451" s="51">
        <f ca="1"/>
        <v>0</v>
      </c>
      <c r="Q451" s="51">
        <f ca="1"/>
        <v>3.7411058827205258E-8</v>
      </c>
      <c r="R451" s="51">
        <f ca="1"/>
        <v>0</v>
      </c>
      <c r="S451" s="51">
        <f ca="1"/>
        <v>0</v>
      </c>
      <c r="T451" s="51">
        <f ca="1"/>
        <v>2.6352264556176646E-6</v>
      </c>
      <c r="U451" s="51">
        <f ca="1"/>
        <v>8.8064127957994268E-12</v>
      </c>
      <c r="V451" s="51">
        <f ca="1"/>
        <v>1.8133482574640185E+26</v>
      </c>
      <c r="W451" s="51">
        <f ca="1"/>
        <v>1.6767268403394166E+29</v>
      </c>
      <c r="X451" s="51">
        <f ca="1"/>
        <v>2.034610208950944E+26</v>
      </c>
      <c r="Y451" s="51">
        <f ca="1"/>
        <v>1.881318457684257E+29</v>
      </c>
    </row>
    <row r="452" spans="2:25" x14ac:dyDescent="0.25">
      <c r="B452" s="50" t="s">
        <v>108</v>
      </c>
      <c r="C452" s="51" t="e" cm="1">
        <f t="array" aca="1" ref="C452" ca="1">SUM(_xlfn.ANCHORARRAY(C451)*OFFSET($C$10,0,0,1,$C$2)^2)*0.5</f>
        <v>#VALUE!</v>
      </c>
    </row>
    <row r="453" spans="2:25" x14ac:dyDescent="0.25">
      <c r="B453" s="50" t="s">
        <v>232</v>
      </c>
      <c r="C453" s="51" t="e" cm="1">
        <f t="array" aca="1" ref="C453:Y453" ca="1">IF(OFFSET($C$11,0,0,1,$C$2)="Debye",10^(ABS(OFFSET($C$10,0,0,1,$C$2))^2*(-(0.27+0.0008*$C$17)*SQRT(C452))/(1+(3*ABS(OFFSET($C$10,0,0,1,$C$2))*0.33*SQRT(C452)))),1)</f>
        <v>#VALUE!</v>
      </c>
      <c r="D453" s="51" t="e">
        <f ca="1"/>
        <v>#VALUE!</v>
      </c>
      <c r="E453" s="51" t="e">
        <f ca="1"/>
        <v>#VALUE!</v>
      </c>
      <c r="F453" s="51" t="e">
        <f ca="1"/>
        <v>#VALUE!</v>
      </c>
      <c r="G453" s="51">
        <f ca="1"/>
        <v>1</v>
      </c>
      <c r="H453" s="51">
        <f ca="1"/>
        <v>1</v>
      </c>
      <c r="I453" s="51">
        <f ca="1"/>
        <v>1</v>
      </c>
      <c r="J453" s="51" t="e">
        <f ca="1"/>
        <v>#VALUE!</v>
      </c>
      <c r="K453" s="51" t="e">
        <f ca="1"/>
        <v>#VALUE!</v>
      </c>
      <c r="L453" s="51" t="e">
        <f ca="1"/>
        <v>#VALUE!</v>
      </c>
      <c r="M453" s="51">
        <f ca="1"/>
        <v>1</v>
      </c>
      <c r="N453" s="51">
        <f ca="1"/>
        <v>1</v>
      </c>
      <c r="O453" s="51">
        <f ca="1"/>
        <v>1</v>
      </c>
      <c r="P453" s="51">
        <f ca="1"/>
        <v>1</v>
      </c>
      <c r="Q453" s="51">
        <f ca="1"/>
        <v>1</v>
      </c>
      <c r="R453" s="51">
        <f ca="1"/>
        <v>1</v>
      </c>
      <c r="S453" s="51">
        <f ca="1"/>
        <v>1</v>
      </c>
      <c r="T453" s="51">
        <f ca="1"/>
        <v>1</v>
      </c>
      <c r="U453" s="51">
        <f ca="1"/>
        <v>1</v>
      </c>
      <c r="V453" s="51">
        <f ca="1"/>
        <v>1</v>
      </c>
      <c r="W453" s="51">
        <f ca="1"/>
        <v>1</v>
      </c>
      <c r="X453" s="51">
        <f ca="1"/>
        <v>1</v>
      </c>
      <c r="Y453" s="51">
        <f ca="1"/>
        <v>1</v>
      </c>
    </row>
    <row r="454" spans="2:25" x14ac:dyDescent="0.25">
      <c r="B454" s="50" t="s">
        <v>228</v>
      </c>
      <c r="C454" s="51" t="e" cm="1">
        <f t="array" aca="1" ref="C454:Y454" ca="1">OFFSET($C$53,0,0,1,$C$2)*TRANSPOSE(_xlfn.BYROW(C451:I451^OFFSET($C$29,0,0,$C$2,$C$1),_xlfn.LAMBDA(_xlpm.array, PRODUCT(_xlpm.array))))</f>
        <v>#VALUE!</v>
      </c>
      <c r="D454" s="51" t="e">
        <f ca="1"/>
        <v>#VALUE!</v>
      </c>
      <c r="E454" s="51" t="e">
        <f ca="1"/>
        <v>#VALUE!</v>
      </c>
      <c r="F454" s="51" t="e">
        <f ca="1"/>
        <v>#VALUE!</v>
      </c>
      <c r="G454" s="51" t="e">
        <f ca="1"/>
        <v>#VALUE!</v>
      </c>
      <c r="H454" s="51" t="e">
        <f ca="1"/>
        <v>#VALUE!</v>
      </c>
      <c r="I454" s="51" t="e">
        <f ca="1"/>
        <v>#VALUE!</v>
      </c>
      <c r="J454" s="51" t="e">
        <f ca="1"/>
        <v>#VALUE!</v>
      </c>
      <c r="K454" s="51" t="e">
        <f ca="1"/>
        <v>#VALUE!</v>
      </c>
      <c r="L454" s="51" t="e">
        <f ca="1"/>
        <v>#VALUE!</v>
      </c>
      <c r="M454" s="51" t="e">
        <f ca="1"/>
        <v>#VALUE!</v>
      </c>
      <c r="N454" s="51" t="e">
        <f ca="1"/>
        <v>#VALUE!</v>
      </c>
      <c r="O454" s="51" t="e">
        <f ca="1"/>
        <v>#VALUE!</v>
      </c>
      <c r="P454" s="51" t="e">
        <f ca="1"/>
        <v>#VALUE!</v>
      </c>
      <c r="Q454" s="51" t="e">
        <f ca="1"/>
        <v>#VALUE!</v>
      </c>
      <c r="R454" s="51" t="e">
        <f ca="1"/>
        <v>#VALUE!</v>
      </c>
      <c r="S454" s="51" t="e">
        <f ca="1"/>
        <v>#VALUE!</v>
      </c>
      <c r="T454" s="51" t="e">
        <f ca="1"/>
        <v>#VALUE!</v>
      </c>
      <c r="U454" s="51" t="e">
        <f ca="1"/>
        <v>#VALUE!</v>
      </c>
      <c r="V454" s="51" t="e">
        <f ca="1"/>
        <v>#VALUE!</v>
      </c>
      <c r="W454" s="51" t="e">
        <f ca="1"/>
        <v>#VALUE!</v>
      </c>
      <c r="X454" s="51" t="e">
        <f ca="1"/>
        <v>#VALUE!</v>
      </c>
      <c r="Y454" s="51" t="e">
        <f ca="1"/>
        <v>#VALUE!</v>
      </c>
    </row>
    <row r="455" spans="2:25" x14ac:dyDescent="0.25">
      <c r="B455" s="50" t="s">
        <v>108</v>
      </c>
      <c r="C455" s="51" t="e" cm="1">
        <f t="array" aca="1" ref="C455" ca="1">SUM(_xlfn.ANCHORARRAY(C454)*OFFSET($C$10,0,0,1,$C$2)^2)*0.5</f>
        <v>#VALUE!</v>
      </c>
    </row>
    <row r="456" spans="2:25" x14ac:dyDescent="0.25">
      <c r="B456" s="50" t="s">
        <v>233</v>
      </c>
      <c r="C456" s="51" cm="1">
        <f t="array" aca="1" ref="C456" ca="1">IFERROR(SUM(_xlfn._xlws.FILTER(_xlfn.ANCHORARRAY(C454)*OFFSET($C$10,0,0,1,$C$2),OFFSET($C$11,0,0,1,$C$2)="WHAMHA")),0)</f>
        <v>0</v>
      </c>
      <c r="D456" s="51" cm="1">
        <f t="array" aca="1" ref="D456" ca="1">IFERROR(SUM(_xlfn._xlws.FILTER(_xlfn.ANCHORARRAY(C454)*OFFSET($C$10,0,0,1,$C$2),OFFSET($C$11,0,0,1,$C$2)="WHAMFA")),0)</f>
        <v>0</v>
      </c>
    </row>
    <row r="457" spans="2:25" x14ac:dyDescent="0.25">
      <c r="B457" s="50" t="s">
        <v>234</v>
      </c>
      <c r="C457" s="51" cm="1">
        <f t="array" aca="1" ref="C457:Y457" ca="1">OFFSET($C$53,0,0,1,$C$2)*IF(OFFSET($C$11,0,0,1,$C$2)="WHAMFA",EXP(2*$D$26*LOG10(C455)*D456*ABS(OFFSET($C$10,0,0,1,$C$2))),IF(OFFSET($C$11,0,0,1,$C$2)="WHAMHA",EXP(2*$D$26*LOG10(C455)*C456*ABS(OFFSET($C$10,0,0,1,$C$2))),1))</f>
        <v>1</v>
      </c>
      <c r="D457" s="51">
        <f ca="1"/>
        <v>1</v>
      </c>
      <c r="E457" s="51">
        <f ca="1"/>
        <v>1</v>
      </c>
      <c r="F457" s="51">
        <f ca="1"/>
        <v>1</v>
      </c>
      <c r="G457" s="51">
        <f ca="1"/>
        <v>1</v>
      </c>
      <c r="H457" s="51" t="e">
        <f ca="1"/>
        <v>#VALUE!</v>
      </c>
      <c r="I457" s="51" t="e">
        <f ca="1"/>
        <v>#VALUE!</v>
      </c>
      <c r="J457" s="51">
        <f ca="1"/>
        <v>2.1995725798065139E-14</v>
      </c>
      <c r="K457" s="51">
        <f ca="1"/>
        <v>1.4954498711240171E-8</v>
      </c>
      <c r="L457" s="51">
        <f ca="1"/>
        <v>2.2363202312453416</v>
      </c>
      <c r="M457" s="51">
        <f ca="1"/>
        <v>1</v>
      </c>
      <c r="N457" s="51">
        <f ca="1"/>
        <v>1</v>
      </c>
      <c r="O457" s="51">
        <f ca="1"/>
        <v>1</v>
      </c>
      <c r="P457" s="51">
        <f ca="1"/>
        <v>1</v>
      </c>
      <c r="Q457" s="51">
        <f ca="1"/>
        <v>1.0069316688518E-14</v>
      </c>
      <c r="R457" s="51">
        <f ca="1"/>
        <v>3.0199517204020201E-8</v>
      </c>
      <c r="S457" s="51">
        <f ca="1"/>
        <v>2.5118864315095801</v>
      </c>
      <c r="T457" s="51" t="e">
        <f ca="1"/>
        <v>#VALUE!</v>
      </c>
      <c r="U457" s="51" t="e">
        <f ca="1"/>
        <v>#VALUE!</v>
      </c>
      <c r="V457" s="51" t="e">
        <f ca="1"/>
        <v>#VALUE!</v>
      </c>
      <c r="W457" s="51" t="e">
        <f ca="1"/>
        <v>#VALUE!</v>
      </c>
      <c r="X457" s="51" t="e">
        <f ca="1"/>
        <v>#VALUE!</v>
      </c>
      <c r="Y457" s="51" t="e">
        <f ca="1"/>
        <v>#VALUE!</v>
      </c>
    </row>
    <row r="458" spans="2:25" x14ac:dyDescent="0.25">
      <c r="B458" s="50" t="s">
        <v>236</v>
      </c>
      <c r="C458" s="51" t="e" cm="1">
        <f t="array" aca="1" ref="C458:D458" ca="1">((1000*((6.022E+23)/$C$24:$D$24)*(4*PI()/3)*((($C$25:$D$25+(0.000000000304 / SQRT(C455)))^3)-(($C$25:$D$25)^3)))*$C$20*ABS(C456:D456))/(1+$C$20*ABS(C456:D456))*$C$23:$D$23*$C$24:$D$24</f>
        <v>#VALUE!</v>
      </c>
      <c r="D458" s="51" t="e">
        <f ca="1"/>
        <v>#VALUE!</v>
      </c>
    </row>
    <row r="459" spans="2:25" x14ac:dyDescent="0.25">
      <c r="B459" s="50" t="s">
        <v>237</v>
      </c>
      <c r="C459" s="51" t="e" cm="1">
        <f t="array" aca="1" ref="C459:D459" ca="1">$C$19/($C$19+SUM(_xlfn.ANCHORARRAY(C458)))*_xlfn.ANCHORARRAY(C458)</f>
        <v>#VALUE!</v>
      </c>
      <c r="D459" s="51" t="e">
        <f ca="1"/>
        <v>#VALUE!</v>
      </c>
    </row>
    <row r="460" spans="2:25" x14ac:dyDescent="0.25">
      <c r="B460" s="50" t="s">
        <v>235</v>
      </c>
      <c r="C460" s="51" cm="1">
        <f t="array" aca="1" ref="C460:Y460" ca="1">IF(OFFSET($C$11,0,0,1,$C$2)="DonnanHA",C459,IF(OFFSET($C$11,0,0,1,$C$2)="DonnanFA",D459,IF(OR(OFFSET($C$11,0,0,1,$C$2)="WHAMHA",OFFSET($C$11,0,0,1,$C$2)="WHAMFA"),OFFSET($C$14,0,0,1,$C$2),OFFSET($C$14,0,0,1,$C$2)-SUM(_xlfn.ANCHORARRAY(C459)))))</f>
        <v>1</v>
      </c>
      <c r="D460" s="51">
        <f ca="1"/>
        <v>1</v>
      </c>
      <c r="E460" s="51">
        <f ca="1"/>
        <v>1</v>
      </c>
      <c r="F460" s="51">
        <f ca="1"/>
        <v>1</v>
      </c>
      <c r="G460" s="51" t="e">
        <f ca="1"/>
        <v>#VALUE!</v>
      </c>
      <c r="H460" s="51">
        <f ca="1"/>
        <v>1</v>
      </c>
      <c r="I460" s="51">
        <f ca="1"/>
        <v>1</v>
      </c>
      <c r="J460" s="51">
        <f ca="1"/>
        <v>1</v>
      </c>
      <c r="K460" s="51">
        <f ca="1"/>
        <v>1</v>
      </c>
      <c r="L460" s="51">
        <f ca="1"/>
        <v>1</v>
      </c>
      <c r="M460" s="51" t="e">
        <f ca="1"/>
        <v>#VALUE!</v>
      </c>
      <c r="N460" s="51" t="e">
        <f ca="1"/>
        <v>#VALUE!</v>
      </c>
      <c r="O460" s="51" t="e">
        <f ca="1"/>
        <v>#VALUE!</v>
      </c>
      <c r="P460" s="51" t="e">
        <f ca="1"/>
        <v>#VALUE!</v>
      </c>
      <c r="Q460" s="51" t="e">
        <f ca="1"/>
        <v>#VALUE!</v>
      </c>
      <c r="R460" s="51" t="e">
        <f ca="1"/>
        <v>#VALUE!</v>
      </c>
      <c r="S460" s="51" t="e">
        <f ca="1"/>
        <v>#VALUE!</v>
      </c>
      <c r="T460" s="51">
        <f ca="1"/>
        <v>1</v>
      </c>
      <c r="U460" s="51">
        <f ca="1"/>
        <v>1</v>
      </c>
      <c r="V460" s="51">
        <f ca="1"/>
        <v>1</v>
      </c>
      <c r="W460" s="51">
        <f ca="1"/>
        <v>1</v>
      </c>
      <c r="X460" s="51">
        <f ca="1"/>
        <v>1</v>
      </c>
      <c r="Y460" s="51">
        <f ca="1"/>
        <v>1</v>
      </c>
    </row>
    <row r="461" spans="2:25" x14ac:dyDescent="0.25">
      <c r="B461" s="50" t="s">
        <v>228</v>
      </c>
      <c r="C461" s="51" t="e" cm="1">
        <f t="array" aca="1" ref="C461:Y461" ca="1">IF((OFFSET($C$11,0,0,1,$C$2)="DonnanFA")*(SIGN(_xlfn.SEQUENCE(1,$C$2,D456,0))=SIGN(OFFSET($C$10,0,0,1,$C$2))),0,OFFSET(C454,0,0,1,$C$2))</f>
        <v>#VALUE!</v>
      </c>
      <c r="D461" s="51" t="e">
        <f ca="1"/>
        <v>#VALUE!</v>
      </c>
      <c r="E461" s="51" t="e">
        <f ca="1"/>
        <v>#VALUE!</v>
      </c>
      <c r="F461" s="51" t="e">
        <f ca="1"/>
        <v>#VALUE!</v>
      </c>
      <c r="G461" s="51">
        <f ca="1"/>
        <v>0</v>
      </c>
      <c r="H461" s="51" t="e">
        <f ca="1"/>
        <v>#VALUE!</v>
      </c>
      <c r="I461" s="51" t="e">
        <f ca="1"/>
        <v>#VALUE!</v>
      </c>
      <c r="J461" s="51" t="e">
        <f ca="1"/>
        <v>#VALUE!</v>
      </c>
      <c r="K461" s="51" t="e">
        <f ca="1"/>
        <v>#VALUE!</v>
      </c>
      <c r="L461" s="51" t="e">
        <f ca="1"/>
        <v>#VALUE!</v>
      </c>
      <c r="M461" s="51" t="e">
        <f ca="1"/>
        <v>#VALUE!</v>
      </c>
      <c r="N461" s="51" t="e">
        <f ca="1"/>
        <v>#VALUE!</v>
      </c>
      <c r="O461" s="51" t="e">
        <f ca="1"/>
        <v>#VALUE!</v>
      </c>
      <c r="P461" s="51" t="e">
        <f ca="1"/>
        <v>#VALUE!</v>
      </c>
      <c r="Q461" s="51" t="e">
        <f ca="1"/>
        <v>#VALUE!</v>
      </c>
      <c r="R461" s="51" t="e">
        <f ca="1"/>
        <v>#VALUE!</v>
      </c>
      <c r="S461" s="51" t="e">
        <f ca="1"/>
        <v>#VALUE!</v>
      </c>
      <c r="T461" s="51" t="e">
        <f ca="1"/>
        <v>#VALUE!</v>
      </c>
      <c r="U461" s="51" t="e">
        <f ca="1"/>
        <v>#VALUE!</v>
      </c>
      <c r="V461" s="51" t="e">
        <f ca="1"/>
        <v>#VALUE!</v>
      </c>
      <c r="W461" s="51" t="e">
        <f ca="1"/>
        <v>#VALUE!</v>
      </c>
      <c r="X461" s="51" t="e">
        <f ca="1"/>
        <v>#VALUE!</v>
      </c>
      <c r="Y461" s="51" t="e">
        <f ca="1"/>
        <v>#VALUE!</v>
      </c>
    </row>
    <row r="462" spans="2:25" x14ac:dyDescent="0.25">
      <c r="B462" s="50" t="s">
        <v>238</v>
      </c>
      <c r="C462" s="51" t="e" cm="1">
        <f t="array" aca="1" ref="C462:Y462" ca="1">_xlfn.ANCHORARRAY(C461)*_xlfn.ANCHORARRAY(C460)</f>
        <v>#VALUE!</v>
      </c>
      <c r="D462" s="51" t="e">
        <f ca="1"/>
        <v>#VALUE!</v>
      </c>
      <c r="E462" s="51" t="e">
        <f ca="1"/>
        <v>#VALUE!</v>
      </c>
      <c r="F462" s="51" t="e">
        <f ca="1"/>
        <v>#VALUE!</v>
      </c>
      <c r="G462" s="51" t="e">
        <f ca="1"/>
        <v>#VALUE!</v>
      </c>
      <c r="H462" s="51" t="e">
        <f ca="1"/>
        <v>#VALUE!</v>
      </c>
      <c r="I462" s="51" t="e">
        <f ca="1"/>
        <v>#VALUE!</v>
      </c>
      <c r="J462" s="51" t="e">
        <f ca="1"/>
        <v>#VALUE!</v>
      </c>
      <c r="K462" s="51" t="e">
        <f ca="1"/>
        <v>#VALUE!</v>
      </c>
      <c r="L462" s="51" t="e">
        <f ca="1"/>
        <v>#VALUE!</v>
      </c>
      <c r="M462" s="51" t="e">
        <f ca="1"/>
        <v>#VALUE!</v>
      </c>
      <c r="N462" s="51" t="e">
        <f ca="1"/>
        <v>#VALUE!</v>
      </c>
      <c r="O462" s="51" t="e">
        <f ca="1"/>
        <v>#VALUE!</v>
      </c>
      <c r="P462" s="51" t="e">
        <f ca="1"/>
        <v>#VALUE!</v>
      </c>
      <c r="Q462" s="51" t="e">
        <f ca="1"/>
        <v>#VALUE!</v>
      </c>
      <c r="R462" s="51" t="e">
        <f ca="1"/>
        <v>#VALUE!</v>
      </c>
      <c r="S462" s="51" t="e">
        <f ca="1"/>
        <v>#VALUE!</v>
      </c>
      <c r="T462" s="51" t="e">
        <f ca="1"/>
        <v>#VALUE!</v>
      </c>
      <c r="U462" s="51" t="e">
        <f ca="1"/>
        <v>#VALUE!</v>
      </c>
      <c r="V462" s="51" t="e">
        <f ca="1"/>
        <v>#VALUE!</v>
      </c>
      <c r="W462" s="51" t="e">
        <f ca="1"/>
        <v>#VALUE!</v>
      </c>
      <c r="X462" s="51" t="e">
        <f ca="1"/>
        <v>#VALUE!</v>
      </c>
      <c r="Y462" s="51" t="e">
        <f ca="1"/>
        <v>#VALUE!</v>
      </c>
    </row>
    <row r="463" spans="2:25" x14ac:dyDescent="0.25">
      <c r="B463" s="50" t="s">
        <v>105</v>
      </c>
      <c r="C463" s="51" t="e" cm="1">
        <f t="array" aca="1" ref="C463:I463" ca="1">IF(OFFSET($C$5,0,0,1,$C$1)="DonnanFA",-D456,OFFSET(C449,0,0,1,$C$1))</f>
        <v>#VALUE!</v>
      </c>
      <c r="D463" s="51" t="e">
        <f ca="1"/>
        <v>#VALUE!</v>
      </c>
      <c r="E463" s="51" t="e">
        <f ca="1"/>
        <v>#VALUE!</v>
      </c>
      <c r="F463" s="51" t="e">
        <f ca="1"/>
        <v>#VALUE!</v>
      </c>
      <c r="G463" s="51">
        <f ca="1"/>
        <v>0</v>
      </c>
      <c r="H463" s="51" t="e">
        <f ca="1"/>
        <v>#VALUE!</v>
      </c>
      <c r="I463" s="51" t="e">
        <f ca="1"/>
        <v>#VALUE!</v>
      </c>
    </row>
    <row r="464" spans="2:25" x14ac:dyDescent="0.25">
      <c r="B464" s="50" t="s">
        <v>222</v>
      </c>
      <c r="C464" s="51" t="e" cm="1">
        <f t="array" aca="1" ref="C464:I464" ca="1">OFFSET(C460,0,0,1,$C$1)*_xlfn.ANCHORARRAY(C463)</f>
        <v>#VALUE!</v>
      </c>
      <c r="D464" s="51" t="e">
        <f ca="1"/>
        <v>#VALUE!</v>
      </c>
      <c r="E464" s="51" t="e">
        <f ca="1"/>
        <v>#VALUE!</v>
      </c>
      <c r="F464" s="51" t="e">
        <f ca="1"/>
        <v>#VALUE!</v>
      </c>
      <c r="G464" s="51" t="e">
        <f ca="1"/>
        <v>#VALUE!</v>
      </c>
      <c r="H464" s="51" t="e">
        <f ca="1"/>
        <v>#VALUE!</v>
      </c>
      <c r="I464" s="51" t="e">
        <f ca="1"/>
        <v>#VALUE!</v>
      </c>
    </row>
    <row r="465" spans="2:9" x14ac:dyDescent="0.25">
      <c r="B465" s="50" t="s">
        <v>222</v>
      </c>
      <c r="C465" s="51" t="e" cm="1">
        <f t="array" aca="1" ref="C465:I465" ca="1">IF(OFFSET($C$6,0,0,1,$C$1)="FixedAct",MMULT((_xlfn.ANCHORARRAY(C461)*_xlfn.ANCHORARRAY(C460)),OFFSET($C$29,0,0,$C$2,$C$1)),_xlfn.ANCHORARRAY(C464))</f>
        <v>#VALUE!</v>
      </c>
      <c r="D465" s="51" t="e">
        <f ca="1"/>
        <v>#VALUE!</v>
      </c>
      <c r="E465" s="51" t="e">
        <f ca="1"/>
        <v>#VALUE!</v>
      </c>
      <c r="F465" s="51" t="e">
        <f ca="1"/>
        <v>#VALUE!</v>
      </c>
      <c r="G465" s="51" t="e">
        <f ca="1"/>
        <v>#VALUE!</v>
      </c>
      <c r="H465" s="51" t="e">
        <f ca="1"/>
        <v>#VALUE!</v>
      </c>
      <c r="I465" s="51" t="e">
        <f ca="1"/>
        <v>#VALUE!</v>
      </c>
    </row>
    <row r="466" spans="2:9" x14ac:dyDescent="0.25">
      <c r="B466" s="50" t="s">
        <v>105</v>
      </c>
      <c r="C466" s="51" t="e" cm="1">
        <f t="array" aca="1" ref="C466:I466" ca="1">_xlfn.ANCHORARRAY(C465)*OFFSET(C460,0,0,1,$C$1)</f>
        <v>#VALUE!</v>
      </c>
      <c r="D466" s="51" t="e">
        <f ca="1"/>
        <v>#VALUE!</v>
      </c>
      <c r="E466" s="51" t="e">
        <f ca="1"/>
        <v>#VALUE!</v>
      </c>
      <c r="F466" s="51" t="e">
        <f ca="1"/>
        <v>#VALUE!</v>
      </c>
      <c r="G466" s="51" t="e">
        <f ca="1"/>
        <v>#VALUE!</v>
      </c>
      <c r="H466" s="51" t="e">
        <f ca="1"/>
        <v>#VALUE!</v>
      </c>
      <c r="I466" s="51" t="e">
        <f ca="1"/>
        <v>#VALUE!</v>
      </c>
    </row>
    <row r="467" spans="2:9" x14ac:dyDescent="0.25">
      <c r="B467" s="50" t="s">
        <v>239</v>
      </c>
      <c r="C467" s="51" t="e" cm="1">
        <f t="array" aca="1" ref="C467" ca="1">MMULT((_xlfn.ANCHORARRAY(C461)*_xlfn.ANCHORARRAY(C460)),OFFSET($C$29,0,0,$C$2,$C$1))</f>
        <v>#VALUE!</v>
      </c>
    </row>
    <row r="468" spans="2:9" x14ac:dyDescent="0.25">
      <c r="B468" s="50" t="s">
        <v>103</v>
      </c>
      <c r="C468" s="51" t="e" cm="1">
        <f t="array" aca="1" ref="C468:I468" ca="1">_xlfn.ANCHORARRAY(C467)/OFFSET(C460,0,0,1,$C$1)</f>
        <v>#VALUE!</v>
      </c>
      <c r="D468" s="51" t="e">
        <f ca="1"/>
        <v>#VALUE!</v>
      </c>
      <c r="E468" s="51" t="e">
        <f ca="1"/>
        <v>#VALUE!</v>
      </c>
      <c r="F468" s="51" t="e">
        <f ca="1"/>
        <v>#VALUE!</v>
      </c>
      <c r="G468" s="51" t="e">
        <f ca="1"/>
        <v>#VALUE!</v>
      </c>
      <c r="H468" s="51" t="e">
        <f ca="1"/>
        <v>#VALUE!</v>
      </c>
      <c r="I468" s="51" t="e">
        <f ca="1"/>
        <v>#VALUE!</v>
      </c>
    </row>
    <row r="469" spans="2:9" x14ac:dyDescent="0.25">
      <c r="B469" s="50" t="s">
        <v>104</v>
      </c>
      <c r="C469" s="51" t="e" cm="1">
        <f t="array" aca="1" ref="C469:I469" ca="1">IF(OFFSET($C$6,0,0,1,$C$1)="FixedAct",0,_xlfn.ANCHORARRAY(C467)-_xlfn.ANCHORARRAY(C465))</f>
        <v>#VALUE!</v>
      </c>
      <c r="D469" s="51" t="e">
        <f ca="1"/>
        <v>#VALUE!</v>
      </c>
      <c r="E469" s="51" t="e">
        <f ca="1"/>
        <v>#VALUE!</v>
      </c>
      <c r="F469" s="51">
        <f ca="1"/>
        <v>0</v>
      </c>
      <c r="G469" s="51" t="e">
        <f ca="1"/>
        <v>#VALUE!</v>
      </c>
      <c r="H469" s="51" t="e">
        <f ca="1"/>
        <v>#VALUE!</v>
      </c>
      <c r="I469" s="51" t="e">
        <f ca="1"/>
        <v>#VALUE!</v>
      </c>
    </row>
    <row r="470" spans="2:9" x14ac:dyDescent="0.25">
      <c r="B470" s="50" t="s">
        <v>240</v>
      </c>
      <c r="C470" s="51" t="e" cm="1">
        <f t="array" aca="1" ref="C470:I470" ca="1">ABS(_xlfn.ANCHORARRAY(C469)/_xlfn.ANCHORARRAY(C465))</f>
        <v>#VALUE!</v>
      </c>
      <c r="D470" s="51" t="e">
        <f ca="1"/>
        <v>#VALUE!</v>
      </c>
      <c r="E470" s="51" t="e">
        <f ca="1"/>
        <v>#VALUE!</v>
      </c>
      <c r="F470" s="51" t="e">
        <f ca="1"/>
        <v>#VALUE!</v>
      </c>
      <c r="G470" s="51" t="e">
        <f ca="1"/>
        <v>#VALUE!</v>
      </c>
      <c r="H470" s="51" t="e">
        <f ca="1"/>
        <v>#VALUE!</v>
      </c>
      <c r="I470" s="51" t="e">
        <f ca="1"/>
        <v>#VALUE!</v>
      </c>
    </row>
    <row r="471" spans="2:9" x14ac:dyDescent="0.25">
      <c r="B471" s="50" t="s">
        <v>58</v>
      </c>
      <c r="C471" s="51" t="e">
        <f ca="1">MAX(_xlfn.ANCHORARRAY(C470))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</vt:lpstr>
      <vt:lpstr>test_wBL</vt:lpstr>
      <vt:lpstr>abbrev_inorg</vt:lpstr>
      <vt:lpstr>abbrev_inorg_wBL</vt:lpstr>
      <vt:lpstr>abbrev_inorg_wBL (DBH)</vt:lpstr>
      <vt:lpstr>abbrev_organic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2023-11-14T14:16:32Z</dcterms:created>
  <dcterms:modified xsi:type="dcterms:W3CDTF">2024-02-13T21:37:57Z</dcterms:modified>
</cp:coreProperties>
</file>