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160" yWindow="0" windowWidth="25120" windowHeight="15040" tabRatio="500" activeTab="1"/>
  </bookViews>
  <sheets>
    <sheet name="Title" sheetId="7" r:id="rId1"/>
    <sheet name="Stewardship" sheetId="8" r:id="rId2"/>
    <sheet name="Transaction" sheetId="4" r:id="rId3"/>
    <sheet name="Income" sheetId="2" r:id="rId4"/>
    <sheet name="Management Report" sheetId="5" r:id="rId5"/>
    <sheet name="Data" sheetId="1" r:id="rId6"/>
    <sheet name="Portfolio" sheetId="9" r:id="rId7"/>
    <sheet name="Managed UISES" sheetId="3" r:id="rId8"/>
  </sheets>
  <externalReferences>
    <externalReference r:id="rId9"/>
    <externalReference r:id="rId10"/>
    <externalReference r:id="rId11"/>
  </externalReferences>
  <definedNames>
    <definedName name="Data" localSheetId="5">#REF!</definedName>
    <definedName name="Data" localSheetId="1">#REF!</definedName>
    <definedName name="Data">#REF!</definedName>
    <definedName name="Date" localSheetId="1">[1]Title!$B$4</definedName>
    <definedName name="Date">[2]Title!$B$4</definedName>
    <definedName name="_xlnm.Print_Titles" localSheetId="1">Stewardship!$1:$2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8" l="1"/>
  <c r="L2" i="4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M13" i="4"/>
  <c r="M9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K46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6" i="4"/>
  <c r="K7" i="4"/>
  <c r="K8" i="4"/>
  <c r="K9" i="4"/>
  <c r="K10" i="4"/>
  <c r="K11" i="4"/>
  <c r="K5" i="4"/>
  <c r="C13" i="5"/>
  <c r="L24" i="2"/>
  <c r="L28" i="2"/>
  <c r="G56" i="4"/>
  <c r="G58" i="4"/>
  <c r="E26" i="8"/>
  <c r="J26" i="8"/>
  <c r="I5" i="8"/>
  <c r="J5" i="8"/>
  <c r="I6" i="8"/>
  <c r="J6" i="8"/>
  <c r="I7" i="8"/>
  <c r="J7" i="8"/>
  <c r="I8" i="8"/>
  <c r="J8" i="8"/>
  <c r="I9" i="8"/>
  <c r="J9" i="8"/>
  <c r="I10" i="8"/>
  <c r="J10" i="8"/>
  <c r="I11" i="8"/>
  <c r="J11" i="8"/>
  <c r="I12" i="8"/>
  <c r="J12" i="8"/>
  <c r="I13" i="8"/>
  <c r="J13" i="8"/>
  <c r="I14" i="8"/>
  <c r="J14" i="8"/>
  <c r="I15" i="8"/>
  <c r="J15" i="8"/>
  <c r="I16" i="8"/>
  <c r="J16" i="8"/>
  <c r="I17" i="8"/>
  <c r="J17" i="8"/>
  <c r="I18" i="8"/>
  <c r="J18" i="8"/>
  <c r="I19" i="8"/>
  <c r="J19" i="8"/>
  <c r="I20" i="8"/>
  <c r="J20" i="8"/>
  <c r="I21" i="8"/>
  <c r="J21" i="8"/>
  <c r="I22" i="8"/>
  <c r="J22" i="8"/>
  <c r="J23" i="8"/>
  <c r="J30" i="8"/>
  <c r="B11" i="5"/>
  <c r="B10" i="5"/>
  <c r="B9" i="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30" i="8"/>
  <c r="B6" i="5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5" i="8"/>
  <c r="L23" i="8"/>
  <c r="I4" i="8"/>
  <c r="E41" i="8"/>
  <c r="M47" i="4"/>
  <c r="E40" i="8"/>
  <c r="J2" i="2"/>
  <c r="L5" i="2"/>
  <c r="L6" i="2"/>
  <c r="L7" i="2"/>
  <c r="L8" i="2"/>
  <c r="L9" i="2"/>
  <c r="L10" i="2"/>
  <c r="L11" i="2"/>
  <c r="L12" i="2"/>
  <c r="L13" i="2"/>
  <c r="L14" i="2"/>
  <c r="L15" i="2"/>
  <c r="L16" i="2"/>
  <c r="E39" i="8"/>
  <c r="J5" i="2"/>
  <c r="J6" i="2"/>
  <c r="J7" i="2"/>
  <c r="J8" i="2"/>
  <c r="J9" i="2"/>
  <c r="J10" i="2"/>
  <c r="J11" i="2"/>
  <c r="J12" i="2"/>
  <c r="J13" i="2"/>
  <c r="J14" i="2"/>
  <c r="J15" i="2"/>
  <c r="J16" i="2"/>
  <c r="J28" i="2"/>
  <c r="J28" i="8"/>
  <c r="G53" i="4"/>
  <c r="L5" i="4"/>
  <c r="L47" i="4"/>
  <c r="B24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5" i="8"/>
  <c r="E42" i="8"/>
  <c r="B43" i="8"/>
  <c r="J39" i="8"/>
  <c r="J38" i="8"/>
  <c r="M39" i="8"/>
  <c r="L39" i="8"/>
  <c r="I39" i="8"/>
  <c r="J34" i="8"/>
  <c r="J33" i="8"/>
  <c r="J35" i="8"/>
  <c r="K35" i="8"/>
  <c r="F30" i="8"/>
  <c r="K26" i="8"/>
  <c r="F26" i="8"/>
  <c r="M23" i="8"/>
  <c r="F23" i="8"/>
  <c r="M22" i="8"/>
  <c r="H22" i="8"/>
  <c r="F22" i="8"/>
  <c r="M21" i="8"/>
  <c r="H21" i="8"/>
  <c r="F21" i="8"/>
  <c r="M20" i="8"/>
  <c r="H20" i="8"/>
  <c r="F20" i="8"/>
  <c r="M19" i="8"/>
  <c r="H19" i="8"/>
  <c r="F19" i="8"/>
  <c r="M18" i="8"/>
  <c r="H18" i="8"/>
  <c r="F18" i="8"/>
  <c r="M17" i="8"/>
  <c r="H17" i="8"/>
  <c r="F17" i="8"/>
  <c r="M16" i="8"/>
  <c r="H16" i="8"/>
  <c r="F16" i="8"/>
  <c r="M15" i="8"/>
  <c r="H15" i="8"/>
  <c r="F15" i="8"/>
  <c r="M14" i="8"/>
  <c r="H14" i="8"/>
  <c r="F14" i="8"/>
  <c r="M13" i="8"/>
  <c r="H13" i="8"/>
  <c r="F13" i="8"/>
  <c r="M12" i="8"/>
  <c r="H12" i="8"/>
  <c r="F12" i="8"/>
  <c r="M11" i="8"/>
  <c r="H11" i="8"/>
  <c r="F11" i="8"/>
  <c r="M10" i="8"/>
  <c r="H10" i="8"/>
  <c r="F10" i="8"/>
  <c r="M9" i="8"/>
  <c r="H9" i="8"/>
  <c r="F9" i="8"/>
  <c r="M8" i="8"/>
  <c r="H8" i="8"/>
  <c r="F8" i="8"/>
  <c r="M7" i="8"/>
  <c r="H7" i="8"/>
  <c r="F7" i="8"/>
  <c r="M6" i="8"/>
  <c r="H6" i="8"/>
  <c r="F6" i="8"/>
  <c r="M5" i="8"/>
  <c r="H5" i="8"/>
  <c r="F5" i="8"/>
  <c r="H13" i="4"/>
  <c r="I26" i="3"/>
  <c r="I28" i="3"/>
  <c r="C11" i="5"/>
  <c r="C10" i="5"/>
  <c r="C9" i="5"/>
  <c r="H26" i="3"/>
  <c r="H28" i="3"/>
  <c r="C6" i="5"/>
  <c r="C5" i="5"/>
  <c r="B5" i="5"/>
  <c r="C4" i="5"/>
  <c r="B4" i="5"/>
  <c r="D6" i="5"/>
  <c r="E4" i="5"/>
  <c r="C14" i="5"/>
  <c r="D10" i="5"/>
  <c r="E10" i="5"/>
  <c r="E9" i="5"/>
  <c r="A9" i="5"/>
  <c r="E6" i="5"/>
  <c r="A1" i="5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5" i="4"/>
  <c r="M46" i="4"/>
  <c r="I46" i="4"/>
  <c r="H46" i="4"/>
  <c r="J45" i="4"/>
  <c r="I45" i="4"/>
  <c r="H45" i="4"/>
  <c r="M44" i="4"/>
  <c r="I44" i="4"/>
  <c r="H44" i="4"/>
  <c r="J43" i="4"/>
  <c r="I43" i="4"/>
  <c r="H43" i="4"/>
  <c r="M42" i="4"/>
  <c r="J42" i="4"/>
  <c r="I42" i="4"/>
  <c r="H42" i="4"/>
  <c r="J41" i="4"/>
  <c r="I41" i="4"/>
  <c r="H41" i="4"/>
  <c r="M40" i="4"/>
  <c r="I40" i="4"/>
  <c r="H40" i="4"/>
  <c r="J39" i="4"/>
  <c r="J40" i="4"/>
  <c r="I39" i="4"/>
  <c r="H39" i="4"/>
  <c r="J38" i="4"/>
  <c r="I38" i="4"/>
  <c r="H38" i="4"/>
  <c r="J37" i="4"/>
  <c r="I37" i="4"/>
  <c r="H37" i="4"/>
  <c r="J36" i="4"/>
  <c r="I36" i="4"/>
  <c r="H36" i="4"/>
  <c r="M35" i="4"/>
  <c r="J35" i="4"/>
  <c r="I35" i="4"/>
  <c r="H35" i="4"/>
  <c r="J34" i="4"/>
  <c r="I34" i="4"/>
  <c r="H34" i="4"/>
  <c r="J33" i="4"/>
  <c r="I33" i="4"/>
  <c r="H33" i="4"/>
  <c r="M32" i="4"/>
  <c r="I32" i="4"/>
  <c r="H32" i="4"/>
  <c r="I31" i="4"/>
  <c r="H31" i="4"/>
  <c r="M30" i="4"/>
  <c r="I30" i="4"/>
  <c r="H30" i="4"/>
  <c r="J29" i="4"/>
  <c r="I29" i="4"/>
  <c r="H29" i="4"/>
  <c r="J28" i="4"/>
  <c r="I28" i="4"/>
  <c r="H28" i="4"/>
  <c r="J27" i="4"/>
  <c r="I27" i="4"/>
  <c r="H27" i="4"/>
  <c r="J26" i="4"/>
  <c r="I26" i="4"/>
  <c r="H26" i="4"/>
  <c r="J25" i="4"/>
  <c r="I25" i="4"/>
  <c r="H25" i="4"/>
  <c r="J24" i="4"/>
  <c r="I24" i="4"/>
  <c r="H24" i="4"/>
  <c r="J23" i="4"/>
  <c r="I23" i="4"/>
  <c r="H23" i="4"/>
  <c r="I22" i="4"/>
  <c r="H22" i="4"/>
  <c r="J21" i="4"/>
  <c r="I21" i="4"/>
  <c r="H21" i="4"/>
  <c r="J20" i="4"/>
  <c r="I20" i="4"/>
  <c r="H20" i="4"/>
  <c r="M19" i="4"/>
  <c r="I19" i="4"/>
  <c r="H19" i="4"/>
  <c r="J18" i="4"/>
  <c r="J19" i="4"/>
  <c r="I18" i="4"/>
  <c r="H18" i="4"/>
  <c r="I17" i="4"/>
  <c r="H17" i="4"/>
  <c r="M16" i="4"/>
  <c r="J16" i="4"/>
  <c r="J17" i="4"/>
  <c r="I16" i="4"/>
  <c r="H16" i="4"/>
  <c r="J15" i="4"/>
  <c r="I15" i="4"/>
  <c r="H15" i="4"/>
  <c r="J14" i="4"/>
  <c r="I14" i="4"/>
  <c r="H14" i="4"/>
  <c r="J13" i="4"/>
  <c r="I13" i="4"/>
  <c r="J12" i="4"/>
  <c r="I12" i="4"/>
  <c r="H12" i="4"/>
  <c r="J11" i="4"/>
  <c r="I11" i="4"/>
  <c r="H11" i="4"/>
  <c r="J10" i="4"/>
  <c r="I10" i="4"/>
  <c r="H10" i="4"/>
  <c r="I9" i="4"/>
  <c r="H9" i="4"/>
  <c r="I8" i="4"/>
  <c r="H8" i="4"/>
  <c r="J7" i="4"/>
  <c r="J8" i="4"/>
  <c r="I7" i="4"/>
  <c r="H7" i="4"/>
  <c r="M6" i="4"/>
  <c r="I6" i="4"/>
  <c r="H6" i="4"/>
  <c r="G55" i="4"/>
  <c r="J5" i="4"/>
  <c r="J6" i="4"/>
  <c r="I5" i="4"/>
  <c r="I47" i="4"/>
  <c r="G57" i="4"/>
  <c r="H5" i="4"/>
  <c r="H47" i="4"/>
  <c r="E14" i="5"/>
  <c r="D4" i="5"/>
  <c r="E5" i="5"/>
  <c r="D5" i="5"/>
  <c r="D9" i="5"/>
  <c r="D14" i="5"/>
  <c r="J9" i="4"/>
  <c r="J46" i="4"/>
  <c r="J44" i="4"/>
  <c r="G54" i="4"/>
  <c r="J22" i="4"/>
  <c r="J30" i="4"/>
  <c r="J31" i="4"/>
  <c r="J32" i="4"/>
  <c r="L28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26" i="3"/>
  <c r="D6" i="2"/>
  <c r="D7" i="2"/>
  <c r="D8" i="2"/>
  <c r="D9" i="2"/>
  <c r="D10" i="2"/>
  <c r="D11" i="2"/>
  <c r="D12" i="2"/>
  <c r="D13" i="2"/>
  <c r="D14" i="2"/>
  <c r="D15" i="2"/>
  <c r="D16" i="2"/>
  <c r="D17" i="2"/>
  <c r="D5" i="2"/>
  <c r="L19" i="2"/>
  <c r="J19" i="2"/>
  <c r="I13" i="2"/>
  <c r="I6" i="2"/>
  <c r="I8" i="2"/>
  <c r="I10" i="2"/>
  <c r="I12" i="2"/>
  <c r="I14" i="2"/>
  <c r="I5" i="2"/>
  <c r="I7" i="2"/>
  <c r="I9" i="2"/>
  <c r="I11" i="2"/>
</calcChain>
</file>

<file path=xl/sharedStrings.xml><?xml version="1.0" encoding="utf-8"?>
<sst xmlns="http://schemas.openxmlformats.org/spreadsheetml/2006/main" count="1245" uniqueCount="206">
  <si>
    <t>Company</t>
  </si>
  <si>
    <t>EXCH</t>
  </si>
  <si>
    <t>Market</t>
  </si>
  <si>
    <t>Dividend Information</t>
  </si>
  <si>
    <t>First</t>
  </si>
  <si>
    <t xml:space="preserve">Dividend Info from: Dividend.com  </t>
  </si>
  <si>
    <t>Name</t>
  </si>
  <si>
    <t>Price</t>
  </si>
  <si>
    <t>Ex</t>
  </si>
  <si>
    <t>Pay</t>
  </si>
  <si>
    <t>$</t>
  </si>
  <si>
    <t>Transaction</t>
  </si>
  <si>
    <t>AMOUNT</t>
  </si>
  <si>
    <t>Declared</t>
  </si>
  <si>
    <t>Ex-Dividned</t>
  </si>
  <si>
    <t>Record Date</t>
  </si>
  <si>
    <t>Pay Date</t>
  </si>
  <si>
    <t>JOBS</t>
  </si>
  <si>
    <t>51JOB</t>
  </si>
  <si>
    <t>NASDAQ</t>
  </si>
  <si>
    <t>Company pays no cash dividends</t>
  </si>
  <si>
    <t>BABA</t>
  </si>
  <si>
    <t>ALIBABA GROUP</t>
  </si>
  <si>
    <t>NYSE</t>
  </si>
  <si>
    <t>GOOGL</t>
  </si>
  <si>
    <t>Alphabet Inc. Class A</t>
  </si>
  <si>
    <t>AMZN</t>
  </si>
  <si>
    <t>Amazon.com, Inc.</t>
  </si>
  <si>
    <t>AEE</t>
  </si>
  <si>
    <t>AMEREN</t>
  </si>
  <si>
    <t>AAPL</t>
  </si>
  <si>
    <t>Apple Inc.</t>
  </si>
  <si>
    <t>BAC</t>
  </si>
  <si>
    <t>BANK OF AMERICA</t>
  </si>
  <si>
    <t>BCS</t>
  </si>
  <si>
    <t>BARCLAYS</t>
  </si>
  <si>
    <t>COG</t>
  </si>
  <si>
    <t>CABOT OIL &amp; GAS A</t>
  </si>
  <si>
    <t>DB</t>
  </si>
  <si>
    <t>DEUTSCHE BANK</t>
  </si>
  <si>
    <t>DUK</t>
  </si>
  <si>
    <t>DUKE ENERGY</t>
  </si>
  <si>
    <t>XOM</t>
  </si>
  <si>
    <t>Exxon Mobil Corporation</t>
  </si>
  <si>
    <t>F</t>
  </si>
  <si>
    <t>Ford Motor Co.</t>
  </si>
  <si>
    <t>GE</t>
  </si>
  <si>
    <t>GENERAL ELECTRIC CO</t>
  </si>
  <si>
    <t>JBLU</t>
  </si>
  <si>
    <t>JETBLUE AIRWAYS</t>
  </si>
  <si>
    <t>JPM</t>
  </si>
  <si>
    <t>J P MORGAN CHASE &amp; CO</t>
  </si>
  <si>
    <t>LFL</t>
  </si>
  <si>
    <t>LAN AIRLINES</t>
  </si>
  <si>
    <t>MAR</t>
  </si>
  <si>
    <t>MARRIOTT INTL A</t>
  </si>
  <si>
    <t>NKE</t>
  </si>
  <si>
    <t>NIKE INC B</t>
  </si>
  <si>
    <t>SENEA</t>
  </si>
  <si>
    <t>SENECA FOODS CORP A</t>
  </si>
  <si>
    <t>SORL</t>
  </si>
  <si>
    <t>SORL AUTO PARTS</t>
  </si>
  <si>
    <t>SBUX</t>
  </si>
  <si>
    <t>Starbucks Corporation</t>
  </si>
  <si>
    <t>WFC</t>
  </si>
  <si>
    <t>WELLS FARGO &amp; CO</t>
  </si>
  <si>
    <t>YHOO</t>
  </si>
  <si>
    <t>YAHOO</t>
  </si>
  <si>
    <t/>
  </si>
  <si>
    <t>ZZZ</t>
  </si>
  <si>
    <t>Income Statement</t>
  </si>
  <si>
    <t>Dividends</t>
  </si>
  <si>
    <t>Shares</t>
  </si>
  <si>
    <t>Issue</t>
  </si>
  <si>
    <t>Ticker</t>
  </si>
  <si>
    <t>Ex-date</t>
  </si>
  <si>
    <t>Pay-Date</t>
  </si>
  <si>
    <t>Amount</t>
  </si>
  <si>
    <t>Accrued</t>
  </si>
  <si>
    <t>Received</t>
  </si>
  <si>
    <t>Interest on Cash</t>
  </si>
  <si>
    <t>Date</t>
  </si>
  <si>
    <t>Rate</t>
  </si>
  <si>
    <t>Total Income</t>
  </si>
  <si>
    <t>F</t>
    <phoneticPr fontId="16" type="noConversion"/>
  </si>
  <si>
    <t>GE</t>
    <phoneticPr fontId="16" type="noConversion"/>
  </si>
  <si>
    <t>JPM</t>
    <phoneticPr fontId="16" type="noConversion"/>
  </si>
  <si>
    <t>Survival - Portfolio Statement</t>
    <phoneticPr fontId="28" type="noConversion"/>
  </si>
  <si>
    <t>As of 10-31-2016.</t>
  </si>
  <si>
    <t>Market data is based on the most current closing prices available as of the statement date.</t>
  </si>
  <si>
    <t>Portfolio</t>
  </si>
  <si>
    <t>Unrealized</t>
    <phoneticPr fontId="28" type="noConversion"/>
  </si>
  <si>
    <t>Category</t>
  </si>
  <si>
    <t>Asset</t>
  </si>
  <si>
    <t>Exchange</t>
  </si>
  <si>
    <t>Description</t>
  </si>
  <si>
    <t>Currency</t>
  </si>
  <si>
    <t>Bookvalue</t>
  </si>
  <si>
    <t>Market Value</t>
  </si>
  <si>
    <t>Market Price</t>
  </si>
  <si>
    <t>Change</t>
  </si>
  <si>
    <t>Gain/Loss</t>
    <phoneticPr fontId="28" type="noConversion"/>
  </si>
  <si>
    <t>Stock</t>
  </si>
  <si>
    <t>USD</t>
  </si>
  <si>
    <t>Liability</t>
  </si>
  <si>
    <t>J P Morgan Chase &amp; Co.</t>
  </si>
  <si>
    <t>Bank of America Corporation</t>
  </si>
  <si>
    <t>Total Equity</t>
    <phoneticPr fontId="28" type="noConversion"/>
  </si>
  <si>
    <t>Cash</t>
  </si>
  <si>
    <t>.</t>
  </si>
  <si>
    <t>US Dollar</t>
  </si>
  <si>
    <t>Total Amount</t>
    <phoneticPr fontId="28" type="noConversion"/>
  </si>
  <si>
    <t>Totals</t>
  </si>
  <si>
    <t>Currency Rates:</t>
  </si>
  <si>
    <t>1 USD =   0.9104 EUR =   1.3411 CAD =   0.8168 GBP = 104.8328 JPY =   7.7545 HKD =  66.6978 INR =  63.1672 RUB =  31.5497 TWD = 145.4754 KRW =   3.1961 BRL =   6.7735 CNY</t>
  </si>
  <si>
    <t>Orders</t>
  </si>
  <si>
    <t>Order Date</t>
  </si>
  <si>
    <t>Status</t>
  </si>
  <si>
    <t>Action</t>
  </si>
  <si>
    <t>Order Type</t>
  </si>
  <si>
    <t>Limit Price</t>
  </si>
  <si>
    <t>Stop Price</t>
  </si>
  <si>
    <t>Expiration</t>
  </si>
  <si>
    <t>Reason</t>
  </si>
  <si>
    <t>Canceled</t>
  </si>
  <si>
    <t>Sell</t>
  </si>
  <si>
    <t>Transactions</t>
  </si>
  <si>
    <t>Execution Date</t>
  </si>
  <si>
    <t>Commission</t>
  </si>
  <si>
    <t>Buy</t>
  </si>
  <si>
    <t>Buy Amount</t>
  </si>
  <si>
    <t>Sell Amount</t>
  </si>
  <si>
    <t>Income</t>
  </si>
  <si>
    <t>Dividend</t>
  </si>
  <si>
    <t>Insert company</t>
  </si>
  <si>
    <t>Interest on cash</t>
  </si>
  <si>
    <t>Interest paid on cash balance</t>
  </si>
  <si>
    <t>Cash dividend</t>
  </si>
  <si>
    <t>Interest charged on loan</t>
  </si>
  <si>
    <t>Interest charged on overdraft</t>
  </si>
  <si>
    <t>Interest penalty on overdraft</t>
  </si>
  <si>
    <t>Warnings</t>
  </si>
  <si>
    <t>Issue Date</t>
  </si>
  <si>
    <t>Expiration Date</t>
  </si>
  <si>
    <t>Thaw</t>
  </si>
  <si>
    <t>Resolved</t>
  </si>
  <si>
    <t>Warning Overdraft</t>
  </si>
  <si>
    <t>Interest paid on cash balance</t>
    <phoneticPr fontId="16" type="noConversion"/>
  </si>
  <si>
    <t>Interest paid on cash balance</t>
    <phoneticPr fontId="16" type="noConversion"/>
  </si>
  <si>
    <t>Interest charged on broker loan</t>
    <phoneticPr fontId="16" type="noConversion"/>
  </si>
  <si>
    <t>Interest charged on broker loan</t>
    <phoneticPr fontId="16" type="noConversion"/>
  </si>
  <si>
    <t>Transaction Record</t>
  </si>
  <si>
    <t>Exch</t>
  </si>
  <si>
    <t>Value</t>
  </si>
  <si>
    <t>Position</t>
  </si>
  <si>
    <t>BVS</t>
  </si>
  <si>
    <t>Book Value</t>
  </si>
  <si>
    <t>Capital Gain</t>
  </si>
  <si>
    <t>Cash Balance</t>
  </si>
  <si>
    <t>Deposit</t>
  </si>
  <si>
    <t xml:space="preserve">  Total Buy Value</t>
  </si>
  <si>
    <t xml:space="preserve">  Total Sell Value</t>
  </si>
  <si>
    <t xml:space="preserve">  Income</t>
  </si>
  <si>
    <t xml:space="preserve">  Commission</t>
  </si>
  <si>
    <t>Current Cash Balance</t>
  </si>
  <si>
    <t>MANAGEMENT REPORT</t>
  </si>
  <si>
    <t>BOOK VALUE</t>
  </si>
  <si>
    <t>Report</t>
  </si>
  <si>
    <t>UISES</t>
  </si>
  <si>
    <t>Balance</t>
  </si>
  <si>
    <t>Book Value of Equity</t>
  </si>
  <si>
    <t>Book Value (Total)</t>
  </si>
  <si>
    <t>MARKET VALUE</t>
  </si>
  <si>
    <t>Market Value of Equity</t>
  </si>
  <si>
    <t>Market Value (Total)</t>
  </si>
  <si>
    <t>Accruals:</t>
  </si>
  <si>
    <t>UISES Statement Attached</t>
  </si>
  <si>
    <t>prepared by:</t>
  </si>
  <si>
    <t>audited by:</t>
  </si>
  <si>
    <t>proofread by:</t>
  </si>
  <si>
    <t>date:</t>
  </si>
  <si>
    <t>LSXG</t>
  </si>
  <si>
    <t>Stewardship Report</t>
  </si>
  <si>
    <t>Portfolio Assets</t>
  </si>
  <si>
    <t>Market Data</t>
  </si>
  <si>
    <t>Performance</t>
  </si>
  <si>
    <t>Distribution</t>
  </si>
  <si>
    <t>Book</t>
  </si>
  <si>
    <t>Unrealized Gain</t>
  </si>
  <si>
    <t>% Return</t>
  </si>
  <si>
    <t>Total Equity</t>
  </si>
  <si>
    <t>Cash balance</t>
  </si>
  <si>
    <t>Accrued Income</t>
  </si>
  <si>
    <t>Total</t>
  </si>
  <si>
    <t>Short Position</t>
  </si>
  <si>
    <t>Long Position</t>
  </si>
  <si>
    <t>Net position</t>
  </si>
  <si>
    <t>Book Value  Reconciliation</t>
  </si>
  <si>
    <t>Rate of Return</t>
  </si>
  <si>
    <t>open</t>
  </si>
  <si>
    <t>Monthly</t>
  </si>
  <si>
    <t>Year to Date</t>
  </si>
  <si>
    <t xml:space="preserve">  Capital Gain</t>
  </si>
  <si>
    <t>Interest penalty on draft</t>
  </si>
  <si>
    <t>Survival - Portfolio Statement</t>
  </si>
  <si>
    <t>Interest charged on broker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</si>
</sst>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mm/dd/yy;@"/>
    <numFmt numFmtId="168" formatCode="_(* #,##0.000_);_(* \(#,##0.000\);_(* &quot;-&quot;??_);_(@_)"/>
    <numFmt numFmtId="169" formatCode="0.000"/>
    <numFmt numFmtId="170" formatCode="_(&quot;$&quot;* #,##0.0000_);_(&quot;$&quot;* \(#,##0.0000\);_(&quot;$&quot;* &quot;-&quot;??_);_(@_)"/>
    <numFmt numFmtId="171" formatCode="_(* #,##0.0000_);_(* \(#,##0.0000\);_(* &quot;-&quot;??_);_(@_)"/>
    <numFmt numFmtId="172" formatCode="mmmm\ d\,\ yyyy"/>
    <numFmt numFmtId="173" formatCode="_(* #,##0_);_(* \(#,##0\);_(* &quot;-&quot;??_);_(@_)"/>
    <numFmt numFmtId="174" formatCode="0.000_);[Red]\(0.000\)"/>
    <numFmt numFmtId="175" formatCode="#,##0.00_ "/>
    <numFmt numFmtId="176" formatCode="[$-409]mmmm\ d\,\ yyyy;@"/>
    <numFmt numFmtId="177" formatCode="_-* #,##0_-;\-* #,##0_-;_-* &quot;-&quot;??_-;_-@_-"/>
    <numFmt numFmtId="178" formatCode="_-[$$-409]* #,##0.00_ ;_-[$$-409]* \-#,##0.00\ ;_-[$$-409]* &quot;-&quot;??_ ;_-@_ "/>
    <numFmt numFmtId="179" formatCode="_(* #,##0.00000000_);_(* \(#,##0.00000000\);_(* &quot;-&quot;??_);_(@_)"/>
    <numFmt numFmtId="180" formatCode="mm/dd/yy"/>
    <numFmt numFmtId="181" formatCode="dd\-mmm\-yy"/>
  </numFmts>
  <fonts count="5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10"/>
      <name val="Arial Narrow"/>
      <family val="2"/>
    </font>
    <font>
      <b/>
      <sz val="10"/>
      <color rgb="FF00349C"/>
      <name val="Arial Narrow"/>
      <family val="2"/>
    </font>
    <font>
      <sz val="8"/>
      <name val="Verdana"/>
      <family val="2"/>
    </font>
    <font>
      <b/>
      <sz val="10"/>
      <color rgb="FF3366FF"/>
      <name val="Arial Narrow"/>
      <family val="2"/>
    </font>
    <font>
      <sz val="10"/>
      <color rgb="FF3366FF"/>
      <name val="Arial Narrow"/>
      <family val="2"/>
    </font>
    <font>
      <sz val="10"/>
      <color indexed="12"/>
      <name val="Arial Narrow"/>
      <family val="2"/>
    </font>
    <font>
      <sz val="10"/>
      <name val="Arial Narrow"/>
      <family val="2"/>
    </font>
    <font>
      <sz val="11"/>
      <color indexed="12"/>
      <name val="Calibri"/>
      <family val="2"/>
      <scheme val="minor"/>
    </font>
    <font>
      <sz val="10"/>
      <name val="Verdana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sz val="9"/>
      <name val="Calibri"/>
      <family val="3"/>
      <charset val="134"/>
      <scheme val="minor"/>
    </font>
    <font>
      <sz val="62"/>
      <name val="Times New Roman"/>
      <family val="1"/>
    </font>
    <font>
      <b/>
      <i/>
      <sz val="62"/>
      <color indexed="62"/>
      <name val="Times New Roman"/>
      <family val="1"/>
    </font>
    <font>
      <b/>
      <i/>
      <sz val="14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0"/>
      <color rgb="FF0000FF"/>
      <name val="Times New Roman"/>
      <family val="1"/>
    </font>
    <font>
      <b/>
      <sz val="10"/>
      <color indexed="10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sz val="9"/>
      <name val="Calibri"/>
      <family val="2"/>
      <charset val="134"/>
      <scheme val="minor"/>
    </font>
    <font>
      <sz val="11"/>
      <name val="Times New Roman"/>
      <family val="1"/>
    </font>
    <font>
      <sz val="9"/>
      <name val="Arial Narrow"/>
      <family val="2"/>
    </font>
    <font>
      <sz val="9"/>
      <color rgb="FF3366FF"/>
      <name val="Arial Narrow"/>
      <family val="2"/>
    </font>
    <font>
      <sz val="11"/>
      <color rgb="FF3366FF"/>
      <name val="Calibri"/>
      <family val="2"/>
      <scheme val="minor"/>
    </font>
    <font>
      <sz val="9"/>
      <color indexed="9"/>
      <name val="Arial Narrow"/>
      <family val="2"/>
    </font>
    <font>
      <sz val="9"/>
      <name val="Arial"/>
      <family val="2"/>
    </font>
    <font>
      <b/>
      <sz val="9"/>
      <name val="Arial Narrow"/>
      <family val="2"/>
    </font>
    <font>
      <b/>
      <i/>
      <sz val="20"/>
      <name val="Times New Roman"/>
      <family val="1"/>
    </font>
    <font>
      <b/>
      <sz val="8"/>
      <color indexed="9"/>
      <name val="Verdana"/>
      <family val="2"/>
    </font>
    <font>
      <b/>
      <sz val="10"/>
      <color indexed="9"/>
      <name val="Verdana"/>
      <family val="2"/>
    </font>
    <font>
      <sz val="8"/>
      <color indexed="17"/>
      <name val="Verdana"/>
      <family val="2"/>
    </font>
    <font>
      <sz val="12"/>
      <name val="Wingdings 2"/>
      <family val="1"/>
      <charset val="2"/>
    </font>
    <font>
      <sz val="12"/>
      <name val="Verdana"/>
      <family val="2"/>
    </font>
    <font>
      <b/>
      <sz val="12"/>
      <name val="Verdana"/>
      <family val="2"/>
    </font>
    <font>
      <sz val="12"/>
      <name val="Arial"/>
      <family val="2"/>
    </font>
    <font>
      <b/>
      <i/>
      <sz val="48"/>
      <name val="Times New Roman"/>
      <family val="1"/>
    </font>
    <font>
      <b/>
      <i/>
      <sz val="24"/>
      <name val="Times New Roman"/>
      <family val="1"/>
    </font>
    <font>
      <sz val="10"/>
      <color indexed="10"/>
      <name val="Arial Narrow"/>
      <family val="2"/>
    </font>
    <font>
      <sz val="10"/>
      <color rgb="FF0000FF"/>
      <name val="Arial Narrow"/>
    </font>
    <font>
      <b/>
      <sz val="10"/>
      <color indexed="1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0"/>
      <color rgb="FF000000"/>
      <name val="Calibri"/>
    </font>
    <font>
      <sz val="10"/>
      <color rgb="FF008000"/>
      <name val="Arial Narrow"/>
    </font>
    <font>
      <sz val="10"/>
      <color rgb="FF000000"/>
      <name val="Arial Narrow"/>
    </font>
    <font>
      <sz val="11"/>
      <color rgb="FF0000FF"/>
      <name val="Calibri"/>
    </font>
    <font>
      <b/>
      <sz val="10"/>
      <color rgb="FF0000FF"/>
      <name val="Arial Narrow"/>
    </font>
    <font>
      <sz val="10"/>
      <color rgb="FF366092"/>
      <name val="Arial Narrow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1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9" fontId="2" fillId="0" borderId="0" applyFont="0" applyFill="0" applyBorder="0" applyAlignment="0" applyProtection="0"/>
    <xf numFmtId="16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</cellStyleXfs>
  <cellXfs count="272">
    <xf numFmtId="0" fontId="0" fillId="0" borderId="0" xfId="0"/>
    <xf numFmtId="0" fontId="4" fillId="0" borderId="0" xfId="1" applyFont="1"/>
    <xf numFmtId="167" fontId="7" fillId="0" borderId="0" xfId="1" applyNumberFormat="1" applyFont="1" applyFill="1" applyBorder="1"/>
    <xf numFmtId="0" fontId="7" fillId="0" borderId="0" xfId="1" applyFont="1"/>
    <xf numFmtId="0" fontId="12" fillId="0" borderId="0" xfId="0" applyFont="1" applyFill="1"/>
    <xf numFmtId="3" fontId="12" fillId="0" borderId="0" xfId="0" applyNumberFormat="1" applyFont="1" applyFill="1"/>
    <xf numFmtId="0" fontId="4" fillId="0" borderId="0" xfId="1" applyFont="1" applyFill="1" applyAlignment="1">
      <alignment horizontal="right"/>
    </xf>
    <xf numFmtId="13" fontId="7" fillId="0" borderId="0" xfId="2" applyNumberFormat="1" applyFont="1"/>
    <xf numFmtId="0" fontId="4" fillId="0" borderId="0" xfId="1" applyFont="1" applyFill="1"/>
    <xf numFmtId="0" fontId="17" fillId="0" borderId="0" xfId="1" applyFont="1" applyBorder="1" applyAlignment="1">
      <alignment horizontal="left"/>
    </xf>
    <xf numFmtId="0" fontId="11" fillId="0" borderId="0" xfId="1" applyFont="1"/>
    <xf numFmtId="165" fontId="11" fillId="0" borderId="0" xfId="2" applyFont="1"/>
    <xf numFmtId="0" fontId="19" fillId="0" borderId="0" xfId="1" quotePrefix="1" applyFont="1" applyAlignment="1">
      <alignment horizontal="left"/>
    </xf>
    <xf numFmtId="0" fontId="19" fillId="0" borderId="0" xfId="1" quotePrefix="1" applyFont="1" applyAlignment="1">
      <alignment horizontal="right"/>
    </xf>
    <xf numFmtId="0" fontId="11" fillId="0" borderId="0" xfId="1" applyFont="1" applyBorder="1"/>
    <xf numFmtId="166" fontId="11" fillId="0" borderId="0" xfId="3" applyFont="1"/>
    <xf numFmtId="168" fontId="11" fillId="0" borderId="0" xfId="3" applyNumberFormat="1" applyFont="1"/>
    <xf numFmtId="0" fontId="22" fillId="0" borderId="0" xfId="1" applyFont="1"/>
    <xf numFmtId="0" fontId="21" fillId="0" borderId="0" xfId="1" applyFont="1" applyAlignment="1">
      <alignment horizontal="right"/>
    </xf>
    <xf numFmtId="0" fontId="21" fillId="0" borderId="0" xfId="1" applyFont="1"/>
    <xf numFmtId="168" fontId="21" fillId="0" borderId="0" xfId="3" applyNumberFormat="1" applyFont="1" applyAlignment="1">
      <alignment horizontal="right"/>
    </xf>
    <xf numFmtId="165" fontId="21" fillId="0" borderId="0" xfId="2" applyFont="1" applyAlignment="1">
      <alignment horizontal="right"/>
    </xf>
    <xf numFmtId="0" fontId="21" fillId="0" borderId="0" xfId="1" applyFont="1" applyFill="1" applyBorder="1"/>
    <xf numFmtId="173" fontId="23" fillId="0" borderId="0" xfId="3" applyNumberFormat="1" applyFont="1" applyFill="1"/>
    <xf numFmtId="0" fontId="22" fillId="0" borderId="0" xfId="1" applyFont="1" applyFill="1"/>
    <xf numFmtId="0" fontId="24" fillId="0" borderId="0" xfId="0" applyFont="1"/>
    <xf numFmtId="14" fontId="24" fillId="0" borderId="0" xfId="0" applyNumberFormat="1" applyFont="1"/>
    <xf numFmtId="0" fontId="25" fillId="0" borderId="0" xfId="1" applyFont="1" applyAlignment="1">
      <alignment horizontal="right"/>
    </xf>
    <xf numFmtId="165" fontId="22" fillId="0" borderId="0" xfId="2" quotePrefix="1" applyFont="1" applyAlignment="1">
      <alignment horizontal="left"/>
    </xf>
    <xf numFmtId="15" fontId="23" fillId="0" borderId="0" xfId="1" applyNumberFormat="1" applyFont="1" applyFill="1"/>
    <xf numFmtId="168" fontId="23" fillId="0" borderId="0" xfId="3" applyNumberFormat="1" applyFont="1" applyFill="1"/>
    <xf numFmtId="166" fontId="22" fillId="0" borderId="0" xfId="3" applyFont="1"/>
    <xf numFmtId="0" fontId="23" fillId="0" borderId="0" xfId="1" applyFont="1" applyFill="1"/>
    <xf numFmtId="173" fontId="23" fillId="0" borderId="0" xfId="3" quotePrefix="1" applyNumberFormat="1" applyFont="1" applyFill="1"/>
    <xf numFmtId="15" fontId="22" fillId="0" borderId="0" xfId="1" applyNumberFormat="1" applyFont="1"/>
    <xf numFmtId="168" fontId="22" fillId="0" borderId="0" xfId="3" applyNumberFormat="1" applyFont="1"/>
    <xf numFmtId="173" fontId="22" fillId="0" borderId="0" xfId="3" applyNumberFormat="1" applyFont="1"/>
    <xf numFmtId="0" fontId="22" fillId="0" borderId="0" xfId="1" applyFont="1" applyAlignment="1">
      <alignment horizontal="right"/>
    </xf>
    <xf numFmtId="165" fontId="22" fillId="0" borderId="6" xfId="2" applyFont="1" applyBorder="1"/>
    <xf numFmtId="165" fontId="22" fillId="0" borderId="0" xfId="2" applyFont="1" applyBorder="1"/>
    <xf numFmtId="15" fontId="21" fillId="0" borderId="0" xfId="1" applyNumberFormat="1" applyFont="1" applyAlignment="1">
      <alignment horizontal="right"/>
    </xf>
    <xf numFmtId="165" fontId="21" fillId="0" borderId="0" xfId="1" applyNumberFormat="1" applyFont="1"/>
    <xf numFmtId="165" fontId="21" fillId="0" borderId="0" xfId="2" applyFont="1" applyBorder="1"/>
    <xf numFmtId="15" fontId="23" fillId="0" borderId="0" xfId="1" applyNumberFormat="1" applyFont="1" applyFill="1" applyAlignment="1">
      <alignment horizontal="right"/>
    </xf>
    <xf numFmtId="10" fontId="23" fillId="0" borderId="0" xfId="1" applyNumberFormat="1" applyFont="1" applyFill="1"/>
    <xf numFmtId="165" fontId="23" fillId="0" borderId="0" xfId="2" applyFont="1" applyFill="1" applyBorder="1"/>
    <xf numFmtId="165" fontId="22" fillId="0" borderId="0" xfId="2" applyFont="1"/>
    <xf numFmtId="174" fontId="24" fillId="0" borderId="0" xfId="0" applyNumberFormat="1" applyFont="1"/>
    <xf numFmtId="174" fontId="23" fillId="0" borderId="0" xfId="3" applyNumberFormat="1" applyFont="1" applyFill="1"/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3" fontId="27" fillId="0" borderId="0" xfId="0" applyNumberFormat="1" applyFont="1" applyAlignment="1">
      <alignment vertical="center"/>
    </xf>
    <xf numFmtId="4" fontId="27" fillId="0" borderId="0" xfId="0" applyNumberFormat="1" applyFont="1" applyAlignment="1">
      <alignment vertical="center"/>
    </xf>
    <xf numFmtId="175" fontId="29" fillId="0" borderId="0" xfId="0" applyNumberFormat="1" applyFont="1" applyAlignment="1">
      <alignment vertical="center"/>
    </xf>
    <xf numFmtId="4" fontId="29" fillId="0" borderId="0" xfId="0" applyNumberFormat="1" applyFont="1" applyAlignment="1">
      <alignment vertical="center"/>
    </xf>
    <xf numFmtId="22" fontId="27" fillId="0" borderId="0" xfId="0" applyNumberFormat="1" applyFont="1" applyAlignment="1">
      <alignment vertical="center"/>
    </xf>
    <xf numFmtId="0" fontId="17" fillId="0" borderId="0" xfId="0" applyFont="1" applyBorder="1" applyAlignment="1">
      <alignment horizontal="left"/>
    </xf>
    <xf numFmtId="13" fontId="11" fillId="0" borderId="0" xfId="1" applyNumberFormat="1" applyFont="1"/>
    <xf numFmtId="173" fontId="11" fillId="0" borderId="0" xfId="3" applyNumberFormat="1" applyFont="1" applyBorder="1"/>
    <xf numFmtId="0" fontId="5" fillId="2" borderId="5" xfId="1" applyFont="1" applyFill="1" applyBorder="1" applyAlignment="1">
      <alignment horizontal="centerContinuous"/>
    </xf>
    <xf numFmtId="0" fontId="11" fillId="2" borderId="5" xfId="1" applyFont="1" applyFill="1" applyBorder="1" applyAlignment="1">
      <alignment horizontal="centerContinuous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173" fontId="5" fillId="0" borderId="0" xfId="3" applyNumberFormat="1" applyFont="1" applyBorder="1" applyAlignment="1">
      <alignment horizontal="right"/>
    </xf>
    <xf numFmtId="165" fontId="5" fillId="0" borderId="0" xfId="2" applyFont="1" applyAlignment="1">
      <alignment horizontal="right"/>
    </xf>
    <xf numFmtId="166" fontId="5" fillId="0" borderId="0" xfId="3" applyFont="1" applyAlignment="1">
      <alignment horizontal="right"/>
    </xf>
    <xf numFmtId="13" fontId="5" fillId="0" borderId="0" xfId="1" applyNumberFormat="1" applyFont="1" applyAlignment="1">
      <alignment horizontal="right"/>
    </xf>
    <xf numFmtId="165" fontId="5" fillId="0" borderId="0" xfId="2" applyFont="1" applyFill="1" applyAlignment="1">
      <alignment horizontal="right"/>
    </xf>
    <xf numFmtId="0" fontId="30" fillId="0" borderId="0" xfId="1" applyFont="1"/>
    <xf numFmtId="0" fontId="31" fillId="0" borderId="0" xfId="1" applyFont="1" applyFill="1"/>
    <xf numFmtId="14" fontId="31" fillId="0" borderId="0" xfId="1" applyNumberFormat="1" applyFont="1" applyFill="1"/>
    <xf numFmtId="177" fontId="31" fillId="0" borderId="0" xfId="16" applyNumberFormat="1" applyFont="1" applyFill="1" applyAlignment="1"/>
    <xf numFmtId="178" fontId="32" fillId="0" borderId="0" xfId="0" applyNumberFormat="1" applyFont="1"/>
    <xf numFmtId="166" fontId="30" fillId="0" borderId="0" xfId="3" applyFont="1"/>
    <xf numFmtId="166" fontId="30" fillId="0" borderId="0" xfId="3" applyNumberFormat="1" applyFont="1"/>
    <xf numFmtId="173" fontId="30" fillId="0" borderId="0" xfId="1" applyNumberFormat="1" applyFont="1"/>
    <xf numFmtId="179" fontId="30" fillId="0" borderId="0" xfId="3" applyNumberFormat="1" applyFont="1"/>
    <xf numFmtId="165" fontId="30" fillId="0" borderId="0" xfId="2" applyFont="1"/>
    <xf numFmtId="22" fontId="12" fillId="0" borderId="0" xfId="0" applyNumberFormat="1" applyFont="1" applyFill="1"/>
    <xf numFmtId="165" fontId="30" fillId="0" borderId="0" xfId="2" applyFont="1" applyFill="1" applyBorder="1"/>
    <xf numFmtId="0" fontId="31" fillId="0" borderId="0" xfId="1" applyFont="1" applyFill="1" applyBorder="1"/>
    <xf numFmtId="177" fontId="31" fillId="0" borderId="0" xfId="16" applyNumberFormat="1" applyFont="1" applyFill="1" applyBorder="1" applyAlignment="1"/>
    <xf numFmtId="0" fontId="31" fillId="0" borderId="0" xfId="1" applyFont="1" applyBorder="1"/>
    <xf numFmtId="177" fontId="31" fillId="0" borderId="0" xfId="16" applyNumberFormat="1" applyFont="1" applyAlignment="1"/>
    <xf numFmtId="0" fontId="31" fillId="0" borderId="0" xfId="1" applyFont="1"/>
    <xf numFmtId="178" fontId="30" fillId="0" borderId="0" xfId="1" applyNumberFormat="1" applyFont="1"/>
    <xf numFmtId="43" fontId="30" fillId="0" borderId="0" xfId="1" applyNumberFormat="1" applyFont="1"/>
    <xf numFmtId="177" fontId="31" fillId="0" borderId="0" xfId="16" applyNumberFormat="1" applyFont="1" applyBorder="1" applyAlignment="1"/>
    <xf numFmtId="173" fontId="30" fillId="0" borderId="0" xfId="3" applyNumberFormat="1" applyFont="1" applyBorder="1"/>
    <xf numFmtId="165" fontId="30" fillId="0" borderId="8" xfId="2" applyFont="1" applyBorder="1"/>
    <xf numFmtId="13" fontId="30" fillId="0" borderId="0" xfId="1" applyNumberFormat="1" applyFont="1"/>
    <xf numFmtId="0" fontId="33" fillId="0" borderId="0" xfId="1" applyFont="1"/>
    <xf numFmtId="173" fontId="34" fillId="0" borderId="0" xfId="3" applyNumberFormat="1" applyFont="1" applyBorder="1"/>
    <xf numFmtId="12" fontId="30" fillId="0" borderId="0" xfId="1" applyNumberFormat="1" applyFont="1"/>
    <xf numFmtId="165" fontId="30" fillId="0" borderId="0" xfId="2" applyFont="1" applyBorder="1"/>
    <xf numFmtId="0" fontId="30" fillId="0" borderId="0" xfId="1" applyFont="1" applyAlignment="1">
      <alignment horizontal="right"/>
    </xf>
    <xf numFmtId="13" fontId="30" fillId="0" borderId="0" xfId="1" applyNumberFormat="1" applyFont="1" applyAlignment="1">
      <alignment horizontal="right"/>
    </xf>
    <xf numFmtId="166" fontId="30" fillId="0" borderId="0" xfId="3" quotePrefix="1" applyFont="1" applyAlignment="1">
      <alignment horizontal="right"/>
    </xf>
    <xf numFmtId="173" fontId="30" fillId="0" borderId="0" xfId="3" applyNumberFormat="1" applyFont="1" applyFill="1" applyBorder="1"/>
    <xf numFmtId="165" fontId="30" fillId="0" borderId="0" xfId="1" applyNumberFormat="1" applyFont="1"/>
    <xf numFmtId="166" fontId="30" fillId="0" borderId="0" xfId="1" applyNumberFormat="1" applyFont="1"/>
    <xf numFmtId="173" fontId="30" fillId="0" borderId="0" xfId="3" quotePrefix="1" applyNumberFormat="1" applyFont="1" applyBorder="1" applyAlignment="1">
      <alignment horizontal="left"/>
    </xf>
    <xf numFmtId="166" fontId="30" fillId="0" borderId="0" xfId="3" quotePrefix="1" applyFont="1" applyAlignment="1">
      <alignment horizontal="left"/>
    </xf>
    <xf numFmtId="173" fontId="30" fillId="0" borderId="0" xfId="3" applyNumberFormat="1" applyFont="1" applyBorder="1" applyAlignment="1">
      <alignment horizontal="right"/>
    </xf>
    <xf numFmtId="165" fontId="30" fillId="0" borderId="5" xfId="2" applyFont="1" applyBorder="1"/>
    <xf numFmtId="0" fontId="34" fillId="0" borderId="0" xfId="1" applyFont="1"/>
    <xf numFmtId="0" fontId="37" fillId="3" borderId="2" xfId="1" applyFont="1" applyFill="1" applyBorder="1" applyProtection="1"/>
    <xf numFmtId="0" fontId="4" fillId="4" borderId="2" xfId="1" applyFont="1" applyFill="1" applyBorder="1" applyAlignment="1" applyProtection="1">
      <alignment horizontal="center"/>
    </xf>
    <xf numFmtId="0" fontId="4" fillId="4" borderId="3" xfId="1" applyFont="1" applyFill="1" applyBorder="1" applyAlignment="1" applyProtection="1">
      <alignment horizontal="center"/>
    </xf>
    <xf numFmtId="0" fontId="4" fillId="4" borderId="3" xfId="1" applyFont="1" applyFill="1" applyBorder="1" applyAlignment="1" applyProtection="1">
      <alignment vertical="center"/>
    </xf>
    <xf numFmtId="0" fontId="4" fillId="4" borderId="4" xfId="1" applyFont="1" applyFill="1" applyBorder="1" applyAlignment="1" applyProtection="1">
      <alignment horizontal="center"/>
    </xf>
    <xf numFmtId="0" fontId="4" fillId="5" borderId="9" xfId="1" applyFont="1" applyFill="1" applyBorder="1" applyProtection="1"/>
    <xf numFmtId="165" fontId="7" fillId="5" borderId="0" xfId="2" applyFont="1" applyFill="1" applyBorder="1" applyProtection="1"/>
    <xf numFmtId="165" fontId="39" fillId="0" borderId="0" xfId="2" applyFont="1" applyFill="1" applyBorder="1" applyProtection="1">
      <protection locked="0"/>
    </xf>
    <xf numFmtId="0" fontId="40" fillId="0" borderId="0" xfId="1" applyFont="1" applyFill="1" applyBorder="1" applyAlignment="1" applyProtection="1">
      <alignment vertical="center"/>
    </xf>
    <xf numFmtId="165" fontId="7" fillId="5" borderId="10" xfId="1" applyNumberFormat="1" applyFont="1" applyFill="1" applyBorder="1" applyProtection="1"/>
    <xf numFmtId="166" fontId="39" fillId="0" borderId="0" xfId="3" applyFont="1" applyFill="1" applyBorder="1" applyProtection="1">
      <protection locked="0"/>
    </xf>
    <xf numFmtId="0" fontId="2" fillId="5" borderId="9" xfId="1" applyFill="1" applyBorder="1" applyProtection="1"/>
    <xf numFmtId="0" fontId="41" fillId="5" borderId="0" xfId="1" applyFont="1" applyFill="1" applyBorder="1" applyAlignment="1" applyProtection="1">
      <alignment vertical="center"/>
    </xf>
    <xf numFmtId="0" fontId="7" fillId="5" borderId="10" xfId="1" applyFont="1" applyFill="1" applyBorder="1" applyProtection="1"/>
    <xf numFmtId="0" fontId="42" fillId="4" borderId="3" xfId="1" applyFont="1" applyFill="1" applyBorder="1" applyAlignment="1" applyProtection="1">
      <alignment vertical="center"/>
    </xf>
    <xf numFmtId="0" fontId="40" fillId="5" borderId="0" xfId="1" applyFont="1" applyFill="1" applyBorder="1" applyAlignment="1" applyProtection="1">
      <alignment vertical="center"/>
    </xf>
    <xf numFmtId="0" fontId="7" fillId="5" borderId="9" xfId="1" applyFont="1" applyFill="1" applyBorder="1" applyAlignment="1" applyProtection="1">
      <alignment horizontal="right"/>
    </xf>
    <xf numFmtId="165" fontId="7" fillId="5" borderId="5" xfId="2" applyFont="1" applyFill="1" applyBorder="1" applyProtection="1"/>
    <xf numFmtId="0" fontId="4" fillId="5" borderId="11" xfId="1" applyFont="1" applyFill="1" applyBorder="1" applyProtection="1"/>
    <xf numFmtId="165" fontId="7" fillId="5" borderId="1" xfId="2" applyFont="1" applyFill="1" applyBorder="1" applyProtection="1"/>
    <xf numFmtId="0" fontId="41" fillId="5" borderId="1" xfId="1" applyFont="1" applyFill="1" applyBorder="1" applyAlignment="1" applyProtection="1">
      <alignment vertical="center"/>
    </xf>
    <xf numFmtId="0" fontId="7" fillId="5" borderId="12" xfId="1" applyFont="1" applyFill="1" applyBorder="1" applyProtection="1"/>
    <xf numFmtId="0" fontId="4" fillId="0" borderId="0" xfId="1" applyFont="1" applyProtection="1">
      <protection locked="0"/>
    </xf>
    <xf numFmtId="165" fontId="7" fillId="0" borderId="0" xfId="2" applyFont="1" applyProtection="1">
      <protection locked="0"/>
    </xf>
    <xf numFmtId="165" fontId="7" fillId="0" borderId="0" xfId="2" applyFont="1" applyFill="1" applyBorder="1" applyProtection="1">
      <protection locked="0"/>
    </xf>
    <xf numFmtId="0" fontId="41" fillId="0" borderId="0" xfId="1" applyFont="1" applyAlignment="1" applyProtection="1">
      <alignment vertical="center"/>
      <protection locked="0"/>
    </xf>
    <xf numFmtId="0" fontId="7" fillId="0" borderId="0" xfId="1" applyFont="1" applyProtection="1">
      <protection locked="0"/>
    </xf>
    <xf numFmtId="0" fontId="4" fillId="0" borderId="0" xfId="0" applyFont="1" applyProtection="1">
      <protection locked="0"/>
    </xf>
    <xf numFmtId="0" fontId="2" fillId="0" borderId="0" xfId="1" applyAlignment="1" applyProtection="1">
      <alignment horizontal="right"/>
      <protection locked="0"/>
    </xf>
    <xf numFmtId="0" fontId="2" fillId="0" borderId="7" xfId="1" applyBorder="1" applyProtection="1">
      <protection locked="0"/>
    </xf>
    <xf numFmtId="0" fontId="43" fillId="0" borderId="7" xfId="1" applyFont="1" applyBorder="1" applyAlignment="1" applyProtection="1">
      <alignment vertical="center"/>
      <protection locked="0"/>
    </xf>
    <xf numFmtId="0" fontId="2" fillId="0" borderId="0" xfId="1" applyBorder="1" applyProtection="1">
      <protection locked="0"/>
    </xf>
    <xf numFmtId="0" fontId="43" fillId="0" borderId="0" xfId="1" applyFont="1" applyBorder="1" applyAlignment="1" applyProtection="1">
      <alignment vertical="center"/>
      <protection locked="0"/>
    </xf>
    <xf numFmtId="0" fontId="2" fillId="0" borderId="0" xfId="1" applyProtection="1">
      <protection locked="0"/>
    </xf>
    <xf numFmtId="0" fontId="43" fillId="0" borderId="0" xfId="1" applyFont="1" applyAlignment="1" applyProtection="1">
      <alignment vertical="center"/>
      <protection locked="0"/>
    </xf>
    <xf numFmtId="165" fontId="44" fillId="0" borderId="0" xfId="2" applyFont="1" applyAlignment="1">
      <alignment horizontal="right"/>
    </xf>
    <xf numFmtId="0" fontId="2" fillId="0" borderId="0" xfId="1"/>
    <xf numFmtId="165" fontId="45" fillId="0" borderId="0" xfId="2" applyFont="1" applyAlignment="1">
      <alignment horizontal="right"/>
    </xf>
    <xf numFmtId="172" fontId="45" fillId="0" borderId="0" xfId="2" applyNumberFormat="1" applyFont="1" applyAlignment="1">
      <alignment horizontal="right"/>
    </xf>
    <xf numFmtId="0" fontId="17" fillId="0" borderId="0" xfId="1" applyFont="1"/>
    <xf numFmtId="0" fontId="11" fillId="0" borderId="0" xfId="1" applyFont="1" applyAlignment="1"/>
    <xf numFmtId="0" fontId="2" fillId="0" borderId="0" xfId="1" applyAlignment="1"/>
    <xf numFmtId="166" fontId="46" fillId="0" borderId="0" xfId="3" applyFont="1"/>
    <xf numFmtId="0" fontId="5" fillId="2" borderId="13" xfId="1" applyFont="1" applyFill="1" applyBorder="1"/>
    <xf numFmtId="166" fontId="5" fillId="2" borderId="5" xfId="3" applyFont="1" applyFill="1" applyBorder="1" applyAlignment="1">
      <alignment horizontal="centerContinuous"/>
    </xf>
    <xf numFmtId="0" fontId="5" fillId="0" borderId="0" xfId="1" applyFont="1" applyFill="1"/>
    <xf numFmtId="14" fontId="5" fillId="2" borderId="5" xfId="1" applyNumberFormat="1" applyFont="1" applyFill="1" applyBorder="1" applyAlignment="1">
      <alignment horizontal="centerContinuous"/>
    </xf>
    <xf numFmtId="14" fontId="5" fillId="0" borderId="0" xfId="1" applyNumberFormat="1" applyFont="1" applyFill="1" applyAlignment="1">
      <alignment horizontal="centerContinuous"/>
    </xf>
    <xf numFmtId="15" fontId="5" fillId="2" borderId="14" xfId="1" applyNumberFormat="1" applyFont="1" applyFill="1" applyBorder="1" applyAlignment="1">
      <alignment horizontal="centerContinuous"/>
    </xf>
    <xf numFmtId="0" fontId="5" fillId="0" borderId="0" xfId="1" applyFont="1"/>
    <xf numFmtId="0" fontId="5" fillId="0" borderId="0" xfId="1" applyFont="1" applyFill="1" applyAlignment="1">
      <alignment horizontal="left"/>
    </xf>
    <xf numFmtId="166" fontId="5" fillId="0" borderId="0" xfId="3" applyFont="1" applyFill="1" applyAlignment="1">
      <alignment horizontal="right"/>
    </xf>
    <xf numFmtId="0" fontId="5" fillId="0" borderId="0" xfId="1" applyFont="1" applyFill="1" applyAlignment="1">
      <alignment horizontal="right"/>
    </xf>
    <xf numFmtId="180" fontId="5" fillId="0" borderId="0" xfId="1" applyNumberFormat="1" applyFont="1" applyFill="1" applyAlignment="1">
      <alignment horizontal="right"/>
    </xf>
    <xf numFmtId="14" fontId="5" fillId="0" borderId="0" xfId="1" applyNumberFormat="1" applyFont="1" applyFill="1" applyAlignment="1">
      <alignment horizontal="right"/>
    </xf>
    <xf numFmtId="0" fontId="30" fillId="0" borderId="0" xfId="1" applyFont="1" applyFill="1"/>
    <xf numFmtId="173" fontId="11" fillId="0" borderId="0" xfId="3" applyNumberFormat="1" applyFont="1"/>
    <xf numFmtId="0" fontId="47" fillId="0" borderId="0" xfId="0" applyFont="1"/>
    <xf numFmtId="0" fontId="11" fillId="0" borderId="0" xfId="1" applyFont="1" applyFill="1" applyAlignment="1">
      <alignment horizontal="left"/>
    </xf>
    <xf numFmtId="9" fontId="11" fillId="0" borderId="0" xfId="15" applyNumberFormat="1" applyFont="1" applyFill="1" applyAlignment="1">
      <alignment horizontal="right"/>
    </xf>
    <xf numFmtId="0" fontId="11" fillId="0" borderId="0" xfId="1" applyFont="1" applyFill="1" applyAlignment="1">
      <alignment horizontal="right"/>
    </xf>
    <xf numFmtId="170" fontId="11" fillId="0" borderId="0" xfId="2" applyNumberFormat="1" applyFont="1" applyFill="1" applyAlignment="1">
      <alignment horizontal="right"/>
    </xf>
    <xf numFmtId="165" fontId="11" fillId="0" borderId="0" xfId="2" applyFont="1" applyFill="1"/>
    <xf numFmtId="14" fontId="11" fillId="0" borderId="0" xfId="1" applyNumberFormat="1" applyFont="1" applyFill="1" applyAlignment="1">
      <alignment horizontal="right"/>
    </xf>
    <xf numFmtId="165" fontId="11" fillId="0" borderId="0" xfId="1" applyNumberFormat="1" applyFont="1" applyFill="1" applyAlignment="1">
      <alignment horizontal="right"/>
    </xf>
    <xf numFmtId="10" fontId="11" fillId="0" borderId="0" xfId="15" applyNumberFormat="1" applyFont="1" applyFill="1" applyAlignment="1">
      <alignment horizontal="right"/>
    </xf>
    <xf numFmtId="0" fontId="11" fillId="0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right"/>
    </xf>
    <xf numFmtId="14" fontId="11" fillId="0" borderId="0" xfId="1" applyNumberFormat="1" applyFont="1" applyFill="1" applyBorder="1" applyAlignment="1">
      <alignment horizontal="right"/>
    </xf>
    <xf numFmtId="166" fontId="11" fillId="0" borderId="0" xfId="1" applyNumberFormat="1" applyFont="1" applyAlignment="1">
      <alignment horizontal="right"/>
    </xf>
    <xf numFmtId="165" fontId="11" fillId="0" borderId="0" xfId="2" applyFont="1" applyBorder="1"/>
    <xf numFmtId="165" fontId="11" fillId="0" borderId="8" xfId="15" applyNumberFormat="1" applyFont="1" applyBorder="1"/>
    <xf numFmtId="13" fontId="11" fillId="0" borderId="0" xfId="1" applyNumberFormat="1" applyFont="1" applyFill="1"/>
    <xf numFmtId="165" fontId="11" fillId="0" borderId="8" xfId="2" applyFont="1" applyBorder="1"/>
    <xf numFmtId="165" fontId="11" fillId="0" borderId="8" xfId="15" applyNumberFormat="1" applyFont="1" applyFill="1" applyBorder="1" applyAlignment="1">
      <alignment horizontal="right"/>
    </xf>
    <xf numFmtId="10" fontId="11" fillId="0" borderId="0" xfId="17" applyNumberFormat="1" applyFont="1"/>
    <xf numFmtId="9" fontId="11" fillId="0" borderId="0" xfId="15" applyFont="1"/>
    <xf numFmtId="10" fontId="11" fillId="0" borderId="0" xfId="15" applyNumberFormat="1" applyFont="1" applyFill="1"/>
    <xf numFmtId="10" fontId="11" fillId="0" borderId="0" xfId="15" applyNumberFormat="1" applyFont="1"/>
    <xf numFmtId="10" fontId="11" fillId="0" borderId="0" xfId="1" applyNumberFormat="1" applyFont="1"/>
    <xf numFmtId="0" fontId="11" fillId="0" borderId="0" xfId="1" applyFont="1" applyAlignment="1">
      <alignment horizontal="right"/>
    </xf>
    <xf numFmtId="165" fontId="11" fillId="0" borderId="6" xfId="2" applyFont="1" applyBorder="1"/>
    <xf numFmtId="0" fontId="11" fillId="2" borderId="5" xfId="1" applyFont="1" applyFill="1" applyBorder="1"/>
    <xf numFmtId="0" fontId="5" fillId="2" borderId="5" xfId="1" quotePrefix="1" applyFont="1" applyFill="1" applyBorder="1" applyAlignment="1">
      <alignment horizontal="right"/>
    </xf>
    <xf numFmtId="0" fontId="11" fillId="0" borderId="0" xfId="1" quotePrefix="1" applyFont="1" applyFill="1" applyAlignment="1">
      <alignment horizontal="centerContinuous"/>
    </xf>
    <xf numFmtId="14" fontId="11" fillId="0" borderId="0" xfId="1" applyNumberFormat="1" applyFont="1" applyAlignment="1">
      <alignment horizontal="right"/>
    </xf>
    <xf numFmtId="0" fontId="5" fillId="0" borderId="5" xfId="1" quotePrefix="1" applyFont="1" applyFill="1" applyBorder="1" applyAlignment="1">
      <alignment horizontal="centerContinuous"/>
    </xf>
    <xf numFmtId="165" fontId="10" fillId="0" borderId="0" xfId="2" applyFont="1" applyFill="1"/>
    <xf numFmtId="15" fontId="11" fillId="0" borderId="0" xfId="1" applyNumberFormat="1" applyFont="1"/>
    <xf numFmtId="0" fontId="11" fillId="0" borderId="0" xfId="1" applyFont="1" applyAlignment="1">
      <alignment horizontal="center"/>
    </xf>
    <xf numFmtId="181" fontId="11" fillId="0" borderId="0" xfId="1" applyNumberFormat="1" applyFont="1" applyFill="1" applyAlignment="1">
      <alignment horizontal="right"/>
    </xf>
    <xf numFmtId="165" fontId="11" fillId="0" borderId="0" xfId="18" applyFont="1" applyFill="1" applyBorder="1"/>
    <xf numFmtId="165" fontId="11" fillId="0" borderId="0" xfId="1" applyNumberFormat="1" applyFont="1"/>
    <xf numFmtId="0" fontId="11" fillId="0" borderId="0" xfId="1" quotePrefix="1" applyFont="1" applyAlignment="1">
      <alignment horizontal="right"/>
    </xf>
    <xf numFmtId="0" fontId="32" fillId="0" borderId="0" xfId="0" applyFont="1"/>
    <xf numFmtId="3" fontId="32" fillId="0" borderId="0" xfId="0" applyNumberFormat="1" applyFont="1"/>
    <xf numFmtId="4" fontId="32" fillId="0" borderId="0" xfId="0" applyNumberFormat="1" applyFont="1"/>
    <xf numFmtId="22" fontId="32" fillId="0" borderId="0" xfId="0" applyNumberFormat="1" applyFont="1"/>
    <xf numFmtId="0" fontId="48" fillId="0" borderId="0" xfId="1" applyFont="1" applyAlignment="1">
      <alignment horizontal="right"/>
    </xf>
    <xf numFmtId="165" fontId="18" fillId="0" borderId="0" xfId="2" applyFont="1" applyAlignment="1">
      <alignment horizontal="center"/>
    </xf>
    <xf numFmtId="0" fontId="19" fillId="0" borderId="7" xfId="1" applyFont="1" applyBorder="1" applyAlignment="1">
      <alignment horizontal="left"/>
    </xf>
    <xf numFmtId="176" fontId="20" fillId="0" borderId="0" xfId="2" applyNumberFormat="1" applyFont="1" applyAlignment="1">
      <alignment horizontal="right"/>
    </xf>
    <xf numFmtId="176" fontId="20" fillId="0" borderId="0" xfId="2" quotePrefix="1" applyNumberFormat="1" applyFont="1" applyAlignment="1">
      <alignment horizontal="right"/>
    </xf>
    <xf numFmtId="165" fontId="48" fillId="0" borderId="0" xfId="2" applyFont="1" applyAlignment="1">
      <alignment horizontal="left"/>
    </xf>
    <xf numFmtId="165" fontId="48" fillId="0" borderId="0" xfId="2" applyFont="1" applyBorder="1"/>
    <xf numFmtId="165" fontId="18" fillId="0" borderId="0" xfId="2" quotePrefix="1" applyFont="1" applyAlignment="1">
      <alignment horizontal="left"/>
    </xf>
    <xf numFmtId="165" fontId="19" fillId="0" borderId="7" xfId="2" quotePrefix="1" applyFont="1" applyBorder="1" applyAlignment="1">
      <alignment horizontal="left"/>
    </xf>
    <xf numFmtId="173" fontId="35" fillId="2" borderId="5" xfId="3" applyNumberFormat="1" applyFont="1" applyFill="1" applyBorder="1"/>
    <xf numFmtId="165" fontId="18" fillId="0" borderId="0" xfId="2" applyFont="1"/>
    <xf numFmtId="172" fontId="20" fillId="0" borderId="0" xfId="2" quotePrefix="1" applyNumberFormat="1" applyFont="1" applyAlignment="1">
      <alignment horizontal="right"/>
    </xf>
    <xf numFmtId="0" fontId="21" fillId="2" borderId="5" xfId="1" applyFont="1" applyFill="1" applyBorder="1"/>
    <xf numFmtId="165" fontId="36" fillId="0" borderId="2" xfId="1" applyNumberFormat="1" applyFont="1" applyBorder="1" applyProtection="1"/>
    <xf numFmtId="165" fontId="36" fillId="0" borderId="3" xfId="1" applyNumberFormat="1" applyFont="1" applyBorder="1" applyProtection="1"/>
    <xf numFmtId="165" fontId="36" fillId="0" borderId="4" xfId="1" applyNumberFormat="1" applyFont="1" applyBorder="1" applyProtection="1"/>
    <xf numFmtId="0" fontId="38" fillId="3" borderId="3" xfId="1" applyFont="1" applyFill="1" applyBorder="1" applyAlignment="1" applyProtection="1">
      <alignment horizontal="center"/>
    </xf>
    <xf numFmtId="0" fontId="38" fillId="3" borderId="4" xfId="1" applyFont="1" applyFill="1" applyBorder="1" applyAlignment="1" applyProtection="1">
      <alignment horizontal="center"/>
    </xf>
    <xf numFmtId="0" fontId="3" fillId="6" borderId="0" xfId="0" applyFont="1" applyFill="1" applyBorder="1"/>
    <xf numFmtId="0" fontId="3" fillId="6" borderId="15" xfId="0" applyFont="1" applyFill="1" applyBorder="1"/>
    <xf numFmtId="0" fontId="3" fillId="6" borderId="16" xfId="0" applyFont="1" applyFill="1" applyBorder="1"/>
    <xf numFmtId="13" fontId="3" fillId="6" borderId="15" xfId="0" applyNumberFormat="1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51" fillId="0" borderId="0" xfId="0" applyFont="1" applyBorder="1"/>
    <xf numFmtId="0" fontId="3" fillId="6" borderId="0" xfId="0" applyFont="1" applyFill="1" applyBorder="1" applyAlignment="1">
      <alignment horizontal="center"/>
    </xf>
    <xf numFmtId="0" fontId="52" fillId="0" borderId="0" xfId="0" applyFont="1"/>
    <xf numFmtId="0" fontId="4" fillId="0" borderId="0" xfId="0" applyFont="1"/>
    <xf numFmtId="0" fontId="5" fillId="6" borderId="17" xfId="0" applyFont="1" applyFill="1" applyBorder="1"/>
    <xf numFmtId="0" fontId="5" fillId="6" borderId="18" xfId="0" applyFont="1" applyFill="1" applyBorder="1"/>
    <xf numFmtId="0" fontId="5" fillId="6" borderId="19" xfId="0" applyFont="1" applyFill="1" applyBorder="1"/>
    <xf numFmtId="13" fontId="5" fillId="6" borderId="18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6" borderId="20" xfId="0" applyFont="1" applyFill="1" applyBorder="1"/>
    <xf numFmtId="0" fontId="6" fillId="7" borderId="0" xfId="0" applyFont="1" applyFill="1" applyBorder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2" fontId="9" fillId="0" borderId="0" xfId="0" applyNumberFormat="1" applyFont="1" applyAlignment="1"/>
    <xf numFmtId="180" fontId="53" fillId="0" borderId="0" xfId="0" applyNumberFormat="1" applyFont="1"/>
    <xf numFmtId="168" fontId="47" fillId="0" borderId="0" xfId="0" applyNumberFormat="1" applyFont="1"/>
    <xf numFmtId="22" fontId="9" fillId="0" borderId="0" xfId="0" applyNumberFormat="1" applyFont="1"/>
    <xf numFmtId="180" fontId="11" fillId="0" borderId="0" xfId="0" applyNumberFormat="1" applyFont="1"/>
    <xf numFmtId="169" fontId="9" fillId="0" borderId="0" xfId="0" applyNumberFormat="1" applyFont="1" applyAlignment="1">
      <alignment horizontal="left"/>
    </xf>
    <xf numFmtId="180" fontId="47" fillId="0" borderId="0" xfId="0" applyNumberFormat="1" applyFont="1"/>
    <xf numFmtId="180" fontId="47" fillId="0" borderId="0" xfId="0" applyNumberFormat="1" applyFont="1" applyAlignment="1">
      <alignment horizontal="center"/>
    </xf>
    <xf numFmtId="15" fontId="0" fillId="0" borderId="0" xfId="0" applyNumberFormat="1" applyFont="1"/>
    <xf numFmtId="0" fontId="7" fillId="0" borderId="0" xfId="0" applyFont="1"/>
    <xf numFmtId="14" fontId="53" fillId="0" borderId="0" xfId="0" applyNumberFormat="1" applyFont="1"/>
    <xf numFmtId="168" fontId="9" fillId="0" borderId="0" xfId="0" applyNumberFormat="1" applyFont="1"/>
    <xf numFmtId="0" fontId="54" fillId="0" borderId="0" xfId="0" applyFont="1"/>
    <xf numFmtId="14" fontId="54" fillId="0" borderId="0" xfId="0" applyNumberFormat="1" applyFont="1"/>
    <xf numFmtId="22" fontId="47" fillId="0" borderId="0" xfId="0" applyNumberFormat="1" applyFont="1"/>
    <xf numFmtId="0" fontId="55" fillId="0" borderId="0" xfId="0" applyFont="1"/>
    <xf numFmtId="165" fontId="47" fillId="0" borderId="0" xfId="0" applyNumberFormat="1" applyFont="1"/>
    <xf numFmtId="0" fontId="56" fillId="0" borderId="0" xfId="0" applyFont="1"/>
    <xf numFmtId="22" fontId="57" fillId="0" borderId="0" xfId="0" applyNumberFormat="1" applyFont="1"/>
    <xf numFmtId="169" fontId="47" fillId="0" borderId="0" xfId="0" applyNumberFormat="1" applyFont="1" applyAlignment="1">
      <alignment horizontal="left"/>
    </xf>
    <xf numFmtId="171" fontId="47" fillId="0" borderId="0" xfId="0" applyNumberFormat="1" applyFont="1"/>
    <xf numFmtId="170" fontId="47" fillId="0" borderId="0" xfId="0" applyNumberFormat="1" applyFont="1"/>
    <xf numFmtId="0" fontId="5" fillId="6" borderId="21" xfId="0" applyFont="1" applyFill="1" applyBorder="1"/>
    <xf numFmtId="0" fontId="11" fillId="6" borderId="22" xfId="0" applyFont="1" applyFill="1" applyBorder="1"/>
    <xf numFmtId="170" fontId="11" fillId="6" borderId="22" xfId="0" applyNumberFormat="1" applyFont="1" applyFill="1" applyBorder="1"/>
    <xf numFmtId="0" fontId="11" fillId="6" borderId="23" xfId="0" applyFont="1" applyFill="1" applyBorder="1"/>
    <xf numFmtId="0" fontId="3" fillId="0" borderId="0" xfId="0" applyFont="1"/>
    <xf numFmtId="0" fontId="13" fillId="0" borderId="0" xfId="0" applyFont="1"/>
    <xf numFmtId="13" fontId="13" fillId="0" borderId="0" xfId="0" applyNumberFormat="1" applyFont="1"/>
    <xf numFmtId="13" fontId="7" fillId="0" borderId="0" xfId="0" applyNumberFormat="1" applyFont="1"/>
    <xf numFmtId="0" fontId="0" fillId="0" borderId="0" xfId="0" applyFont="1"/>
  </cellXfs>
  <cellStyles count="21">
    <cellStyle name="Comma" xfId="16" builtinId="3"/>
    <cellStyle name="Comma 2" xfId="3"/>
    <cellStyle name="Currency 2" xfId="2"/>
    <cellStyle name="Currency 3" xfId="18"/>
    <cellStyle name="Followed Hyperlink" xfId="20" builtinId="9" hidden="1"/>
    <cellStyle name="Hyperlink" xfId="19" builtinId="8" hidden="1"/>
    <cellStyle name="Normal" xfId="0" builtinId="0"/>
    <cellStyle name="Normal 10" xfId="5"/>
    <cellStyle name="Normal 11" xfId="6"/>
    <cellStyle name="Normal 12" xfId="7"/>
    <cellStyle name="Normal 13" xfId="4"/>
    <cellStyle name="Normal 2" xfId="8"/>
    <cellStyle name="Normal 3" xfId="1"/>
    <cellStyle name="Normal 4" xfId="9"/>
    <cellStyle name="Normal 5" xfId="10"/>
    <cellStyle name="Normal 6" xfId="11"/>
    <cellStyle name="Normal 7" xfId="12"/>
    <cellStyle name="Normal 8" xfId="13"/>
    <cellStyle name="Normal 9" xfId="14"/>
    <cellStyle name="Percent" xfId="17" builtinId="5"/>
    <cellStyle name="Percent 2" xfId="15"/>
  </cellStyles>
  <dxfs count="3"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  <i val="0"/>
        <color auto="1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3187700</xdr:colOff>
      <xdr:row>14</xdr:row>
      <xdr:rowOff>114300</xdr:rowOff>
    </xdr:to>
    <xdr:pic>
      <xdr:nvPicPr>
        <xdr:cNvPr id="2" name="Picture 1" descr="fb5ce24cd39c7b0ee11d29235b606fd2.jpg@1l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83300" cy="318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10160</xdr:colOff>
      <xdr:row>1</xdr:row>
      <xdr:rowOff>0</xdr:rowOff>
    </xdr:to>
    <xdr:pic>
      <xdr:nvPicPr>
        <xdr:cNvPr id="4" name="Picture 3" descr="123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6640" cy="944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279400</xdr:colOff>
      <xdr:row>0</xdr:row>
      <xdr:rowOff>897353</xdr:rowOff>
    </xdr:to>
    <xdr:pic>
      <xdr:nvPicPr>
        <xdr:cNvPr id="3" name="Picture 2" descr="San_Francisco_city_vie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0467" cy="897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0</xdr:rowOff>
    </xdr:to>
    <xdr:pic>
      <xdr:nvPicPr>
        <xdr:cNvPr id="2" name="Picture 1" descr="let-the-cable-car-a-nationa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79600" cy="901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rks/5th%20semester/Fin%20300/project/Stewardship%20Report%201/Stewardshi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/Downloads/Stewardship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ewardship-Final%20(2)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tle"/>
      <sheetName val="Stewardship"/>
      <sheetName val="Transaction"/>
      <sheetName val="Income"/>
      <sheetName val="Data"/>
      <sheetName val="Management Report"/>
      <sheetName val="Portfolio116911181633.csv"/>
      <sheetName val="Managed UISES"/>
    </sheetNames>
    <sheetDataSet>
      <sheetData sheetId="0" refreshError="1">
        <row r="4">
          <cell r="B4">
            <v>42643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 (2)"/>
      <sheetName val="Title"/>
      <sheetName val="Stewardship"/>
      <sheetName val="Transaction"/>
      <sheetName val="Income"/>
      <sheetName val="Data"/>
      <sheetName val="Management Report"/>
      <sheetName val="Portfolio116911181633.csv"/>
      <sheetName val="Managed UISES"/>
    </sheetNames>
    <sheetDataSet>
      <sheetData sheetId="0" refreshError="1"/>
      <sheetData sheetId="1" refreshError="1">
        <row r="4">
          <cell r="B4">
            <v>42674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itle"/>
      <sheetName val="Stewardship"/>
      <sheetName val="Transaction"/>
      <sheetName val="Income"/>
      <sheetName val="Data"/>
      <sheetName val="Management Report"/>
      <sheetName val="Portfolio116911181633.csv"/>
      <sheetName val="Managed UISES"/>
    </sheetNames>
    <sheetDataSet>
      <sheetData sheetId="0">
        <row r="2">
          <cell r="B2" t="str">
            <v>Survival</v>
          </cell>
        </row>
      </sheetData>
      <sheetData sheetId="1">
        <row r="29">
          <cell r="J29">
            <v>2211860</v>
          </cell>
        </row>
      </sheetData>
      <sheetData sheetId="2"/>
      <sheetData sheetId="3">
        <row r="26">
          <cell r="J26">
            <v>230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32" sqref="B32"/>
    </sheetView>
  </sheetViews>
  <sheetFormatPr baseColWidth="10" defaultColWidth="9.1640625" defaultRowHeight="12" x14ac:dyDescent="0"/>
  <cols>
    <col min="1" max="1" width="38" style="142" customWidth="1"/>
    <col min="2" max="2" width="77.83203125" style="142" customWidth="1"/>
    <col min="3" max="16384" width="9.1640625" style="142"/>
  </cols>
  <sheetData>
    <row r="2" spans="2:2" ht="56">
      <c r="B2" s="141" t="s">
        <v>181</v>
      </c>
    </row>
    <row r="3" spans="2:2" ht="27">
      <c r="B3" s="143" t="s">
        <v>182</v>
      </c>
    </row>
    <row r="4" spans="2:2" ht="27">
      <c r="B4" s="144">
        <v>42674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T384"/>
  <sheetViews>
    <sheetView tabSelected="1" zoomScale="125" zoomScaleNormal="125" zoomScalePageLayoutView="125" workbookViewId="0">
      <selection activeCell="I5" sqref="I5"/>
    </sheetView>
  </sheetViews>
  <sheetFormatPr baseColWidth="10" defaultColWidth="9.1640625" defaultRowHeight="12" x14ac:dyDescent="0"/>
  <cols>
    <col min="1" max="1" width="6" style="10" bestFit="1" customWidth="1"/>
    <col min="2" max="2" width="17.33203125" style="10" customWidth="1"/>
    <col min="3" max="3" width="7" style="10" customWidth="1"/>
    <col min="4" max="4" width="2.33203125" style="10" customWidth="1"/>
    <col min="5" max="5" width="12.83203125" style="10" customWidth="1"/>
    <col min="6" max="6" width="9.6640625" style="10" bestFit="1" customWidth="1"/>
    <col min="7" max="7" width="1.6640625" style="10" customWidth="1"/>
    <col min="8" max="8" width="9.6640625" style="10" customWidth="1"/>
    <col min="9" max="9" width="10.5" style="10" customWidth="1"/>
    <col min="10" max="10" width="11.33203125" style="10" bestFit="1" customWidth="1"/>
    <col min="11" max="11" width="3.33203125" style="10" customWidth="1"/>
    <col min="12" max="12" width="11.6640625" style="10" bestFit="1" customWidth="1"/>
    <col min="13" max="13" width="11.6640625" style="10" customWidth="1"/>
    <col min="14" max="16384" width="9.1640625" style="10"/>
  </cols>
  <sheetData>
    <row r="1" spans="1:72" ht="74.25" customHeight="1">
      <c r="A1" s="145"/>
      <c r="B1" s="146"/>
      <c r="C1" s="146"/>
      <c r="D1" s="146"/>
      <c r="E1" s="205"/>
      <c r="F1" s="205"/>
      <c r="G1" s="205"/>
      <c r="H1" s="205"/>
      <c r="I1" s="205"/>
      <c r="J1" s="205"/>
      <c r="K1" s="147"/>
    </row>
    <row r="2" spans="1:72" ht="16">
      <c r="A2" s="206" t="s">
        <v>182</v>
      </c>
      <c r="B2" s="206"/>
      <c r="E2" s="15"/>
      <c r="F2" s="148"/>
      <c r="L2" s="207">
        <f>Transaction!L2</f>
        <v>42674</v>
      </c>
      <c r="M2" s="208"/>
    </row>
    <row r="3" spans="1:72" s="155" customFormat="1">
      <c r="A3" s="149"/>
      <c r="B3" s="59" t="s">
        <v>183</v>
      </c>
      <c r="C3" s="59"/>
      <c r="D3" s="59"/>
      <c r="E3" s="150"/>
      <c r="F3" s="59"/>
      <c r="G3" s="151"/>
      <c r="H3" s="59" t="s">
        <v>184</v>
      </c>
      <c r="I3" s="59"/>
      <c r="J3" s="152"/>
      <c r="K3" s="153"/>
      <c r="L3" s="59" t="s">
        <v>185</v>
      </c>
      <c r="M3" s="154"/>
    </row>
    <row r="4" spans="1:72" s="68" customFormat="1">
      <c r="A4" s="151" t="s">
        <v>72</v>
      </c>
      <c r="B4" s="155" t="s">
        <v>73</v>
      </c>
      <c r="C4" s="151" t="s">
        <v>74</v>
      </c>
      <c r="D4" s="156"/>
      <c r="E4" s="157" t="s">
        <v>156</v>
      </c>
      <c r="F4" s="157" t="s">
        <v>186</v>
      </c>
      <c r="G4" s="158"/>
      <c r="H4" s="159" t="s">
        <v>187</v>
      </c>
      <c r="I4" s="159">
        <f>Title!B4</f>
        <v>42674</v>
      </c>
      <c r="J4" s="160" t="s">
        <v>98</v>
      </c>
      <c r="K4" s="160"/>
      <c r="L4" s="151" t="s">
        <v>188</v>
      </c>
      <c r="M4" s="158" t="s">
        <v>189</v>
      </c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  <c r="AU4" s="161"/>
      <c r="AV4" s="161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  <c r="BI4" s="161"/>
      <c r="BJ4" s="161"/>
      <c r="BK4" s="161"/>
      <c r="BL4" s="161"/>
      <c r="BM4" s="161"/>
      <c r="BN4" s="161"/>
      <c r="BO4" s="161"/>
      <c r="BP4" s="161"/>
      <c r="BQ4" s="161"/>
      <c r="BR4" s="161"/>
      <c r="BS4" s="161"/>
      <c r="BT4" s="161"/>
    </row>
    <row r="5" spans="1:72" s="68" customFormat="1">
      <c r="A5" s="162">
        <f>IF(C5="","",SUMIF(Transaction!B$5:B$46,C5,Transaction!F$5:F$46))</f>
        <v>5000</v>
      </c>
      <c r="B5" s="10" t="str">
        <f>IF(C5="","",PROPER(VLOOKUP(C5,Data!A$3:D$31,2,FALSE)))</f>
        <v>Alibaba Group</v>
      </c>
      <c r="C5" s="163" t="s">
        <v>21</v>
      </c>
      <c r="D5" s="164"/>
      <c r="E5" s="11">
        <f>IF(C5="","",SUMIF(Transaction!B$5:B$46,C5,Transaction!L$5:L$46))</f>
        <v>520683.33</v>
      </c>
      <c r="F5" s="165">
        <f t="shared" ref="F5:F22" si="0">IF(C5="","",E5/E$30)</f>
        <v>0.14029165939679153</v>
      </c>
      <c r="G5" s="166"/>
      <c r="H5" s="167">
        <f t="shared" ref="H5:H22" si="1">IF(C5="","",E5/A5)</f>
        <v>104.13666600000001</v>
      </c>
      <c r="I5" s="167">
        <f>IF(C5="","",VLOOKUP(C5,Data!A$3:D$30,4,FALSE))</f>
        <v>101.69</v>
      </c>
      <c r="J5" s="168">
        <f t="shared" ref="J5:J22" si="2">IF(C5="","",I5*A5)</f>
        <v>508450</v>
      </c>
      <c r="K5" s="169"/>
      <c r="L5" s="170">
        <f t="shared" ref="L5:L22" si="3">IF(C5="","",J5-E5)</f>
        <v>-12233.330000000016</v>
      </c>
      <c r="M5" s="171">
        <f t="shared" ref="M5:M22" si="4">IF(C5="","",IF(A5&lt;0,-1,1)*(L5/E5))</f>
        <v>-2.3494760241315995E-2</v>
      </c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</row>
    <row r="6" spans="1:72" s="68" customFormat="1">
      <c r="A6" s="162">
        <f>IF(C6="","",SUMIF(Transaction!B$5:B$46,C6,Transaction!F$5:F$46))</f>
        <v>1000</v>
      </c>
      <c r="B6" s="10" t="str">
        <f>IF(C6="","",PROPER(VLOOKUP(C6,Data!A$3:D$31,2,FALSE)))</f>
        <v>Alphabet Inc. Class A</v>
      </c>
      <c r="C6" s="163" t="s">
        <v>24</v>
      </c>
      <c r="D6" s="164"/>
      <c r="E6" s="11">
        <f>IF(C6="","",SUMIF(Transaction!B$5:B$46,C6,Transaction!L$5:L$46))</f>
        <v>814960</v>
      </c>
      <c r="F6" s="165">
        <f t="shared" si="0"/>
        <v>0.21958085491619106</v>
      </c>
      <c r="G6" s="166"/>
      <c r="H6" s="167">
        <f t="shared" si="1"/>
        <v>814.96</v>
      </c>
      <c r="I6" s="167">
        <f>IF(C6="","",VLOOKUP(C6,Data!A$3:D$30,4,FALSE))</f>
        <v>809.9</v>
      </c>
      <c r="J6" s="168">
        <f t="shared" si="2"/>
        <v>809900</v>
      </c>
      <c r="K6" s="169"/>
      <c r="L6" s="170">
        <f t="shared" si="3"/>
        <v>-5060</v>
      </c>
      <c r="M6" s="171">
        <f t="shared" si="4"/>
        <v>-6.2088936880337689E-3</v>
      </c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161"/>
      <c r="BQ6" s="161"/>
      <c r="BR6" s="161"/>
      <c r="BS6" s="161"/>
      <c r="BT6" s="161"/>
    </row>
    <row r="7" spans="1:72" s="68" customFormat="1">
      <c r="A7" s="162">
        <f>IF(C7="","",SUMIF(Transaction!B$5:B$46,C7,Transaction!F$5:F$46))</f>
        <v>2000</v>
      </c>
      <c r="B7" s="10" t="str">
        <f>IF(C7="","",PROPER(VLOOKUP(C7,Data!A$3:D$31,2,FALSE)))</f>
        <v>Ameren</v>
      </c>
      <c r="C7" s="163" t="s">
        <v>28</v>
      </c>
      <c r="D7" s="164"/>
      <c r="E7" s="11">
        <f>IF(C7="","",SUMIF(Transaction!B$5:B$46,C7,Transaction!L$5:L$46))</f>
        <v>101120</v>
      </c>
      <c r="F7" s="165">
        <f t="shared" si="0"/>
        <v>2.724552867518067E-2</v>
      </c>
      <c r="G7" s="166"/>
      <c r="H7" s="167">
        <f t="shared" si="1"/>
        <v>50.56</v>
      </c>
      <c r="I7" s="167">
        <f>IF(C7="","",VLOOKUP(C7,Data!A$3:D$30,4,FALSE))</f>
        <v>49.95</v>
      </c>
      <c r="J7" s="168">
        <f t="shared" si="2"/>
        <v>99900</v>
      </c>
      <c r="K7" s="169"/>
      <c r="L7" s="170">
        <f t="shared" si="3"/>
        <v>-1220</v>
      </c>
      <c r="M7" s="171">
        <f t="shared" si="4"/>
        <v>-1.2064873417721519E-2</v>
      </c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AV7" s="161"/>
      <c r="AW7" s="161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/>
      <c r="BQ7" s="161"/>
      <c r="BR7" s="161"/>
      <c r="BS7" s="161"/>
      <c r="BT7" s="161"/>
    </row>
    <row r="8" spans="1:72" s="68" customFormat="1">
      <c r="A8" s="162">
        <f>IF(C8="","",SUMIF(Transaction!B$5:B$46,C8,Transaction!F$5:F$46))</f>
        <v>5500</v>
      </c>
      <c r="B8" s="10" t="str">
        <f>IF(C8="","",PROPER(VLOOKUP(C8,Data!A$3:D$31,2,FALSE)))</f>
        <v>Apple Inc.</v>
      </c>
      <c r="C8" s="163" t="s">
        <v>30</v>
      </c>
      <c r="D8" s="172"/>
      <c r="E8" s="11">
        <f>IF(C8="","",SUMIF(Transaction!B$5:B$46,C8,Transaction!L$5:L$46))</f>
        <v>642430</v>
      </c>
      <c r="F8" s="165">
        <f t="shared" si="0"/>
        <v>0.17309478823967878</v>
      </c>
      <c r="G8" s="173"/>
      <c r="H8" s="167">
        <f t="shared" si="1"/>
        <v>116.80545454545455</v>
      </c>
      <c r="I8" s="167">
        <f>IF(C8="","",VLOOKUP(C8,Data!A$3:D$30,4,FALSE))</f>
        <v>113.54</v>
      </c>
      <c r="J8" s="168">
        <f t="shared" si="2"/>
        <v>624470</v>
      </c>
      <c r="K8" s="174"/>
      <c r="L8" s="170">
        <f t="shared" si="3"/>
        <v>-17960</v>
      </c>
      <c r="M8" s="171">
        <f t="shared" si="4"/>
        <v>-2.795635322136264E-2</v>
      </c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161"/>
      <c r="BQ8" s="161"/>
      <c r="BR8" s="161"/>
      <c r="BS8" s="161"/>
      <c r="BT8" s="161"/>
    </row>
    <row r="9" spans="1:72" s="68" customFormat="1">
      <c r="A9" s="162">
        <f>IF(C9="","",SUMIF(Transaction!B$5:B$46,C9,Transaction!F$5:F$46))</f>
        <v>-4000</v>
      </c>
      <c r="B9" s="10" t="str">
        <f>IF(C9="","",PROPER(VLOOKUP(C9,Data!A$3:D$31,2,FALSE)))</f>
        <v>Bank Of America</v>
      </c>
      <c r="C9" s="163" t="s">
        <v>32</v>
      </c>
      <c r="D9" s="172"/>
      <c r="E9" s="11">
        <f>IF(C9="","",SUMIF(Transaction!B$5:B$46,C9,Transaction!L$5:L$46))</f>
        <v>-62400</v>
      </c>
      <c r="F9" s="165">
        <f t="shared" si="0"/>
        <v>-1.6812905353355161E-2</v>
      </c>
      <c r="G9" s="173"/>
      <c r="H9" s="167">
        <f t="shared" si="1"/>
        <v>15.6</v>
      </c>
      <c r="I9" s="167">
        <f>IF(C9="","",VLOOKUP(C9,Data!A$3:D$30,4,FALSE))</f>
        <v>16.5</v>
      </c>
      <c r="J9" s="168">
        <f t="shared" si="2"/>
        <v>-66000</v>
      </c>
      <c r="K9" s="174"/>
      <c r="L9" s="170">
        <f t="shared" si="3"/>
        <v>-3600</v>
      </c>
      <c r="M9" s="171">
        <f t="shared" si="4"/>
        <v>-5.7692307692307696E-2</v>
      </c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</row>
    <row r="10" spans="1:72" s="68" customFormat="1">
      <c r="A10" s="162">
        <f>IF(C10="","",SUMIF(Transaction!B$5:B$46,C10,Transaction!F$5:F$46))</f>
        <v>1000</v>
      </c>
      <c r="B10" s="10" t="str">
        <f>IF(C10="","",PROPER(VLOOKUP(C10,Data!A$3:D$31,2,FALSE)))</f>
        <v>Barclays</v>
      </c>
      <c r="C10" s="163" t="s">
        <v>34</v>
      </c>
      <c r="D10" s="172"/>
      <c r="E10" s="11">
        <f>IF(C10="","",SUMIF(Transaction!B$5:B$46,C10,Transaction!L$5:L$46))</f>
        <v>9230</v>
      </c>
      <c r="F10" s="165">
        <f t="shared" si="0"/>
        <v>2.4869089168504509E-3</v>
      </c>
      <c r="G10" s="173"/>
      <c r="H10" s="167">
        <f t="shared" si="1"/>
        <v>9.23</v>
      </c>
      <c r="I10" s="167">
        <f>IF(C10="","",VLOOKUP(C10,Data!A$3:D$30,4,FALSE))</f>
        <v>9.2200000000000006</v>
      </c>
      <c r="J10" s="168">
        <f t="shared" si="2"/>
        <v>9220</v>
      </c>
      <c r="K10" s="174"/>
      <c r="L10" s="170">
        <f t="shared" si="3"/>
        <v>-10</v>
      </c>
      <c r="M10" s="171">
        <f t="shared" si="4"/>
        <v>-1.0834236186348862E-3</v>
      </c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</row>
    <row r="11" spans="1:72" s="68" customFormat="1">
      <c r="A11" s="162">
        <f>IF(C11="","",SUMIF(Transaction!B$5:B$46,C11,Transaction!F$5:F$46))</f>
        <v>6000</v>
      </c>
      <c r="B11" s="10" t="str">
        <f>IF(C11="","",PROPER(VLOOKUP(C11,Data!A$3:D$31,2,FALSE)))</f>
        <v>Cabot Oil &amp; Gas A</v>
      </c>
      <c r="C11" s="163" t="s">
        <v>36</v>
      </c>
      <c r="D11" s="172"/>
      <c r="E11" s="11">
        <f>IF(C11="","",SUMIF(Transaction!B$5:B$46,C11,Transaction!L$5:L$46))</f>
        <v>154090</v>
      </c>
      <c r="F11" s="165">
        <f t="shared" si="0"/>
        <v>4.1517637594527187E-2</v>
      </c>
      <c r="G11" s="173"/>
      <c r="H11" s="167">
        <f t="shared" si="1"/>
        <v>25.681666666666668</v>
      </c>
      <c r="I11" s="167">
        <f>IF(C11="","",VLOOKUP(C11,Data!A$3:D$30,4,FALSE))</f>
        <v>20.88</v>
      </c>
      <c r="J11" s="168">
        <f t="shared" si="2"/>
        <v>125280</v>
      </c>
      <c r="K11" s="174"/>
      <c r="L11" s="170">
        <f t="shared" si="3"/>
        <v>-28810</v>
      </c>
      <c r="M11" s="171">
        <f t="shared" si="4"/>
        <v>-0.18696865468232851</v>
      </c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161"/>
      <c r="BT11" s="161"/>
    </row>
    <row r="12" spans="1:72" s="68" customFormat="1">
      <c r="A12" s="162">
        <f>IF(C12="","",SUMIF(Transaction!B$5:B$46,C12,Transaction!F$5:F$46))</f>
        <v>-2000</v>
      </c>
      <c r="B12" s="10" t="str">
        <f>IF(C12="","",PROPER(VLOOKUP(C12,Data!A$3:D$31,2,FALSE)))</f>
        <v>Deutsche Bank</v>
      </c>
      <c r="C12" s="163" t="s">
        <v>38</v>
      </c>
      <c r="D12" s="172"/>
      <c r="E12" s="11">
        <f>IF(C12="","",SUMIF(Transaction!B$5:B$46,C12,Transaction!L$5:L$46))</f>
        <v>-26180</v>
      </c>
      <c r="F12" s="165">
        <f t="shared" si="0"/>
        <v>-7.053875996007021E-3</v>
      </c>
      <c r="G12" s="173"/>
      <c r="H12" s="167">
        <f t="shared" si="1"/>
        <v>13.09</v>
      </c>
      <c r="I12" s="167">
        <f>IF(C12="","",VLOOKUP(C12,Data!A$3:D$30,4,FALSE))</f>
        <v>14.39</v>
      </c>
      <c r="J12" s="168">
        <f t="shared" si="2"/>
        <v>-28780</v>
      </c>
      <c r="K12" s="174"/>
      <c r="L12" s="170">
        <f t="shared" si="3"/>
        <v>-2600</v>
      </c>
      <c r="M12" s="171">
        <f t="shared" si="4"/>
        <v>-9.9312452253628725E-2</v>
      </c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/>
      <c r="BQ12" s="161"/>
      <c r="BR12" s="161"/>
      <c r="BS12" s="161"/>
      <c r="BT12" s="161"/>
    </row>
    <row r="13" spans="1:72" s="68" customFormat="1">
      <c r="A13" s="162">
        <f>IF(C13="","",SUMIF(Transaction!B$5:B$46,C13,Transaction!F$5:F$46))</f>
        <v>2000</v>
      </c>
      <c r="B13" s="10" t="str">
        <f>IF(C13="","",PROPER(VLOOKUP(C13,Data!A$3:D$31,2,FALSE)))</f>
        <v>Duke Energy</v>
      </c>
      <c r="C13" s="163" t="s">
        <v>40</v>
      </c>
      <c r="D13" s="172"/>
      <c r="E13" s="11">
        <f>IF(C13="","",SUMIF(Transaction!B$5:B$46,C13,Transaction!L$5:L$46))</f>
        <v>162860</v>
      </c>
      <c r="F13" s="165">
        <f t="shared" si="0"/>
        <v>4.3880605221913803E-2</v>
      </c>
      <c r="G13" s="173"/>
      <c r="H13" s="167">
        <f t="shared" si="1"/>
        <v>81.430000000000007</v>
      </c>
      <c r="I13" s="167">
        <f>IF(C13="","",VLOOKUP(C13,Data!A$3:D$30,4,FALSE))</f>
        <v>80.02</v>
      </c>
      <c r="J13" s="168">
        <f t="shared" si="2"/>
        <v>160040</v>
      </c>
      <c r="K13" s="174"/>
      <c r="L13" s="170">
        <f t="shared" si="3"/>
        <v>-2820</v>
      </c>
      <c r="M13" s="171">
        <f t="shared" si="4"/>
        <v>-1.7315485693233452E-2</v>
      </c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/>
      <c r="BQ13" s="161"/>
      <c r="BR13" s="161"/>
      <c r="BS13" s="161"/>
      <c r="BT13" s="161"/>
    </row>
    <row r="14" spans="1:72" s="68" customFormat="1">
      <c r="A14" s="162">
        <f>IF(C14="","",SUMIF(Transaction!B$5:B$46,C14,Transaction!F$5:F$46))</f>
        <v>-2000</v>
      </c>
      <c r="B14" s="10" t="str">
        <f>IF(C14="","",PROPER(VLOOKUP(C14,Data!A$3:D$31,2,FALSE)))</f>
        <v>Exxon Mobil Corporation</v>
      </c>
      <c r="C14" s="163" t="s">
        <v>42</v>
      </c>
      <c r="D14" s="172"/>
      <c r="E14" s="11">
        <f>IF(C14="","",SUMIF(Transaction!B$5:B$46,C14,Transaction!L$5:L$46))</f>
        <v>-165080</v>
      </c>
      <c r="F14" s="165">
        <f t="shared" si="0"/>
        <v>-4.4478756662369709E-2</v>
      </c>
      <c r="G14" s="173"/>
      <c r="H14" s="167">
        <f t="shared" si="1"/>
        <v>82.54</v>
      </c>
      <c r="I14" s="167">
        <f>IF(C14="","",VLOOKUP(C14,Data!A$3:D$30,4,FALSE))</f>
        <v>83.32</v>
      </c>
      <c r="J14" s="168">
        <f t="shared" si="2"/>
        <v>-166640</v>
      </c>
      <c r="K14" s="174"/>
      <c r="L14" s="170">
        <f t="shared" si="3"/>
        <v>-1560</v>
      </c>
      <c r="M14" s="171">
        <f t="shared" si="4"/>
        <v>-9.4499636539859457E-3</v>
      </c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/>
      <c r="BQ14" s="161"/>
      <c r="BR14" s="161"/>
      <c r="BS14" s="161"/>
      <c r="BT14" s="161"/>
    </row>
    <row r="15" spans="1:72" s="68" customFormat="1">
      <c r="A15" s="162">
        <f>IF(C15="","",SUMIF(Transaction!B$5:B$46,C15,Transaction!F$5:F$46))</f>
        <v>3000</v>
      </c>
      <c r="B15" s="10" t="str">
        <f>IF(C15="","",PROPER(VLOOKUP(C15,Data!A$3:D$31,2,FALSE)))</f>
        <v>Ford Motor Co.</v>
      </c>
      <c r="C15" s="163" t="s">
        <v>44</v>
      </c>
      <c r="D15" s="172"/>
      <c r="E15" s="11">
        <f>IF(C15="","",SUMIF(Transaction!B$5:B$46,C15,Transaction!L$5:L$46))</f>
        <v>36420</v>
      </c>
      <c r="F15" s="165">
        <f t="shared" si="0"/>
        <v>9.8129168745063299E-3</v>
      </c>
      <c r="G15" s="173"/>
      <c r="H15" s="167">
        <f t="shared" si="1"/>
        <v>12.14</v>
      </c>
      <c r="I15" s="167">
        <f>IF(C15="","",VLOOKUP(C15,Data!A$3:D$30,4,FALSE))</f>
        <v>11.74</v>
      </c>
      <c r="J15" s="168">
        <f t="shared" si="2"/>
        <v>35220</v>
      </c>
      <c r="K15" s="174"/>
      <c r="L15" s="170">
        <f t="shared" si="3"/>
        <v>-1200</v>
      </c>
      <c r="M15" s="171">
        <f t="shared" si="4"/>
        <v>-3.2948929159802305E-2</v>
      </c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/>
      <c r="BQ15" s="161"/>
      <c r="BR15" s="161"/>
      <c r="BS15" s="161"/>
      <c r="BT15" s="161"/>
    </row>
    <row r="16" spans="1:72" s="68" customFormat="1">
      <c r="A16" s="162">
        <f>IF(C16="","",SUMIF(Transaction!B$5:B$46,C16,Transaction!F$5:F$46))</f>
        <v>1000</v>
      </c>
      <c r="B16" s="10" t="str">
        <f>IF(C16="","",PROPER(VLOOKUP(C16,Data!A$3:D$31,2,FALSE)))</f>
        <v>General Electric Co</v>
      </c>
      <c r="C16" s="163" t="s">
        <v>46</v>
      </c>
      <c r="D16" s="172"/>
      <c r="E16" s="11">
        <f>IF(C16="","",SUMIF(Transaction!B$5:B$46,C16,Transaction!L$5:L$46))</f>
        <v>30490</v>
      </c>
      <c r="F16" s="165">
        <f t="shared" si="0"/>
        <v>8.2151519907660078E-3</v>
      </c>
      <c r="G16" s="173"/>
      <c r="H16" s="167">
        <f t="shared" si="1"/>
        <v>30.49</v>
      </c>
      <c r="I16" s="167">
        <f>IF(C16="","",VLOOKUP(C16,Data!A$3:D$30,4,FALSE))</f>
        <v>29.1</v>
      </c>
      <c r="J16" s="168">
        <f t="shared" si="2"/>
        <v>29100</v>
      </c>
      <c r="K16" s="174"/>
      <c r="L16" s="170">
        <f t="shared" si="3"/>
        <v>-1390</v>
      </c>
      <c r="M16" s="171">
        <f t="shared" si="4"/>
        <v>-4.5588717612331915E-2</v>
      </c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/>
      <c r="BQ16" s="161"/>
      <c r="BR16" s="161"/>
      <c r="BS16" s="161"/>
      <c r="BT16" s="161"/>
    </row>
    <row r="17" spans="1:72" s="68" customFormat="1">
      <c r="A17" s="162">
        <f>IF(C17="","",SUMIF(Transaction!B$5:B$46,C17,Transaction!F$5:F$46))</f>
        <v>-2000</v>
      </c>
      <c r="B17" s="10" t="str">
        <f>IF(C17="","",PROPER(VLOOKUP(C17,Data!A$3:D$31,2,FALSE)))</f>
        <v>J P Morgan Chase &amp; Co</v>
      </c>
      <c r="C17" s="163" t="s">
        <v>50</v>
      </c>
      <c r="D17" s="172"/>
      <c r="E17" s="11">
        <f>IF(C17="","",SUMIF(Transaction!B$5:B$46,C17,Transaction!L$5:L$46))</f>
        <v>-134320</v>
      </c>
      <c r="F17" s="165">
        <f t="shared" si="0"/>
        <v>-3.6190856523440146E-2</v>
      </c>
      <c r="G17" s="173"/>
      <c r="H17" s="167">
        <f t="shared" si="1"/>
        <v>67.16</v>
      </c>
      <c r="I17" s="167">
        <f>IF(C17="","",VLOOKUP(C17,Data!A$3:D$30,4,FALSE))</f>
        <v>69.260000000000005</v>
      </c>
      <c r="J17" s="168">
        <f t="shared" si="2"/>
        <v>-138520</v>
      </c>
      <c r="K17" s="174"/>
      <c r="L17" s="170">
        <f t="shared" si="3"/>
        <v>-4200</v>
      </c>
      <c r="M17" s="171">
        <f t="shared" si="4"/>
        <v>-3.1268612269207859E-2</v>
      </c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161"/>
      <c r="BP17" s="161"/>
      <c r="BQ17" s="161"/>
      <c r="BR17" s="161"/>
      <c r="BS17" s="161"/>
      <c r="BT17" s="161"/>
    </row>
    <row r="18" spans="1:72" s="68" customFormat="1">
      <c r="A18" s="162">
        <f>IF(C18="","",SUMIF(Transaction!B$5:B$46,C18,Transaction!F$5:F$46))</f>
        <v>10000</v>
      </c>
      <c r="B18" s="10" t="str">
        <f>IF(C18="","",PROPER(VLOOKUP(C18,Data!A$3:D$31,2,FALSE)))</f>
        <v>Marriott Intl A</v>
      </c>
      <c r="C18" s="163" t="s">
        <v>54</v>
      </c>
      <c r="D18" s="172"/>
      <c r="E18" s="11">
        <f>IF(C18="","",SUMIF(Transaction!B$5:B$46,C18,Transaction!L$5:L$46))</f>
        <v>671500</v>
      </c>
      <c r="F18" s="165">
        <f t="shared" si="0"/>
        <v>0.18092733885862164</v>
      </c>
      <c r="G18" s="173"/>
      <c r="H18" s="167">
        <f t="shared" si="1"/>
        <v>67.150000000000006</v>
      </c>
      <c r="I18" s="167">
        <f>IF(C18="","",VLOOKUP(C18,Data!A$3:D$30,4,FALSE))</f>
        <v>68.7</v>
      </c>
      <c r="J18" s="168">
        <f t="shared" si="2"/>
        <v>687000</v>
      </c>
      <c r="K18" s="174"/>
      <c r="L18" s="170">
        <f t="shared" si="3"/>
        <v>15500</v>
      </c>
      <c r="M18" s="171">
        <f t="shared" si="4"/>
        <v>2.3082650781831721E-2</v>
      </c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161"/>
      <c r="BQ18" s="161"/>
      <c r="BR18" s="161"/>
      <c r="BS18" s="161"/>
      <c r="BT18" s="161"/>
    </row>
    <row r="19" spans="1:72" s="68" customFormat="1">
      <c r="A19" s="162">
        <f>IF(C19="","",SUMIF(Transaction!B$5:B$46,C19,Transaction!F$5:F$46))</f>
        <v>1000</v>
      </c>
      <c r="B19" s="10" t="str">
        <f>IF(C19="","",PROPER(VLOOKUP(C19,Data!A$3:D$31,2,FALSE)))</f>
        <v>Nike Inc B</v>
      </c>
      <c r="C19" s="163" t="s">
        <v>56</v>
      </c>
      <c r="D19" s="172"/>
      <c r="E19" s="11">
        <f>IF(C19="","",SUMIF(Transaction!B$5:B$46,C19,Transaction!L$5:L$46))</f>
        <v>54400</v>
      </c>
      <c r="F19" s="165">
        <f t="shared" si="0"/>
        <v>1.4657404667027576E-2</v>
      </c>
      <c r="G19" s="173"/>
      <c r="H19" s="167">
        <f t="shared" si="1"/>
        <v>54.4</v>
      </c>
      <c r="I19" s="167">
        <f>IF(C19="","",VLOOKUP(C19,Data!A$3:D$30,4,FALSE))</f>
        <v>50.18</v>
      </c>
      <c r="J19" s="168">
        <f t="shared" si="2"/>
        <v>50180</v>
      </c>
      <c r="K19" s="174"/>
      <c r="L19" s="170">
        <f t="shared" si="3"/>
        <v>-4220</v>
      </c>
      <c r="M19" s="171">
        <f t="shared" si="4"/>
        <v>-7.7573529411764708E-2</v>
      </c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/>
      <c r="BQ19" s="161"/>
      <c r="BR19" s="161"/>
      <c r="BS19" s="161"/>
      <c r="BT19" s="161"/>
    </row>
    <row r="20" spans="1:72" s="68" customFormat="1">
      <c r="A20" s="162">
        <f>IF(C20="","",SUMIF(Transaction!B$5:B$46,C20,Transaction!F$5:F$46))</f>
        <v>-3000</v>
      </c>
      <c r="B20" s="10" t="str">
        <f>IF(C20="","",PROPER(VLOOKUP(C20,Data!A$3:D$31,2,FALSE)))</f>
        <v>Seneca Foods Corp A</v>
      </c>
      <c r="C20" s="163" t="s">
        <v>58</v>
      </c>
      <c r="D20" s="172"/>
      <c r="E20" s="11">
        <f>IF(C20="","",SUMIF(Transaction!B$5:B$46,C20,Transaction!L$5:L$46))</f>
        <v>-85410</v>
      </c>
      <c r="F20" s="165">
        <f t="shared" si="0"/>
        <v>-2.3012664202404876E-2</v>
      </c>
      <c r="G20" s="173"/>
      <c r="H20" s="167">
        <f t="shared" si="1"/>
        <v>28.47</v>
      </c>
      <c r="I20" s="167">
        <f>IF(C20="","",VLOOKUP(C20,Data!A$3:D$30,4,FALSE))</f>
        <v>29.4</v>
      </c>
      <c r="J20" s="168">
        <f t="shared" si="2"/>
        <v>-88200</v>
      </c>
      <c r="K20" s="174"/>
      <c r="L20" s="170">
        <f t="shared" si="3"/>
        <v>-2790</v>
      </c>
      <c r="M20" s="171">
        <f t="shared" si="4"/>
        <v>-3.2665964172813484E-2</v>
      </c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  <c r="AU20" s="161"/>
      <c r="AV20" s="161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</row>
    <row r="21" spans="1:72" s="68" customFormat="1">
      <c r="A21" s="162">
        <f>IF(C21="","",SUMIF(Transaction!B$5:B$46,C21,Transaction!F$5:F$46))</f>
        <v>3000</v>
      </c>
      <c r="B21" s="10" t="str">
        <f>IF(C21="","",PROPER(VLOOKUP(C21,Data!A$3:D$31,2,FALSE)))</f>
        <v>Sorl Auto Parts</v>
      </c>
      <c r="C21" s="163" t="s">
        <v>60</v>
      </c>
      <c r="D21" s="172"/>
      <c r="E21" s="11">
        <f>IF(C21="","",SUMIF(Transaction!B$5:B$46,C21,Transaction!L$5:L$46))</f>
        <v>12030</v>
      </c>
      <c r="F21" s="165">
        <f t="shared" si="0"/>
        <v>3.2413341570651055E-3</v>
      </c>
      <c r="G21" s="173"/>
      <c r="H21" s="167">
        <f t="shared" si="1"/>
        <v>4.01</v>
      </c>
      <c r="I21" s="167">
        <f>IF(C21="","",VLOOKUP(C21,Data!A$3:D$30,4,FALSE))</f>
        <v>4.09</v>
      </c>
      <c r="J21" s="168">
        <f t="shared" si="2"/>
        <v>12270</v>
      </c>
      <c r="K21" s="174"/>
      <c r="L21" s="170">
        <f t="shared" si="3"/>
        <v>240</v>
      </c>
      <c r="M21" s="171">
        <f t="shared" si="4"/>
        <v>1.9950124688279301E-2</v>
      </c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161"/>
      <c r="BQ21" s="161"/>
      <c r="BR21" s="161"/>
      <c r="BS21" s="161"/>
      <c r="BT21" s="161"/>
    </row>
    <row r="22" spans="1:72" s="68" customFormat="1">
      <c r="A22" s="162">
        <f>IF(C22="","",SUMIF(Transaction!B$5:B$46,C22,Transaction!F$5:F$46))</f>
        <v>-4000</v>
      </c>
      <c r="B22" s="10" t="str">
        <f>IF(C22="","",PROPER(VLOOKUP(C22,Data!A$3:D$31,2,FALSE)))</f>
        <v>Wells Fargo &amp; Co</v>
      </c>
      <c r="C22" s="163" t="s">
        <v>64</v>
      </c>
      <c r="D22" s="172"/>
      <c r="E22" s="11">
        <f>IF(C22="","",SUMIF(Transaction!B$5:B$46,C22,Transaction!L$5:L$46))</f>
        <v>-177120</v>
      </c>
      <c r="F22" s="165">
        <f t="shared" si="0"/>
        <v>-4.7722785195292723E-2</v>
      </c>
      <c r="G22" s="173"/>
      <c r="H22" s="167">
        <f t="shared" si="1"/>
        <v>44.28</v>
      </c>
      <c r="I22" s="167">
        <f>IF(C22="","",VLOOKUP(C22,Data!A$3:D$30,4,FALSE))</f>
        <v>46.01</v>
      </c>
      <c r="J22" s="168">
        <f t="shared" si="2"/>
        <v>-184040</v>
      </c>
      <c r="K22" s="174"/>
      <c r="L22" s="170">
        <f t="shared" si="3"/>
        <v>-6920</v>
      </c>
      <c r="M22" s="171">
        <f t="shared" si="4"/>
        <v>-3.9069557362240291E-2</v>
      </c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161"/>
      <c r="BQ22" s="161"/>
      <c r="BR22" s="161"/>
      <c r="BS22" s="161"/>
      <c r="BT22" s="161"/>
    </row>
    <row r="23" spans="1:72" s="68" customFormat="1">
      <c r="A23" s="10"/>
      <c r="B23" s="10" t="s">
        <v>190</v>
      </c>
      <c r="C23" s="175"/>
      <c r="D23" s="176"/>
      <c r="E23" s="177">
        <f>SUM(E5:E22)</f>
        <v>2559703.33</v>
      </c>
      <c r="F23" s="165">
        <f>E23/E30</f>
        <v>0.6896802855762505</v>
      </c>
      <c r="G23" s="10"/>
      <c r="H23" s="178"/>
      <c r="I23" s="176"/>
      <c r="J23" s="179">
        <f>SUM(J5:J22)</f>
        <v>2478850</v>
      </c>
      <c r="K23" s="179"/>
      <c r="L23" s="180">
        <f>SUM(L5:L22)</f>
        <v>-80853.330000000016</v>
      </c>
      <c r="M23" s="181">
        <f>IF(E23=0,0,IF(E23&lt;0,-1,1)*(L23/E23))</f>
        <v>-3.1586992544171133E-2</v>
      </c>
    </row>
    <row r="24" spans="1:72" s="68" customFormat="1">
      <c r="A24" s="10"/>
      <c r="B24" s="10" t="str">
        <f>IF(Transaction!L47=Stewardship!E23,"","BOOK VALUE OF EQUITY OUT OF BALANCE")</f>
        <v/>
      </c>
      <c r="C24" s="10"/>
      <c r="D24" s="11"/>
      <c r="E24" s="182"/>
      <c r="F24" s="165"/>
      <c r="G24" s="10"/>
      <c r="H24" s="178"/>
      <c r="I24" s="11"/>
      <c r="J24" s="11"/>
      <c r="K24" s="183"/>
      <c r="L24" s="184"/>
      <c r="M24" s="185"/>
    </row>
    <row r="25" spans="1:72" s="68" customFormat="1">
      <c r="A25" s="10"/>
      <c r="B25" s="10"/>
      <c r="C25" s="10"/>
      <c r="D25" s="10"/>
      <c r="E25" s="182"/>
      <c r="F25" s="165"/>
      <c r="G25" s="10"/>
      <c r="H25" s="10"/>
      <c r="I25" s="10"/>
      <c r="J25" s="10"/>
      <c r="K25" s="10"/>
      <c r="L25" s="10"/>
      <c r="M25" s="10"/>
    </row>
    <row r="26" spans="1:72" s="68" customFormat="1">
      <c r="A26" s="10"/>
      <c r="B26" s="10" t="s">
        <v>191</v>
      </c>
      <c r="C26" s="186"/>
      <c r="D26" s="176"/>
      <c r="E26" s="177">
        <f>Transaction!G58</f>
        <v>1151731.3500000001</v>
      </c>
      <c r="F26" s="165">
        <f>E26/E30</f>
        <v>0.3103197144237495</v>
      </c>
      <c r="G26" s="10"/>
      <c r="H26" s="10"/>
      <c r="I26" s="176"/>
      <c r="J26" s="179">
        <f>E26</f>
        <v>1151731.3500000001</v>
      </c>
      <c r="K26" s="209" t="str">
        <f>IF(ROUND(L23,2)=ROUND((J23-E23),2),"","UREALIZED GAIN OUT OF BALANCE")</f>
        <v/>
      </c>
      <c r="L26" s="209"/>
      <c r="M26" s="10"/>
    </row>
    <row r="27" spans="1:72" s="68" customFormat="1">
      <c r="A27" s="10"/>
      <c r="B27" s="10"/>
      <c r="C27" s="186"/>
      <c r="D27" s="176"/>
      <c r="E27" s="182"/>
      <c r="F27" s="165"/>
      <c r="G27" s="10"/>
      <c r="H27" s="10"/>
      <c r="I27" s="176"/>
      <c r="J27" s="176"/>
      <c r="K27" s="176"/>
      <c r="L27" s="10"/>
      <c r="M27" s="10"/>
    </row>
    <row r="28" spans="1:72" s="68" customFormat="1">
      <c r="A28" s="10"/>
      <c r="B28" s="10" t="s">
        <v>192</v>
      </c>
      <c r="C28" s="186"/>
      <c r="D28" s="176"/>
      <c r="E28" s="182"/>
      <c r="F28" s="165"/>
      <c r="G28" s="10"/>
      <c r="H28" s="182"/>
      <c r="I28" s="176"/>
      <c r="J28" s="179">
        <f>Income!J28</f>
        <v>450</v>
      </c>
      <c r="K28" s="10"/>
      <c r="L28" s="10"/>
      <c r="M28" s="10"/>
    </row>
    <row r="29" spans="1:72" s="68" customFormat="1" ht="13" thickBot="1">
      <c r="A29" s="10"/>
      <c r="B29" s="10"/>
      <c r="C29" s="10"/>
      <c r="D29" s="10"/>
      <c r="E29" s="182"/>
      <c r="F29" s="165"/>
      <c r="G29" s="10"/>
      <c r="H29" s="10"/>
      <c r="I29" s="10"/>
      <c r="J29" s="10"/>
      <c r="K29" s="10"/>
      <c r="L29" s="176"/>
      <c r="M29" s="10"/>
    </row>
    <row r="30" spans="1:72" s="68" customFormat="1" ht="13" thickTop="1">
      <c r="A30" s="10"/>
      <c r="B30" s="10" t="s">
        <v>193</v>
      </c>
      <c r="C30" s="186"/>
      <c r="D30" s="176"/>
      <c r="E30" s="177">
        <f>E23+E26</f>
        <v>3711434.68</v>
      </c>
      <c r="F30" s="165">
        <f>E30/E$30</f>
        <v>1</v>
      </c>
      <c r="G30" s="10"/>
      <c r="H30" s="186"/>
      <c r="I30" s="176"/>
      <c r="J30" s="187">
        <f>ROUND(J23+J26+J28,2)</f>
        <v>3631031.35</v>
      </c>
      <c r="K30" s="176"/>
      <c r="L30" s="176"/>
      <c r="M30" s="10"/>
    </row>
    <row r="31" spans="1:72" s="68" customFormat="1">
      <c r="A31" s="10"/>
      <c r="B31" s="10"/>
      <c r="C31" s="186"/>
      <c r="D31" s="176"/>
      <c r="E31" s="182"/>
      <c r="F31" s="10"/>
      <c r="G31" s="10"/>
      <c r="H31" s="186"/>
      <c r="I31" s="176"/>
      <c r="J31" s="176"/>
      <c r="K31" s="176"/>
      <c r="L31" s="176"/>
      <c r="M31" s="10"/>
    </row>
    <row r="32" spans="1:72" s="68" customFormat="1">
      <c r="A32" s="10"/>
      <c r="B32" s="186"/>
      <c r="C32" s="186"/>
      <c r="D32" s="176"/>
      <c r="E32" s="182"/>
      <c r="F32" s="10"/>
      <c r="G32" s="10"/>
      <c r="H32" s="186"/>
      <c r="I32" s="176"/>
      <c r="J32" s="176"/>
      <c r="K32" s="176"/>
      <c r="L32" s="176"/>
      <c r="M32" s="10"/>
    </row>
    <row r="33" spans="1:13" s="68" customFormat="1">
      <c r="A33" s="10"/>
      <c r="B33" s="186"/>
      <c r="C33" s="186"/>
      <c r="D33" s="176"/>
      <c r="E33" s="182"/>
      <c r="F33" s="10"/>
      <c r="G33" s="10"/>
      <c r="H33" s="186"/>
      <c r="I33" s="186" t="s">
        <v>194</v>
      </c>
      <c r="J33" s="176">
        <f>SUMIF(J$5:J$22,"&lt;0",J$5:J$22)</f>
        <v>-672180</v>
      </c>
      <c r="K33" s="176"/>
      <c r="L33" s="176"/>
      <c r="M33" s="10"/>
    </row>
    <row r="34" spans="1:13" s="68" customFormat="1" ht="13" thickBot="1">
      <c r="A34" s="10"/>
      <c r="B34" s="186"/>
      <c r="C34" s="186"/>
      <c r="D34" s="176"/>
      <c r="E34" s="182"/>
      <c r="F34" s="10"/>
      <c r="G34" s="10"/>
      <c r="H34" s="186"/>
      <c r="I34" s="186" t="s">
        <v>195</v>
      </c>
      <c r="J34" s="176">
        <f>SUMIF(J$5:J$22,"&gt;0",J$5:J$22)+J26+J28</f>
        <v>4303211.3499999996</v>
      </c>
      <c r="K34" s="176"/>
      <c r="L34" s="176"/>
      <c r="M34" s="10"/>
    </row>
    <row r="35" spans="1:13" s="68" customFormat="1" ht="13" thickTop="1">
      <c r="A35" s="10"/>
      <c r="B35" s="10"/>
      <c r="C35" s="10"/>
      <c r="D35" s="10"/>
      <c r="E35" s="182"/>
      <c r="F35" s="10"/>
      <c r="G35" s="10"/>
      <c r="H35" s="186"/>
      <c r="I35" s="186" t="s">
        <v>196</v>
      </c>
      <c r="J35" s="187">
        <f>ROUND(J34+J33,2)</f>
        <v>3631031.35</v>
      </c>
      <c r="K35" s="210" t="str">
        <f>IF(J35=J30,"","NET POSITION OUT OF BALANCE")</f>
        <v/>
      </c>
      <c r="L35" s="210"/>
      <c r="M35" s="10"/>
    </row>
    <row r="36" spans="1:13" s="68" customFormat="1">
      <c r="A36" s="10"/>
      <c r="B36" s="10"/>
      <c r="C36" s="10"/>
      <c r="D36" s="10"/>
      <c r="E36" s="182"/>
      <c r="F36" s="10"/>
      <c r="G36" s="10"/>
      <c r="H36" s="10"/>
      <c r="I36" s="15"/>
      <c r="J36" s="15"/>
      <c r="K36" s="176"/>
      <c r="L36" s="176"/>
      <c r="M36" s="10"/>
    </row>
    <row r="37" spans="1:13" s="68" customFormat="1">
      <c r="A37" s="188"/>
      <c r="B37" s="189" t="s">
        <v>197</v>
      </c>
      <c r="C37" s="190"/>
      <c r="D37" s="11"/>
      <c r="E37" s="10"/>
      <c r="F37" s="10"/>
      <c r="G37" s="10"/>
      <c r="H37" s="191"/>
      <c r="I37" s="10"/>
      <c r="J37" s="10"/>
      <c r="K37" s="192"/>
      <c r="L37" s="59" t="s">
        <v>198</v>
      </c>
      <c r="M37" s="59"/>
    </row>
    <row r="38" spans="1:13" s="68" customFormat="1">
      <c r="A38" s="10"/>
      <c r="B38" s="10" t="s">
        <v>199</v>
      </c>
      <c r="C38" s="10"/>
      <c r="D38" s="193"/>
      <c r="E38" s="193">
        <v>4000000</v>
      </c>
      <c r="F38" s="10"/>
      <c r="G38" s="10"/>
      <c r="H38" s="194"/>
      <c r="I38" s="194" t="s">
        <v>199</v>
      </c>
      <c r="J38" s="11">
        <f>E38</f>
        <v>4000000</v>
      </c>
      <c r="K38" s="195"/>
      <c r="L38" s="195" t="s">
        <v>200</v>
      </c>
      <c r="M38" s="195" t="s">
        <v>201</v>
      </c>
    </row>
    <row r="39" spans="1:13" s="68" customFormat="1">
      <c r="A39" s="10"/>
      <c r="B39" s="10" t="s">
        <v>162</v>
      </c>
      <c r="C39" s="10"/>
      <c r="D39" s="193"/>
      <c r="E39" s="168">
        <f>Income!L28</f>
        <v>-3133.6500000000005</v>
      </c>
      <c r="F39" s="10"/>
      <c r="G39" s="10"/>
      <c r="H39" s="196"/>
      <c r="I39" s="196">
        <f>L2</f>
        <v>42674</v>
      </c>
      <c r="J39" s="197">
        <f>J30</f>
        <v>3631031.35</v>
      </c>
      <c r="K39" s="184"/>
      <c r="L39" s="184">
        <f>J39/J38-1</f>
        <v>-9.2242162499999947E-2</v>
      </c>
      <c r="M39" s="184">
        <f>(J39/J$38)-1</f>
        <v>-9.2242162499999947E-2</v>
      </c>
    </row>
    <row r="40" spans="1:13" s="68" customFormat="1">
      <c r="A40" s="10"/>
      <c r="B40" s="10" t="s">
        <v>202</v>
      </c>
      <c r="C40" s="10"/>
      <c r="D40" s="10"/>
      <c r="E40" s="11">
        <f>Transaction!M47</f>
        <v>-285011.66999999987</v>
      </c>
      <c r="F40" s="10"/>
      <c r="G40" s="10"/>
      <c r="H40" s="10"/>
      <c r="I40" s="196"/>
      <c r="J40" s="198"/>
      <c r="K40" s="198"/>
      <c r="L40" s="184"/>
      <c r="M40" s="184"/>
    </row>
    <row r="41" spans="1:13" s="68" customFormat="1" ht="13" thickBot="1">
      <c r="A41" s="10"/>
      <c r="B41" s="10" t="s">
        <v>163</v>
      </c>
      <c r="C41" s="10"/>
      <c r="D41" s="10"/>
      <c r="E41" s="11">
        <f>-Transaction!I47</f>
        <v>-420</v>
      </c>
      <c r="F41" s="10"/>
      <c r="G41" s="10"/>
      <c r="H41" s="10"/>
      <c r="I41" s="10"/>
      <c r="J41" s="198"/>
      <c r="K41" s="198"/>
      <c r="L41" s="184"/>
      <c r="M41" s="184"/>
    </row>
    <row r="42" spans="1:13" s="68" customFormat="1" ht="13" thickTop="1">
      <c r="A42" s="10"/>
      <c r="B42" s="10"/>
      <c r="C42" s="10"/>
      <c r="D42" s="10"/>
      <c r="E42" s="187">
        <f>SUM(E38:E41)</f>
        <v>3711434.68</v>
      </c>
      <c r="F42" s="10"/>
      <c r="G42" s="10"/>
      <c r="H42" s="10"/>
      <c r="I42" s="10"/>
      <c r="J42" s="10"/>
      <c r="K42" s="10"/>
      <c r="L42" s="10"/>
      <c r="M42" s="10"/>
    </row>
    <row r="43" spans="1:13" s="68" customFormat="1">
      <c r="A43" s="10"/>
      <c r="B43" s="204" t="str">
        <f>IF(E42=E30,"","BOOK VALUE OUT OF BALANCE")</f>
        <v/>
      </c>
      <c r="C43" s="204"/>
      <c r="D43" s="204"/>
      <c r="E43" s="204"/>
      <c r="F43" s="10"/>
      <c r="G43" s="10"/>
      <c r="H43" s="10"/>
      <c r="I43" s="10"/>
      <c r="J43" s="10"/>
      <c r="K43" s="10"/>
      <c r="L43" s="10"/>
      <c r="M43" s="10"/>
    </row>
    <row r="44" spans="1:13" s="68" customFormat="1">
      <c r="A44" s="10"/>
      <c r="B44" s="10"/>
      <c r="C44" s="10"/>
      <c r="D44" s="10"/>
      <c r="E44" s="11"/>
      <c r="F44" s="10"/>
      <c r="G44" s="10"/>
      <c r="H44" s="10"/>
      <c r="I44" s="10"/>
      <c r="J44" s="10"/>
      <c r="K44" s="10"/>
      <c r="L44" s="10"/>
      <c r="M44" s="10"/>
    </row>
    <row r="45" spans="1:13" s="68" customFormat="1">
      <c r="A45" s="10"/>
      <c r="B45" s="10"/>
      <c r="C45" s="10"/>
      <c r="D45" s="10"/>
      <c r="E45" s="11"/>
      <c r="F45" s="10"/>
      <c r="G45" s="10"/>
      <c r="H45" s="10"/>
      <c r="I45" s="10"/>
      <c r="J45" s="10"/>
      <c r="K45" s="10"/>
      <c r="L45" s="10"/>
      <c r="M45" s="10"/>
    </row>
    <row r="46" spans="1:13" s="68" customFormat="1">
      <c r="A46" s="10"/>
      <c r="B46" s="10"/>
      <c r="C46" s="10"/>
      <c r="D46" s="10"/>
      <c r="E46" s="11"/>
      <c r="F46" s="10"/>
      <c r="G46" s="10"/>
      <c r="H46" s="10"/>
      <c r="I46" s="10"/>
      <c r="J46" s="10"/>
      <c r="K46" s="10"/>
      <c r="L46" s="10"/>
      <c r="M46" s="10"/>
    </row>
    <row r="47" spans="1:13" s="68" customFormat="1">
      <c r="A47" s="10"/>
      <c r="B47" s="199"/>
      <c r="C47" s="10"/>
      <c r="D47" s="10"/>
      <c r="E47" s="11"/>
      <c r="F47" s="10"/>
      <c r="G47" s="10"/>
      <c r="H47" s="10"/>
      <c r="I47" s="10"/>
      <c r="J47" s="10"/>
      <c r="K47" s="10"/>
      <c r="L47" s="10"/>
      <c r="M47" s="10"/>
    </row>
    <row r="48" spans="1:13" s="68" customFormat="1">
      <c r="A48" s="10"/>
      <c r="B48" s="10"/>
      <c r="C48" s="10"/>
      <c r="D48" s="10"/>
      <c r="E48" s="11"/>
      <c r="F48" s="10"/>
      <c r="G48" s="10"/>
      <c r="H48" s="10"/>
      <c r="I48" s="10"/>
      <c r="J48" s="10"/>
      <c r="K48" s="10"/>
      <c r="L48" s="10"/>
      <c r="M48" s="10"/>
    </row>
    <row r="49" spans="1:13" s="68" customFormat="1">
      <c r="A49" s="10"/>
      <c r="B49" s="10"/>
      <c r="C49" s="10"/>
      <c r="D49" s="10"/>
      <c r="E49" s="11"/>
      <c r="F49" s="10"/>
      <c r="G49" s="10"/>
      <c r="H49" s="10"/>
      <c r="I49" s="10"/>
      <c r="J49" s="10"/>
      <c r="K49" s="10"/>
      <c r="L49" s="10"/>
      <c r="M49" s="10"/>
    </row>
    <row r="50" spans="1:13" s="68" customFormat="1">
      <c r="A50" s="10"/>
      <c r="B50" s="10"/>
      <c r="C50" s="10"/>
      <c r="D50" s="10"/>
      <c r="E50" s="11"/>
      <c r="F50" s="10"/>
      <c r="G50" s="10"/>
      <c r="H50" s="10"/>
      <c r="I50" s="10"/>
      <c r="J50" s="10"/>
      <c r="K50" s="10"/>
      <c r="L50" s="10"/>
      <c r="M50" s="10"/>
    </row>
    <row r="51" spans="1:13" s="68" customFormat="1">
      <c r="A51" s="10"/>
      <c r="B51" s="10"/>
      <c r="C51" s="10"/>
      <c r="D51" s="10"/>
      <c r="E51" s="11"/>
      <c r="F51" s="10"/>
      <c r="G51" s="10"/>
      <c r="H51" s="10"/>
      <c r="I51" s="10"/>
      <c r="J51" s="10"/>
      <c r="K51" s="10"/>
      <c r="L51" s="10"/>
      <c r="M51" s="10"/>
    </row>
    <row r="52" spans="1:13" s="68" customFormat="1">
      <c r="A52" s="10"/>
      <c r="B52" s="10"/>
      <c r="C52" s="10"/>
      <c r="D52" s="10"/>
      <c r="E52" s="11"/>
      <c r="F52" s="10"/>
      <c r="G52" s="10"/>
      <c r="H52" s="10"/>
      <c r="I52" s="10"/>
      <c r="J52" s="10"/>
      <c r="K52" s="10"/>
      <c r="L52" s="10"/>
      <c r="M52" s="10"/>
    </row>
    <row r="53" spans="1:13" s="68" customFormat="1">
      <c r="A53" s="10"/>
      <c r="B53" s="10"/>
      <c r="C53" s="10"/>
      <c r="D53" s="10"/>
      <c r="E53" s="11"/>
      <c r="F53" s="10"/>
      <c r="G53" s="10"/>
      <c r="H53" s="10"/>
      <c r="I53" s="10"/>
      <c r="J53" s="10"/>
      <c r="K53" s="10"/>
      <c r="L53" s="10"/>
      <c r="M53" s="10"/>
    </row>
    <row r="54" spans="1:13" s="68" customFormat="1">
      <c r="A54" s="10"/>
      <c r="B54" s="10"/>
      <c r="C54" s="10"/>
      <c r="D54" s="10"/>
      <c r="E54" s="11"/>
      <c r="F54" s="10"/>
      <c r="G54" s="10"/>
      <c r="H54" s="10"/>
      <c r="I54" s="10"/>
      <c r="J54" s="10"/>
      <c r="K54" s="10"/>
      <c r="L54" s="10"/>
      <c r="M54" s="10"/>
    </row>
    <row r="55" spans="1:13" s="68" customFormat="1">
      <c r="A55" s="10"/>
      <c r="B55" s="10"/>
      <c r="C55" s="10"/>
      <c r="D55" s="10"/>
      <c r="E55" s="11"/>
      <c r="F55" s="10"/>
      <c r="G55" s="10"/>
      <c r="H55" s="10"/>
      <c r="I55" s="10"/>
      <c r="J55" s="10"/>
      <c r="K55" s="10"/>
      <c r="L55" s="10"/>
      <c r="M55" s="10"/>
    </row>
    <row r="56" spans="1:13" s="68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s="68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s="68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s="68" customFormat="1" ht="11"/>
    <row r="60" spans="1:13" s="68" customFormat="1" ht="11"/>
    <row r="61" spans="1:13" s="68" customFormat="1" ht="11"/>
    <row r="62" spans="1:13" s="68" customFormat="1" ht="11"/>
    <row r="63" spans="1:13" s="68" customFormat="1" ht="11"/>
    <row r="64" spans="1:13" s="68" customFormat="1" ht="11"/>
    <row r="65" s="68" customFormat="1" ht="11"/>
    <row r="66" s="68" customFormat="1" ht="11"/>
    <row r="67" s="68" customFormat="1" ht="11"/>
    <row r="68" s="68" customFormat="1" ht="11"/>
    <row r="69" s="68" customFormat="1" ht="11"/>
    <row r="70" s="68" customFormat="1" ht="11"/>
    <row r="71" s="68" customFormat="1" ht="11"/>
    <row r="72" s="68" customFormat="1" ht="11"/>
    <row r="73" s="68" customFormat="1" ht="11"/>
    <row r="74" s="68" customFormat="1" ht="11"/>
    <row r="75" s="68" customFormat="1" ht="11"/>
    <row r="76" s="68" customFormat="1" ht="11"/>
    <row r="77" s="68" customFormat="1" ht="11"/>
    <row r="78" s="68" customFormat="1" ht="11"/>
    <row r="79" s="68" customFormat="1" ht="11"/>
    <row r="80" s="68" customFormat="1" ht="11"/>
    <row r="81" s="68" customFormat="1" ht="11"/>
    <row r="82" s="68" customFormat="1" ht="11"/>
    <row r="83" s="68" customFormat="1" ht="11"/>
    <row r="84" s="68" customFormat="1" ht="11"/>
    <row r="85" s="68" customFormat="1" ht="11"/>
    <row r="86" s="68" customFormat="1" ht="11"/>
    <row r="87" s="68" customFormat="1" ht="11"/>
    <row r="88" s="68" customFormat="1" ht="11"/>
    <row r="89" s="68" customFormat="1" ht="11"/>
    <row r="90" s="68" customFormat="1" ht="11"/>
    <row r="91" s="68" customFormat="1" ht="11"/>
    <row r="92" s="68" customFormat="1" ht="11"/>
    <row r="93" s="68" customFormat="1" ht="11"/>
    <row r="94" s="68" customFormat="1" ht="11"/>
    <row r="95" s="68" customFormat="1" ht="11"/>
    <row r="96" s="68" customFormat="1" ht="11"/>
    <row r="97" s="68" customFormat="1" ht="11"/>
    <row r="98" s="68" customFormat="1" ht="11"/>
    <row r="99" s="68" customFormat="1" ht="11"/>
    <row r="100" s="68" customFormat="1" ht="11"/>
    <row r="101" s="68" customFormat="1" ht="11"/>
    <row r="102" s="68" customFormat="1" ht="11"/>
    <row r="103" s="68" customFormat="1" ht="11"/>
    <row r="104" s="68" customFormat="1" ht="11"/>
    <row r="105" s="68" customFormat="1" ht="11"/>
    <row r="106" s="68" customFormat="1" ht="11"/>
    <row r="107" s="68" customFormat="1" ht="11"/>
    <row r="108" s="68" customFormat="1" ht="11"/>
    <row r="109" s="68" customFormat="1" ht="11"/>
    <row r="110" s="68" customFormat="1" ht="11"/>
    <row r="111" s="68" customFormat="1" ht="11"/>
    <row r="112" s="68" customFormat="1" ht="11"/>
    <row r="113" s="68" customFormat="1" ht="11"/>
    <row r="114" s="68" customFormat="1" ht="11"/>
    <row r="115" s="68" customFormat="1" ht="11"/>
    <row r="116" s="68" customFormat="1" ht="11"/>
    <row r="117" s="68" customFormat="1" ht="11"/>
    <row r="118" s="68" customFormat="1" ht="11"/>
    <row r="119" s="68" customFormat="1" ht="11"/>
    <row r="120" s="68" customFormat="1" ht="11"/>
    <row r="121" s="68" customFormat="1" ht="11"/>
    <row r="122" s="68" customFormat="1" ht="11"/>
    <row r="123" s="68" customFormat="1" ht="11"/>
    <row r="124" s="68" customFormat="1" ht="11"/>
    <row r="125" s="68" customFormat="1" ht="11"/>
    <row r="126" s="68" customFormat="1" ht="11"/>
    <row r="127" s="68" customFormat="1" ht="11"/>
    <row r="128" s="68" customFormat="1" ht="11"/>
    <row r="129" s="68" customFormat="1" ht="11"/>
    <row r="130" s="68" customFormat="1" ht="11"/>
    <row r="131" s="68" customFormat="1" ht="11"/>
    <row r="132" s="68" customFormat="1" ht="11"/>
    <row r="133" s="68" customFormat="1" ht="11"/>
    <row r="134" s="68" customFormat="1" ht="11"/>
    <row r="135" s="68" customFormat="1" ht="11"/>
    <row r="136" s="68" customFormat="1" ht="11"/>
    <row r="137" s="68" customFormat="1" ht="11"/>
    <row r="138" s="68" customFormat="1" ht="11"/>
    <row r="139" s="68" customFormat="1" ht="11"/>
    <row r="140" s="68" customFormat="1" ht="11"/>
    <row r="141" s="68" customFormat="1" ht="11"/>
    <row r="142" s="68" customFormat="1" ht="11"/>
    <row r="143" s="68" customFormat="1" ht="11"/>
    <row r="144" s="68" customFormat="1" ht="11"/>
    <row r="145" s="68" customFormat="1" ht="11"/>
    <row r="146" s="68" customFormat="1" ht="11"/>
    <row r="147" s="68" customFormat="1" ht="11"/>
    <row r="148" s="68" customFormat="1" ht="11"/>
    <row r="149" s="68" customFormat="1" ht="11"/>
    <row r="150" s="68" customFormat="1" ht="11"/>
    <row r="151" s="68" customFormat="1" ht="11"/>
    <row r="152" s="68" customFormat="1" ht="11"/>
    <row r="153" s="68" customFormat="1" ht="11"/>
    <row r="154" s="68" customFormat="1" ht="11"/>
    <row r="155" s="68" customFormat="1" ht="11"/>
    <row r="156" s="68" customFormat="1" ht="11"/>
    <row r="157" s="68" customFormat="1" ht="11"/>
    <row r="158" s="68" customFormat="1" ht="11"/>
    <row r="159" s="68" customFormat="1" ht="11"/>
    <row r="160" s="68" customFormat="1" ht="11"/>
    <row r="161" s="68" customFormat="1" ht="11"/>
    <row r="162" s="68" customFormat="1" ht="11"/>
    <row r="163" s="68" customFormat="1" ht="11"/>
    <row r="164" s="68" customFormat="1" ht="11"/>
    <row r="165" s="68" customFormat="1" ht="11"/>
    <row r="166" s="68" customFormat="1" ht="11"/>
    <row r="167" s="68" customFormat="1" ht="11"/>
    <row r="168" s="68" customFormat="1" ht="11"/>
    <row r="169" s="68" customFormat="1" ht="11"/>
    <row r="170" s="68" customFormat="1" ht="11"/>
    <row r="171" s="68" customFormat="1" ht="11"/>
    <row r="172" s="68" customFormat="1" ht="11"/>
    <row r="173" s="68" customFormat="1" ht="11"/>
    <row r="174" s="68" customFormat="1" ht="11"/>
    <row r="175" s="68" customFormat="1" ht="11"/>
    <row r="176" s="68" customFormat="1" ht="11"/>
    <row r="177" s="68" customFormat="1" ht="11"/>
    <row r="178" s="68" customFormat="1" ht="11"/>
    <row r="179" s="68" customFormat="1" ht="11"/>
    <row r="180" s="68" customFormat="1" ht="11"/>
    <row r="181" s="68" customFormat="1" ht="11"/>
    <row r="182" s="68" customFormat="1" ht="11"/>
    <row r="183" s="68" customFormat="1" ht="11"/>
    <row r="184" s="68" customFormat="1" ht="11"/>
    <row r="185" s="68" customFormat="1" ht="11"/>
    <row r="186" s="68" customFormat="1" ht="11"/>
    <row r="187" s="68" customFormat="1" ht="11"/>
    <row r="188" s="68" customFormat="1" ht="11"/>
    <row r="189" s="68" customFormat="1" ht="11"/>
    <row r="190" s="68" customFormat="1" ht="11"/>
    <row r="191" s="68" customFormat="1" ht="11"/>
    <row r="192" s="68" customFormat="1" ht="11"/>
    <row r="193" s="68" customFormat="1" ht="11"/>
    <row r="194" s="68" customFormat="1" ht="11"/>
    <row r="195" s="68" customFormat="1" ht="11"/>
    <row r="196" s="68" customFormat="1" ht="11"/>
    <row r="197" s="68" customFormat="1" ht="11"/>
    <row r="198" s="68" customFormat="1" ht="11"/>
    <row r="199" s="68" customFormat="1" ht="11"/>
    <row r="200" s="68" customFormat="1" ht="11"/>
    <row r="201" s="68" customFormat="1" ht="11"/>
    <row r="202" s="68" customFormat="1" ht="11"/>
    <row r="203" s="68" customFormat="1" ht="11"/>
    <row r="204" s="68" customFormat="1" ht="11"/>
    <row r="205" s="68" customFormat="1" ht="11"/>
    <row r="206" s="68" customFormat="1" ht="11"/>
    <row r="207" s="68" customFormat="1" ht="11"/>
    <row r="208" s="68" customFormat="1" ht="11"/>
    <row r="209" s="68" customFormat="1" ht="11"/>
    <row r="210" s="68" customFormat="1" ht="11"/>
    <row r="211" s="68" customFormat="1" ht="11"/>
    <row r="212" s="68" customFormat="1" ht="11"/>
    <row r="213" s="68" customFormat="1" ht="11"/>
    <row r="214" s="68" customFormat="1" ht="11"/>
    <row r="215" s="68" customFormat="1" ht="11"/>
    <row r="216" s="68" customFormat="1" ht="11"/>
    <row r="217" s="68" customFormat="1" ht="11"/>
    <row r="218" s="68" customFormat="1" ht="11"/>
    <row r="219" s="68" customFormat="1" ht="11"/>
    <row r="220" s="68" customFormat="1" ht="11"/>
    <row r="221" s="68" customFormat="1" ht="11"/>
    <row r="222" s="68" customFormat="1" ht="11"/>
    <row r="223" s="68" customFormat="1" ht="11"/>
    <row r="224" s="68" customFormat="1" ht="11"/>
    <row r="225" s="68" customFormat="1" ht="11"/>
    <row r="226" s="68" customFormat="1" ht="11"/>
    <row r="227" s="68" customFormat="1" ht="11"/>
    <row r="228" s="68" customFormat="1" ht="11"/>
    <row r="229" s="68" customFormat="1" ht="11"/>
    <row r="230" s="68" customFormat="1" ht="11"/>
    <row r="231" s="68" customFormat="1" ht="11"/>
    <row r="232" s="68" customFormat="1" ht="11"/>
    <row r="233" s="68" customFormat="1" ht="11"/>
    <row r="234" s="68" customFormat="1" ht="11"/>
    <row r="235" s="68" customFormat="1" ht="11"/>
    <row r="236" s="68" customFormat="1" ht="11"/>
    <row r="237" s="68" customFormat="1" ht="11"/>
    <row r="238" s="68" customFormat="1" ht="11"/>
    <row r="239" s="68" customFormat="1" ht="11"/>
    <row r="240" s="68" customFormat="1" ht="11"/>
    <row r="241" s="68" customFormat="1" ht="11"/>
    <row r="242" s="68" customFormat="1" ht="11"/>
    <row r="243" s="68" customFormat="1" ht="11"/>
    <row r="244" s="68" customFormat="1" ht="11"/>
    <row r="245" s="68" customFormat="1" ht="11"/>
    <row r="246" s="68" customFormat="1" ht="11"/>
    <row r="247" s="68" customFormat="1" ht="11"/>
    <row r="248" s="68" customFormat="1" ht="11"/>
    <row r="249" s="68" customFormat="1" ht="11"/>
    <row r="250" s="68" customFormat="1" ht="11"/>
    <row r="251" s="68" customFormat="1" ht="11"/>
    <row r="252" s="68" customFormat="1" ht="11"/>
    <row r="253" s="68" customFormat="1" ht="11"/>
    <row r="254" s="68" customFormat="1" ht="11"/>
    <row r="255" s="68" customFormat="1" ht="11"/>
    <row r="256" s="68" customFormat="1" ht="11"/>
    <row r="257" s="68" customFormat="1" ht="11"/>
    <row r="258" s="68" customFormat="1" ht="11"/>
    <row r="259" s="68" customFormat="1" ht="11"/>
    <row r="260" s="68" customFormat="1" ht="11"/>
    <row r="261" s="68" customFormat="1" ht="11"/>
    <row r="262" s="68" customFormat="1" ht="11"/>
    <row r="263" s="68" customFormat="1" ht="11"/>
    <row r="264" s="68" customFormat="1" ht="11"/>
    <row r="265" s="68" customFormat="1" ht="11"/>
    <row r="266" s="68" customFormat="1" ht="11"/>
    <row r="267" s="68" customFormat="1" ht="11"/>
    <row r="268" s="68" customFormat="1" ht="11"/>
    <row r="269" s="68" customFormat="1" ht="11"/>
    <row r="270" s="68" customFormat="1" ht="11"/>
    <row r="271" s="68" customFormat="1" ht="11"/>
    <row r="272" s="68" customFormat="1" ht="11"/>
    <row r="273" s="68" customFormat="1" ht="11"/>
    <row r="274" s="68" customFormat="1" ht="11"/>
    <row r="275" s="68" customFormat="1" ht="11"/>
    <row r="276" s="68" customFormat="1" ht="11"/>
    <row r="277" s="68" customFormat="1" ht="11"/>
    <row r="278" s="68" customFormat="1" ht="11"/>
    <row r="279" s="68" customFormat="1" ht="11"/>
    <row r="280" s="68" customFormat="1" ht="11"/>
    <row r="281" s="68" customFormat="1" ht="11"/>
    <row r="282" s="68" customFormat="1" ht="11"/>
    <row r="283" s="68" customFormat="1" ht="11"/>
    <row r="284" s="68" customFormat="1" ht="11"/>
    <row r="285" s="68" customFormat="1" ht="11"/>
    <row r="286" s="68" customFormat="1" ht="11"/>
    <row r="287" s="68" customFormat="1" ht="11"/>
    <row r="288" s="68" customFormat="1" ht="11"/>
    <row r="289" s="68" customFormat="1" ht="11"/>
    <row r="290" s="68" customFormat="1" ht="11"/>
    <row r="291" s="68" customFormat="1" ht="11"/>
    <row r="292" s="68" customFormat="1" ht="11"/>
    <row r="293" s="68" customFormat="1" ht="11"/>
    <row r="294" s="68" customFormat="1" ht="11"/>
    <row r="295" s="68" customFormat="1" ht="11"/>
    <row r="296" s="68" customFormat="1" ht="11"/>
    <row r="297" s="68" customFormat="1" ht="11"/>
    <row r="298" s="68" customFormat="1" ht="11"/>
    <row r="299" s="68" customFormat="1" ht="11"/>
    <row r="300" s="68" customFormat="1" ht="11"/>
    <row r="301" s="68" customFormat="1" ht="11"/>
    <row r="302" s="68" customFormat="1" ht="11"/>
    <row r="303" s="68" customFormat="1" ht="11"/>
    <row r="304" s="68" customFormat="1" ht="11"/>
    <row r="305" s="68" customFormat="1" ht="11"/>
    <row r="306" s="68" customFormat="1" ht="11"/>
    <row r="307" s="68" customFormat="1" ht="11"/>
    <row r="308" s="68" customFormat="1" ht="11"/>
    <row r="309" s="68" customFormat="1" ht="11"/>
    <row r="310" s="68" customFormat="1" ht="11"/>
    <row r="311" s="68" customFormat="1" ht="11"/>
    <row r="312" s="68" customFormat="1" ht="11"/>
    <row r="313" s="68" customFormat="1" ht="11"/>
    <row r="314" s="68" customFormat="1" ht="11"/>
    <row r="315" s="68" customFormat="1" ht="11"/>
    <row r="316" s="68" customFormat="1" ht="11"/>
    <row r="317" s="68" customFormat="1" ht="11"/>
    <row r="318" s="68" customFormat="1" ht="11"/>
    <row r="319" s="68" customFormat="1" ht="11"/>
    <row r="320" s="68" customFormat="1" ht="11"/>
    <row r="321" s="68" customFormat="1" ht="11"/>
    <row r="322" s="68" customFormat="1" ht="11"/>
    <row r="323" s="68" customFormat="1" ht="11"/>
    <row r="324" s="68" customFormat="1" ht="11"/>
    <row r="325" s="68" customFormat="1" ht="11"/>
    <row r="326" s="68" customFormat="1" ht="11"/>
    <row r="327" s="68" customFormat="1" ht="11"/>
    <row r="328" s="68" customFormat="1" ht="11"/>
    <row r="329" s="68" customFormat="1" ht="11"/>
    <row r="330" s="68" customFormat="1" ht="11"/>
    <row r="331" s="68" customFormat="1" ht="11"/>
    <row r="332" s="68" customFormat="1" ht="11"/>
    <row r="333" s="68" customFormat="1" ht="11"/>
    <row r="334" s="68" customFormat="1" ht="11"/>
    <row r="335" s="68" customFormat="1" ht="11"/>
    <row r="336" s="68" customFormat="1" ht="11"/>
    <row r="337" s="68" customFormat="1" ht="11"/>
    <row r="338" s="68" customFormat="1" ht="11"/>
    <row r="339" s="68" customFormat="1" ht="11"/>
    <row r="340" s="68" customFormat="1" ht="11"/>
    <row r="341" s="68" customFormat="1" ht="11"/>
    <row r="342" s="68" customFormat="1" ht="11"/>
    <row r="343" s="68" customFormat="1" ht="11"/>
    <row r="344" s="68" customFormat="1" ht="11"/>
    <row r="345" s="68" customFormat="1" ht="11"/>
    <row r="346" s="68" customFormat="1" ht="11"/>
    <row r="347" s="68" customFormat="1" ht="11"/>
    <row r="348" s="68" customFormat="1" ht="11"/>
    <row r="349" s="68" customFormat="1" ht="11"/>
    <row r="350" s="68" customFormat="1" ht="11"/>
    <row r="351" s="68" customFormat="1" ht="11"/>
    <row r="352" s="68" customFormat="1" ht="11"/>
    <row r="353" s="68" customFormat="1" ht="11"/>
    <row r="354" s="68" customFormat="1" ht="11"/>
    <row r="355" s="68" customFormat="1" ht="11"/>
    <row r="356" s="68" customFormat="1" ht="11"/>
    <row r="357" s="68" customFormat="1" ht="11"/>
    <row r="358" s="68" customFormat="1" ht="11"/>
    <row r="359" s="68" customFormat="1" ht="11"/>
    <row r="360" s="68" customFormat="1" ht="11"/>
    <row r="361" s="68" customFormat="1" ht="11"/>
    <row r="362" s="68" customFormat="1" ht="11"/>
    <row r="363" s="68" customFormat="1" ht="11"/>
    <row r="364" s="68" customFormat="1" ht="11"/>
    <row r="365" s="68" customFormat="1" ht="11"/>
    <row r="366" s="68" customFormat="1" ht="11"/>
    <row r="367" s="68" customFormat="1" ht="11"/>
    <row r="368" s="68" customFormat="1" ht="11"/>
    <row r="369" s="68" customFormat="1" ht="11"/>
    <row r="370" s="68" customFormat="1" ht="11"/>
    <row r="371" s="68" customFormat="1" ht="11"/>
    <row r="372" s="68" customFormat="1" ht="11"/>
    <row r="373" s="68" customFormat="1" ht="11"/>
    <row r="374" s="68" customFormat="1" ht="11"/>
    <row r="375" s="68" customFormat="1" ht="11"/>
    <row r="376" s="68" customFormat="1" ht="11"/>
    <row r="377" s="68" customFormat="1" ht="11"/>
    <row r="378" s="68" customFormat="1" ht="11"/>
    <row r="379" s="68" customFormat="1" ht="11"/>
    <row r="380" s="68" customFormat="1" ht="11"/>
    <row r="381" s="68" customFormat="1" ht="11"/>
    <row r="382" s="68" customFormat="1" ht="11"/>
    <row r="383" s="68" customFormat="1" ht="11"/>
    <row r="384" s="68" customFormat="1" ht="11"/>
  </sheetData>
  <mergeCells count="6">
    <mergeCell ref="B43:E43"/>
    <mergeCell ref="E1:J1"/>
    <mergeCell ref="A2:B2"/>
    <mergeCell ref="L2:M2"/>
    <mergeCell ref="K26:L26"/>
    <mergeCell ref="K35:L35"/>
  </mergeCells>
  <printOptions horizontalCentered="1"/>
  <pageMargins left="0.75" right="0.75" top="0.67" bottom="1.27" header="0.5" footer="0.5"/>
  <pageSetup orientation="landscape" horizontalDpi="300" verticalDpi="300"/>
  <headerFooter alignWithMargins="0">
    <oddFooter xml:space="preserve">&amp;L&amp;"Times New Roman,Italic"Investment Manager
Kevin G. Waspi
(217) 244-7189&amp;R&amp;"Times New Roman,Bold Italic"Billy Gibbons
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zoomScale="125" zoomScaleNormal="125" zoomScalePageLayoutView="125" workbookViewId="0">
      <selection activeCell="N2" sqref="N2"/>
    </sheetView>
  </sheetViews>
  <sheetFormatPr baseColWidth="10" defaultColWidth="8.83203125" defaultRowHeight="14" x14ac:dyDescent="0"/>
  <cols>
    <col min="1" max="1" width="14.1640625" customWidth="1"/>
    <col min="4" max="4" width="1.5" customWidth="1"/>
    <col min="7" max="7" width="11.5" bestFit="1" customWidth="1"/>
    <col min="8" max="8" width="9.83203125" bestFit="1" customWidth="1"/>
    <col min="11" max="12" width="10" bestFit="1" customWidth="1"/>
    <col min="13" max="13" width="9.33203125" bestFit="1" customWidth="1"/>
  </cols>
  <sheetData>
    <row r="1" spans="1:14" ht="71">
      <c r="A1" s="56"/>
      <c r="B1" s="10"/>
      <c r="C1" s="10"/>
      <c r="D1" s="10"/>
      <c r="E1" s="211"/>
      <c r="F1" s="211"/>
      <c r="G1" s="211"/>
      <c r="H1" s="211"/>
      <c r="I1" s="211"/>
      <c r="J1" s="10"/>
      <c r="K1" s="57"/>
      <c r="L1" s="10"/>
      <c r="M1" s="11"/>
      <c r="N1" s="10"/>
    </row>
    <row r="2" spans="1:14" ht="16">
      <c r="A2" s="212" t="s">
        <v>151</v>
      </c>
      <c r="B2" s="212"/>
      <c r="C2" s="212"/>
      <c r="D2" s="14"/>
      <c r="E2" s="11"/>
      <c r="F2" s="58"/>
      <c r="G2" s="10"/>
      <c r="H2" s="10"/>
      <c r="I2" s="10"/>
      <c r="J2" s="10"/>
      <c r="K2" s="57"/>
      <c r="L2" s="207">
        <f>Date</f>
        <v>42674</v>
      </c>
      <c r="M2" s="208"/>
      <c r="N2" s="10"/>
    </row>
    <row r="3" spans="1:14">
      <c r="A3" s="59" t="s">
        <v>93</v>
      </c>
      <c r="B3" s="60"/>
      <c r="C3" s="60"/>
      <c r="D3" s="10"/>
      <c r="E3" s="59"/>
      <c r="F3" s="59"/>
      <c r="G3" s="59"/>
      <c r="H3" s="59"/>
      <c r="I3" s="59"/>
      <c r="J3" s="59"/>
      <c r="K3" s="59"/>
      <c r="L3" s="59"/>
      <c r="M3" s="59"/>
      <c r="N3" s="10"/>
    </row>
    <row r="4" spans="1:14">
      <c r="A4" s="61" t="s">
        <v>73</v>
      </c>
      <c r="B4" s="61" t="s">
        <v>74</v>
      </c>
      <c r="C4" s="61" t="s">
        <v>152</v>
      </c>
      <c r="D4" s="62"/>
      <c r="E4" s="62" t="s">
        <v>81</v>
      </c>
      <c r="F4" s="63" t="s">
        <v>72</v>
      </c>
      <c r="G4" s="62" t="s">
        <v>7</v>
      </c>
      <c r="H4" s="64" t="s">
        <v>153</v>
      </c>
      <c r="I4" s="65" t="s">
        <v>128</v>
      </c>
      <c r="J4" s="62" t="s">
        <v>154</v>
      </c>
      <c r="K4" s="66" t="s">
        <v>155</v>
      </c>
      <c r="L4" s="62" t="s">
        <v>156</v>
      </c>
      <c r="M4" s="67" t="s">
        <v>157</v>
      </c>
      <c r="N4" s="10"/>
    </row>
    <row r="5" spans="1:14">
      <c r="A5" s="68" t="str">
        <f>IF(B5="","",PROPER(VLOOKUP(B5,Data!$A$1:$N$31,2,FALSE)))</f>
        <v>51Job</v>
      </c>
      <c r="B5" s="69" t="s">
        <v>17</v>
      </c>
      <c r="C5" s="68" t="str">
        <f>IF(B5="","",VLOOKUP(B5,Data!$A$1:$N$31,3,FALSE))</f>
        <v>NASDAQ</v>
      </c>
      <c r="D5" s="68"/>
      <c r="E5" s="70">
        <v>42620.666666666664</v>
      </c>
      <c r="F5" s="71">
        <v>1000</v>
      </c>
      <c r="G5" s="72">
        <v>33.5</v>
      </c>
      <c r="H5" s="73">
        <f>IF(B5="","",ROUND(F5*G5,2))</f>
        <v>33500</v>
      </c>
      <c r="I5" s="74">
        <f>IF(B5="","",10)</f>
        <v>10</v>
      </c>
      <c r="J5" s="75">
        <f>IF(B5="","",IF(B5=B4,F5+J4,F5))</f>
        <v>1000</v>
      </c>
      <c r="K5" s="76">
        <f>IF(B5="","",IF(J5=0,0,IF(B5=B4,IF(F5*J4&gt;0,((K4*J4)+H5)/J5,IF(J4*J5&lt;=0,G5,K4)),G5)))</f>
        <v>33.5</v>
      </c>
      <c r="L5" s="73">
        <f>IF(B5="","",ROUND(IF(B5&lt;&gt;B6,J5*K5,0),2))</f>
        <v>0</v>
      </c>
      <c r="M5" s="77"/>
      <c r="N5" s="78"/>
    </row>
    <row r="6" spans="1:14">
      <c r="A6" s="68" t="str">
        <f>IF(B6="","",PROPER(VLOOKUP(B6,Data!$A$1:$N$31,2,FALSE)))</f>
        <v>51Job</v>
      </c>
      <c r="B6" s="69" t="s">
        <v>17</v>
      </c>
      <c r="C6" s="68" t="str">
        <f>IF(B6="","",VLOOKUP(B6,Data!$A$1:$N$31,3,FALSE))</f>
        <v>NASDAQ</v>
      </c>
      <c r="D6" s="68"/>
      <c r="E6" s="70">
        <v>42669.666666666664</v>
      </c>
      <c r="F6" s="71">
        <v>-1000</v>
      </c>
      <c r="G6" s="72">
        <v>33.21</v>
      </c>
      <c r="H6" s="73">
        <f t="shared" ref="H6:H46" si="0">IF(B6="","",ROUND(F6*G6,2))</f>
        <v>-33210</v>
      </c>
      <c r="I6" s="74">
        <f t="shared" ref="I6:I46" si="1">IF(B6="","",10)</f>
        <v>10</v>
      </c>
      <c r="J6" s="75">
        <f t="shared" ref="J6:J46" si="2">IF(B6="","",IF(B6=B5,F6+J5,F6))</f>
        <v>0</v>
      </c>
      <c r="K6" s="76">
        <f t="shared" ref="K6:K45" si="3">IF(B6="","",IF(J6=0,0,IF(B6=B5,IF(F6*J5&gt;0,((K5*J5)+H6)/J6,IF(J5*J6&lt;=0,G6,K5)),G6)))</f>
        <v>0</v>
      </c>
      <c r="L6" s="73">
        <f t="shared" ref="L6:L46" si="4">IF(B6="","",ROUND(IF(B6&lt;&gt;B7,J6*K6,0),2))</f>
        <v>0</v>
      </c>
      <c r="M6" s="77">
        <f>F6*(G5-G6)</f>
        <v>-289.99999999999915</v>
      </c>
      <c r="N6" s="78"/>
    </row>
    <row r="7" spans="1:14">
      <c r="A7" s="68" t="str">
        <f>IF(B7="","",PROPER(VLOOKUP(B7,Data!$A$1:$N$31,2,FALSE)))</f>
        <v>Alibaba Group</v>
      </c>
      <c r="B7" s="69" t="s">
        <v>21</v>
      </c>
      <c r="C7" s="68" t="str">
        <f>IF(B7="","",VLOOKUP(B7,Data!$A$1:$N$31,3,FALSE))</f>
        <v>NYSE</v>
      </c>
      <c r="D7" s="68"/>
      <c r="E7" s="70">
        <v>42620.666666666664</v>
      </c>
      <c r="F7" s="71">
        <v>1000</v>
      </c>
      <c r="G7" s="72">
        <v>102.32</v>
      </c>
      <c r="H7" s="73">
        <f t="shared" si="0"/>
        <v>102320</v>
      </c>
      <c r="I7" s="74">
        <f t="shared" si="1"/>
        <v>10</v>
      </c>
      <c r="J7" s="75">
        <f t="shared" si="2"/>
        <v>1000</v>
      </c>
      <c r="K7" s="76">
        <f t="shared" si="3"/>
        <v>102.32</v>
      </c>
      <c r="L7" s="73">
        <f t="shared" si="4"/>
        <v>0</v>
      </c>
      <c r="M7" s="77"/>
      <c r="N7" s="78"/>
    </row>
    <row r="8" spans="1:14">
      <c r="A8" s="68" t="str">
        <f>IF(B8="","",PROPER(VLOOKUP(B8,Data!$A$1:$N$31,2,FALSE)))</f>
        <v>Alibaba Group</v>
      </c>
      <c r="B8" s="69" t="s">
        <v>21</v>
      </c>
      <c r="C8" s="68" t="str">
        <f>IF(B8="","",VLOOKUP(B8,Data!$A$1:$N$31,3,FALSE))</f>
        <v>NYSE</v>
      </c>
      <c r="D8" s="68"/>
      <c r="E8" s="70">
        <v>42667.666666666664</v>
      </c>
      <c r="F8" s="71">
        <v>5000</v>
      </c>
      <c r="G8" s="72">
        <v>104.5</v>
      </c>
      <c r="H8" s="73">
        <f t="shared" si="0"/>
        <v>522500</v>
      </c>
      <c r="I8" s="74">
        <f t="shared" si="1"/>
        <v>10</v>
      </c>
      <c r="J8" s="75">
        <f t="shared" si="2"/>
        <v>6000</v>
      </c>
      <c r="K8" s="76">
        <f t="shared" si="3"/>
        <v>104.13666666666667</v>
      </c>
      <c r="L8" s="73">
        <f t="shared" si="4"/>
        <v>0</v>
      </c>
      <c r="M8" s="77"/>
      <c r="N8" s="78"/>
    </row>
    <row r="9" spans="1:14">
      <c r="A9" s="68" t="str">
        <f>IF(B9="","",PROPER(VLOOKUP(B9,Data!$A$1:$N$31,2,FALSE)))</f>
        <v>Alibaba Group</v>
      </c>
      <c r="B9" s="69" t="s">
        <v>21</v>
      </c>
      <c r="C9" s="68" t="str">
        <f>IF(B9="","",VLOOKUP(B9,Data!$A$1:$N$31,3,FALSE))</f>
        <v>NYSE</v>
      </c>
      <c r="D9" s="68"/>
      <c r="E9" s="70">
        <v>42670.666666666664</v>
      </c>
      <c r="F9" s="71">
        <v>-1000</v>
      </c>
      <c r="G9" s="72">
        <v>102.38</v>
      </c>
      <c r="H9" s="73">
        <f t="shared" si="0"/>
        <v>-102380</v>
      </c>
      <c r="I9" s="74">
        <f t="shared" si="1"/>
        <v>10</v>
      </c>
      <c r="J9" s="75">
        <f t="shared" si="2"/>
        <v>5000</v>
      </c>
      <c r="K9" s="76">
        <f t="shared" si="3"/>
        <v>104.13666666666667</v>
      </c>
      <c r="L9" s="73">
        <f t="shared" si="4"/>
        <v>520683.33</v>
      </c>
      <c r="M9" s="77">
        <f>F9*(104.13667-G9)</f>
        <v>-1756.6699999999996</v>
      </c>
      <c r="N9" s="78"/>
    </row>
    <row r="10" spans="1:14">
      <c r="A10" s="68" t="str">
        <f>IF(B10="","",PROPER(VLOOKUP(B10,Data!$A$1:$N$31,2,FALSE)))</f>
        <v>Alphabet Inc. Class A</v>
      </c>
      <c r="B10" s="69" t="s">
        <v>24</v>
      </c>
      <c r="C10" s="68" t="str">
        <f>IF(B10="","",VLOOKUP(B10,Data!$A$1:$N$31,3,FALSE))</f>
        <v>NASDAQ</v>
      </c>
      <c r="D10" s="68"/>
      <c r="E10" s="70">
        <v>42636.666666666664</v>
      </c>
      <c r="F10" s="71">
        <v>1000</v>
      </c>
      <c r="G10" s="72">
        <v>814.96</v>
      </c>
      <c r="H10" s="73">
        <f t="shared" si="0"/>
        <v>814960</v>
      </c>
      <c r="I10" s="74">
        <f t="shared" si="1"/>
        <v>10</v>
      </c>
      <c r="J10" s="75">
        <f t="shared" si="2"/>
        <v>1000</v>
      </c>
      <c r="K10" s="76">
        <f t="shared" si="3"/>
        <v>814.96</v>
      </c>
      <c r="L10" s="73">
        <f t="shared" si="4"/>
        <v>814960</v>
      </c>
      <c r="M10" s="79"/>
      <c r="N10" s="78"/>
    </row>
    <row r="11" spans="1:14">
      <c r="A11" s="68" t="str">
        <f>IF(B11="","",PROPER(VLOOKUP(B11,Data!$A$1:$N$31,2,FALSE)))</f>
        <v>Amazon.Com, Inc.</v>
      </c>
      <c r="B11" s="69" t="s">
        <v>26</v>
      </c>
      <c r="C11" s="68" t="str">
        <f>IF(B11="","",VLOOKUP(B11,Data!$A$1:$N$31,3,FALSE))</f>
        <v>NASDAQ</v>
      </c>
      <c r="D11" s="68"/>
      <c r="E11" s="70">
        <v>42625.666666666664</v>
      </c>
      <c r="F11" s="71">
        <v>500</v>
      </c>
      <c r="G11" s="72">
        <v>771.49</v>
      </c>
      <c r="H11" s="73">
        <f t="shared" si="0"/>
        <v>385745</v>
      </c>
      <c r="I11" s="74">
        <f t="shared" si="1"/>
        <v>10</v>
      </c>
      <c r="J11" s="75">
        <f t="shared" si="2"/>
        <v>500</v>
      </c>
      <c r="K11" s="76">
        <f t="shared" si="3"/>
        <v>771.49</v>
      </c>
      <c r="L11" s="73">
        <f t="shared" si="4"/>
        <v>0</v>
      </c>
      <c r="M11" s="77"/>
      <c r="N11" s="68"/>
    </row>
    <row r="12" spans="1:14">
      <c r="A12" s="68" t="str">
        <f>IF(B12="","",PROPER(VLOOKUP(B12,Data!$A$1:$N$31,2,FALSE)))</f>
        <v>Amazon.Com, Inc.</v>
      </c>
      <c r="B12" s="69" t="s">
        <v>26</v>
      </c>
      <c r="C12" s="68" t="str">
        <f>IF(B12="","",VLOOKUP(B12,Data!$A$1:$N$31,3,FALSE))</f>
        <v>NASDAQ</v>
      </c>
      <c r="D12" s="68"/>
      <c r="E12" s="70">
        <v>42667.666666666664</v>
      </c>
      <c r="F12" s="71">
        <v>6000</v>
      </c>
      <c r="G12" s="72">
        <v>838.09</v>
      </c>
      <c r="H12" s="73">
        <f t="shared" si="0"/>
        <v>5028540</v>
      </c>
      <c r="I12" s="74">
        <f t="shared" si="1"/>
        <v>10</v>
      </c>
      <c r="J12" s="75">
        <f t="shared" si="2"/>
        <v>6500</v>
      </c>
      <c r="K12" s="76">
        <f t="shared" si="3"/>
        <v>832.96692307692308</v>
      </c>
      <c r="L12" s="73">
        <f t="shared" si="4"/>
        <v>0</v>
      </c>
      <c r="M12" s="77"/>
      <c r="N12" s="68"/>
    </row>
    <row r="13" spans="1:14">
      <c r="A13" s="68" t="str">
        <f>IF(B13="","",PROPER(VLOOKUP(B13,Data!$A$1:$N$31,2,FALSE)))</f>
        <v>Amazon.Com, Inc.</v>
      </c>
      <c r="B13" s="69" t="s">
        <v>26</v>
      </c>
      <c r="C13" s="68" t="str">
        <f>IF(B13="","",VLOOKUP(B13,Data!$A$1:$N$31,3,FALSE))</f>
        <v>NASDAQ</v>
      </c>
      <c r="D13" s="68"/>
      <c r="E13" s="70">
        <v>42674.666666666664</v>
      </c>
      <c r="F13" s="71">
        <v>-6500</v>
      </c>
      <c r="G13" s="72">
        <v>789.82</v>
      </c>
      <c r="H13" s="73">
        <f>IF(B13="","",ROUND(F13*G13,2))</f>
        <v>-5133830</v>
      </c>
      <c r="I13" s="74">
        <f t="shared" si="1"/>
        <v>10</v>
      </c>
      <c r="J13" s="75">
        <f t="shared" si="2"/>
        <v>0</v>
      </c>
      <c r="K13" s="76">
        <f t="shared" si="3"/>
        <v>0</v>
      </c>
      <c r="L13" s="73">
        <f t="shared" si="4"/>
        <v>0</v>
      </c>
      <c r="M13" s="77">
        <f>F11*(G13-G11)+F12*(G13-G12)</f>
        <v>-280454.99999999988</v>
      </c>
      <c r="N13" s="68"/>
    </row>
    <row r="14" spans="1:14">
      <c r="A14" s="68" t="str">
        <f>IF(B14="","",PROPER(VLOOKUP(B14,Data!$A$1:$N$31,2,FALSE)))</f>
        <v>Ameren</v>
      </c>
      <c r="B14" s="69" t="s">
        <v>28</v>
      </c>
      <c r="C14" s="68" t="str">
        <f>IF(B14="","",VLOOKUP(B14,Data!$A$1:$N$31,3,FALSE))</f>
        <v>NYSE</v>
      </c>
      <c r="D14" s="68"/>
      <c r="E14" s="70">
        <v>42640.666666666664</v>
      </c>
      <c r="F14" s="71">
        <v>2000</v>
      </c>
      <c r="G14" s="72">
        <v>50.56</v>
      </c>
      <c r="H14" s="73">
        <f t="shared" si="0"/>
        <v>101120</v>
      </c>
      <c r="I14" s="74">
        <f t="shared" si="1"/>
        <v>10</v>
      </c>
      <c r="J14" s="75">
        <f t="shared" si="2"/>
        <v>2000</v>
      </c>
      <c r="K14" s="76">
        <f t="shared" si="3"/>
        <v>50.56</v>
      </c>
      <c r="L14" s="73">
        <f t="shared" si="4"/>
        <v>101120</v>
      </c>
      <c r="M14" s="77"/>
      <c r="N14" s="68"/>
    </row>
    <row r="15" spans="1:14">
      <c r="A15" s="68" t="str">
        <f>IF(B15="","",PROPER(VLOOKUP(B15,Data!$A$1:$N$31,2,FALSE)))</f>
        <v>Apple Inc.</v>
      </c>
      <c r="B15" s="69" t="s">
        <v>30</v>
      </c>
      <c r="C15" s="68" t="str">
        <f>IF(B15="","",VLOOKUP(B15,Data!$A$1:$N$31,3,FALSE))</f>
        <v>NASDAQ</v>
      </c>
      <c r="D15" s="68"/>
      <c r="E15" s="70">
        <v>42620.666666666664</v>
      </c>
      <c r="F15" s="71">
        <v>1000</v>
      </c>
      <c r="G15" s="72">
        <v>108.36</v>
      </c>
      <c r="H15" s="73">
        <f t="shared" si="0"/>
        <v>108360</v>
      </c>
      <c r="I15" s="74">
        <f t="shared" si="1"/>
        <v>10</v>
      </c>
      <c r="J15" s="75">
        <f t="shared" si="2"/>
        <v>1000</v>
      </c>
      <c r="K15" s="76">
        <f t="shared" si="3"/>
        <v>108.36</v>
      </c>
      <c r="L15" s="73">
        <f t="shared" si="4"/>
        <v>0</v>
      </c>
      <c r="M15" s="77"/>
      <c r="N15" s="68"/>
    </row>
    <row r="16" spans="1:14">
      <c r="A16" s="68" t="str">
        <f>IF(B16="","",PROPER(VLOOKUP(B16,Data!$A$1:$N$31,2,FALSE)))</f>
        <v>Apple Inc.</v>
      </c>
      <c r="B16" s="69" t="s">
        <v>30</v>
      </c>
      <c r="C16" s="68" t="str">
        <f>IF(B16="","",VLOOKUP(B16,Data!$A$1:$N$31,3,FALSE))</f>
        <v>NASDAQ</v>
      </c>
      <c r="D16" s="68"/>
      <c r="E16" s="70">
        <v>42625.666666666664</v>
      </c>
      <c r="F16" s="71">
        <v>-500</v>
      </c>
      <c r="G16" s="72">
        <v>105.44</v>
      </c>
      <c r="H16" s="73">
        <f t="shared" si="0"/>
        <v>-52720</v>
      </c>
      <c r="I16" s="74">
        <f t="shared" si="1"/>
        <v>10</v>
      </c>
      <c r="J16" s="75">
        <f t="shared" si="2"/>
        <v>500</v>
      </c>
      <c r="K16" s="76">
        <f t="shared" si="3"/>
        <v>108.36</v>
      </c>
      <c r="L16" s="73">
        <f t="shared" si="4"/>
        <v>0</v>
      </c>
      <c r="M16" s="77">
        <f>F16*(G15-G16)</f>
        <v>-1460.0000000000009</v>
      </c>
      <c r="N16" s="68"/>
    </row>
    <row r="17" spans="1:14">
      <c r="A17" s="68" t="str">
        <f>IF(B17="","",PROPER(VLOOKUP(B17,Data!$A$1:$N$31,2,FALSE)))</f>
        <v>Apple Inc.</v>
      </c>
      <c r="B17" s="69" t="s">
        <v>30</v>
      </c>
      <c r="C17" s="68" t="str">
        <f>IF(B17="","",VLOOKUP(B17,Data!$A$1:$N$31,3,FALSE))</f>
        <v>NASDAQ</v>
      </c>
      <c r="D17" s="68"/>
      <c r="E17" s="70">
        <v>42667.666666666664</v>
      </c>
      <c r="F17" s="71">
        <v>5000</v>
      </c>
      <c r="G17" s="72">
        <v>117.65</v>
      </c>
      <c r="H17" s="73">
        <f t="shared" si="0"/>
        <v>588250</v>
      </c>
      <c r="I17" s="74">
        <f t="shared" si="1"/>
        <v>10</v>
      </c>
      <c r="J17" s="75">
        <f t="shared" si="2"/>
        <v>5500</v>
      </c>
      <c r="K17" s="76">
        <f t="shared" si="3"/>
        <v>116.80545454545455</v>
      </c>
      <c r="L17" s="73">
        <f t="shared" si="4"/>
        <v>642430</v>
      </c>
      <c r="M17" s="77"/>
      <c r="N17" s="68"/>
    </row>
    <row r="18" spans="1:14">
      <c r="A18" s="68" t="str">
        <f>IF(B18="","",PROPER(VLOOKUP(B18,Data!$A$1:$N$31,2,FALSE)))</f>
        <v>Bank Of America</v>
      </c>
      <c r="B18" s="69" t="s">
        <v>32</v>
      </c>
      <c r="C18" s="68" t="str">
        <f>IF(B18="","",VLOOKUP(B18,Data!$A$1:$N$31,3,FALSE))</f>
        <v>NYSE</v>
      </c>
      <c r="D18" s="68"/>
      <c r="E18" s="70">
        <v>42620.666666666664</v>
      </c>
      <c r="F18" s="71">
        <v>1000</v>
      </c>
      <c r="G18" s="72">
        <v>15.7</v>
      </c>
      <c r="H18" s="73">
        <f t="shared" si="0"/>
        <v>15700</v>
      </c>
      <c r="I18" s="74">
        <f t="shared" si="1"/>
        <v>10</v>
      </c>
      <c r="J18" s="75">
        <f t="shared" si="2"/>
        <v>1000</v>
      </c>
      <c r="K18" s="76">
        <f t="shared" si="3"/>
        <v>15.7</v>
      </c>
      <c r="L18" s="73">
        <f t="shared" si="4"/>
        <v>0</v>
      </c>
      <c r="M18" s="77"/>
      <c r="N18" s="68"/>
    </row>
    <row r="19" spans="1:14">
      <c r="A19" s="68" t="str">
        <f>IF(B19="","",PROPER(VLOOKUP(B19,Data!$A$1:$N$31,2,FALSE)))</f>
        <v>Bank Of America</v>
      </c>
      <c r="B19" s="69" t="s">
        <v>32</v>
      </c>
      <c r="C19" s="68" t="str">
        <f>IF(B19="","",VLOOKUP(B19,Data!$A$1:$N$31,3,FALSE))</f>
        <v>NYSE</v>
      </c>
      <c r="D19" s="68"/>
      <c r="E19" s="70">
        <v>42635.666666666664</v>
      </c>
      <c r="F19" s="71">
        <v>-5000</v>
      </c>
      <c r="G19" s="72">
        <v>15.6</v>
      </c>
      <c r="H19" s="73">
        <f t="shared" si="0"/>
        <v>-78000</v>
      </c>
      <c r="I19" s="74">
        <f t="shared" si="1"/>
        <v>10</v>
      </c>
      <c r="J19" s="75">
        <f t="shared" si="2"/>
        <v>-4000</v>
      </c>
      <c r="K19" s="76">
        <f t="shared" si="3"/>
        <v>15.6</v>
      </c>
      <c r="L19" s="73">
        <f t="shared" si="4"/>
        <v>-62400</v>
      </c>
      <c r="M19" s="77">
        <f>F18*(G19-G18)</f>
        <v>-99.999999999999645</v>
      </c>
      <c r="N19" s="68"/>
    </row>
    <row r="20" spans="1:14">
      <c r="A20" s="68" t="str">
        <f>IF(B20="","",PROPER(VLOOKUP(B20,Data!$A$1:$N$31,2,FALSE)))</f>
        <v>Barclays</v>
      </c>
      <c r="B20" s="69" t="s">
        <v>34</v>
      </c>
      <c r="C20" s="68" t="str">
        <f>IF(B20="","",VLOOKUP(B20,Data!$A$1:$N$31,3,FALSE))</f>
        <v>NYSE</v>
      </c>
      <c r="D20" s="68"/>
      <c r="E20" s="70">
        <v>42621.666666666664</v>
      </c>
      <c r="F20" s="71">
        <v>1000</v>
      </c>
      <c r="G20" s="72">
        <v>9.23</v>
      </c>
      <c r="H20" s="73">
        <f t="shared" si="0"/>
        <v>9230</v>
      </c>
      <c r="I20" s="74">
        <f t="shared" si="1"/>
        <v>10</v>
      </c>
      <c r="J20" s="75">
        <f t="shared" si="2"/>
        <v>1000</v>
      </c>
      <c r="K20" s="76">
        <f t="shared" si="3"/>
        <v>9.23</v>
      </c>
      <c r="L20" s="73">
        <f t="shared" si="4"/>
        <v>9230</v>
      </c>
      <c r="M20" s="77"/>
      <c r="N20" s="68"/>
    </row>
    <row r="21" spans="1:14">
      <c r="A21" s="68" t="str">
        <f>IF(B21="","",PROPER(VLOOKUP(B21,Data!$A$1:$N$31,2,FALSE)))</f>
        <v>Cabot Oil &amp; Gas A</v>
      </c>
      <c r="B21" s="69" t="s">
        <v>36</v>
      </c>
      <c r="C21" s="68" t="str">
        <f>IF(B21="","",VLOOKUP(B21,Data!$A$1:$N$31,3,FALSE))</f>
        <v>NYSE</v>
      </c>
      <c r="D21" s="68"/>
      <c r="E21" s="70">
        <v>42627.666666666664</v>
      </c>
      <c r="F21" s="71">
        <v>1000</v>
      </c>
      <c r="G21" s="72">
        <v>25.09</v>
      </c>
      <c r="H21" s="73">
        <f t="shared" si="0"/>
        <v>25090</v>
      </c>
      <c r="I21" s="74">
        <f t="shared" si="1"/>
        <v>10</v>
      </c>
      <c r="J21" s="75">
        <f t="shared" si="2"/>
        <v>1000</v>
      </c>
      <c r="K21" s="76">
        <f t="shared" si="3"/>
        <v>25.09</v>
      </c>
      <c r="L21" s="73">
        <f t="shared" si="4"/>
        <v>0</v>
      </c>
      <c r="M21" s="77"/>
      <c r="N21" s="68"/>
    </row>
    <row r="22" spans="1:14">
      <c r="A22" s="68" t="str">
        <f>IF(B22="","",PROPER(VLOOKUP(B22,Data!$A$1:$N$31,2,FALSE)))</f>
        <v>Cabot Oil &amp; Gas A</v>
      </c>
      <c r="B22" s="69" t="s">
        <v>36</v>
      </c>
      <c r="C22" s="68" t="str">
        <f>IF(B22="","",VLOOKUP(B22,Data!$A$1:$N$31,3,FALSE))</f>
        <v>NYSE</v>
      </c>
      <c r="D22" s="68"/>
      <c r="E22" s="70">
        <v>42643.666666666664</v>
      </c>
      <c r="F22" s="71">
        <v>5000</v>
      </c>
      <c r="G22" s="72">
        <v>25.8</v>
      </c>
      <c r="H22" s="73">
        <f t="shared" si="0"/>
        <v>129000</v>
      </c>
      <c r="I22" s="74">
        <f t="shared" si="1"/>
        <v>10</v>
      </c>
      <c r="J22" s="75">
        <f t="shared" si="2"/>
        <v>6000</v>
      </c>
      <c r="K22" s="76">
        <f t="shared" si="3"/>
        <v>25.681666666666668</v>
      </c>
      <c r="L22" s="73">
        <f t="shared" si="4"/>
        <v>154090</v>
      </c>
      <c r="M22" s="77"/>
      <c r="N22" s="68"/>
    </row>
    <row r="23" spans="1:14">
      <c r="A23" s="68" t="str">
        <f>IF(B23="","",PROPER(VLOOKUP(B23,Data!$A$1:$N$31,2,FALSE)))</f>
        <v>Deutsche Bank</v>
      </c>
      <c r="B23" s="69" t="s">
        <v>38</v>
      </c>
      <c r="C23" s="68" t="str">
        <f>IF(B23="","",VLOOKUP(B23,Data!$A$1:$N$31,3,FALSE))</f>
        <v>NYSE</v>
      </c>
      <c r="D23" s="68"/>
      <c r="E23" s="70">
        <v>42643.666666666664</v>
      </c>
      <c r="F23" s="71">
        <v>-2000</v>
      </c>
      <c r="G23" s="72">
        <v>13.09</v>
      </c>
      <c r="H23" s="73">
        <f t="shared" si="0"/>
        <v>-26180</v>
      </c>
      <c r="I23" s="74">
        <f t="shared" si="1"/>
        <v>10</v>
      </c>
      <c r="J23" s="75">
        <f t="shared" si="2"/>
        <v>-2000</v>
      </c>
      <c r="K23" s="76">
        <f t="shared" si="3"/>
        <v>13.09</v>
      </c>
      <c r="L23" s="73">
        <f t="shared" si="4"/>
        <v>-26180</v>
      </c>
      <c r="M23" s="77"/>
      <c r="N23" s="68"/>
    </row>
    <row r="24" spans="1:14">
      <c r="A24" s="68" t="str">
        <f>IF(B24="","",PROPER(VLOOKUP(B24,Data!$A$1:$N$31,2,FALSE)))</f>
        <v>Duke Energy</v>
      </c>
      <c r="B24" s="69" t="s">
        <v>40</v>
      </c>
      <c r="C24" s="68" t="str">
        <f>IF(B24="","",VLOOKUP(B24,Data!$A$1:$N$31,3,FALSE))</f>
        <v>NYSE</v>
      </c>
      <c r="D24" s="68"/>
      <c r="E24" s="70">
        <v>42640.666666666664</v>
      </c>
      <c r="F24" s="71">
        <v>2000</v>
      </c>
      <c r="G24" s="72">
        <v>81.430000000000007</v>
      </c>
      <c r="H24" s="73">
        <f t="shared" si="0"/>
        <v>162860</v>
      </c>
      <c r="I24" s="74">
        <f t="shared" si="1"/>
        <v>10</v>
      </c>
      <c r="J24" s="75">
        <f t="shared" si="2"/>
        <v>2000</v>
      </c>
      <c r="K24" s="76">
        <f t="shared" si="3"/>
        <v>81.430000000000007</v>
      </c>
      <c r="L24" s="73">
        <f t="shared" si="4"/>
        <v>162860</v>
      </c>
      <c r="M24" s="77"/>
      <c r="N24" s="68"/>
    </row>
    <row r="25" spans="1:14">
      <c r="A25" s="68" t="str">
        <f>IF(B25="","",PROPER(VLOOKUP(B25,Data!$A$1:$N$31,2,FALSE)))</f>
        <v>Exxon Mobil Corporation</v>
      </c>
      <c r="B25" s="69" t="s">
        <v>42</v>
      </c>
      <c r="C25" s="68" t="str">
        <f>IF(B25="","",VLOOKUP(B25,Data!$A$1:$N$31,3,FALSE))</f>
        <v>NYSE</v>
      </c>
      <c r="D25" s="68"/>
      <c r="E25" s="70">
        <v>42633.666666666664</v>
      </c>
      <c r="F25" s="71">
        <v>-2000</v>
      </c>
      <c r="G25" s="72">
        <v>82.54</v>
      </c>
      <c r="H25" s="73">
        <f t="shared" si="0"/>
        <v>-165080</v>
      </c>
      <c r="I25" s="74">
        <f t="shared" si="1"/>
        <v>10</v>
      </c>
      <c r="J25" s="75">
        <f t="shared" si="2"/>
        <v>-2000</v>
      </c>
      <c r="K25" s="76">
        <f t="shared" si="3"/>
        <v>82.54</v>
      </c>
      <c r="L25" s="73">
        <f t="shared" si="4"/>
        <v>-165080</v>
      </c>
      <c r="M25" s="77"/>
      <c r="N25" s="68"/>
    </row>
    <row r="26" spans="1:14">
      <c r="A26" s="68" t="str">
        <f>IF(B26="","",PROPER(VLOOKUP(B26,Data!$A$1:$N$31,2,FALSE)))</f>
        <v>Ford Motor Co.</v>
      </c>
      <c r="B26" s="80" t="s">
        <v>44</v>
      </c>
      <c r="C26" s="68" t="str">
        <f>IF(B26="","",VLOOKUP(B26,Data!$A$1:$N$31,3,FALSE))</f>
        <v>NYSE</v>
      </c>
      <c r="D26" s="68"/>
      <c r="E26" s="70">
        <v>42627.666666666664</v>
      </c>
      <c r="F26" s="81">
        <v>3000</v>
      </c>
      <c r="G26" s="72">
        <v>12.14</v>
      </c>
      <c r="H26" s="73">
        <f t="shared" si="0"/>
        <v>36420</v>
      </c>
      <c r="I26" s="74">
        <f t="shared" si="1"/>
        <v>10</v>
      </c>
      <c r="J26" s="75">
        <f t="shared" si="2"/>
        <v>3000</v>
      </c>
      <c r="K26" s="76">
        <f t="shared" si="3"/>
        <v>12.14</v>
      </c>
      <c r="L26" s="73">
        <f t="shared" si="4"/>
        <v>36420</v>
      </c>
      <c r="M26" s="77"/>
      <c r="N26" s="68"/>
    </row>
    <row r="27" spans="1:14">
      <c r="A27" s="68" t="str">
        <f>IF(B27="","",PROPER(VLOOKUP(B27,Data!$A$1:$N$31,2,FALSE)))</f>
        <v>General Electric Co</v>
      </c>
      <c r="B27" s="82" t="s">
        <v>46</v>
      </c>
      <c r="C27" s="68" t="str">
        <f>IF(B27="","",VLOOKUP(B27,Data!$A$1:$N$31,3,FALSE))</f>
        <v>NYSE</v>
      </c>
      <c r="D27" s="68"/>
      <c r="E27" s="70">
        <v>42625.666666666664</v>
      </c>
      <c r="F27" s="83">
        <v>1000</v>
      </c>
      <c r="G27" s="72">
        <v>30.49</v>
      </c>
      <c r="H27" s="73">
        <f t="shared" si="0"/>
        <v>30490</v>
      </c>
      <c r="I27" s="74">
        <f t="shared" si="1"/>
        <v>10</v>
      </c>
      <c r="J27" s="75">
        <f t="shared" si="2"/>
        <v>1000</v>
      </c>
      <c r="K27" s="76">
        <f t="shared" si="3"/>
        <v>30.49</v>
      </c>
      <c r="L27" s="73">
        <f t="shared" si="4"/>
        <v>30490</v>
      </c>
      <c r="M27" s="68"/>
      <c r="N27" s="68"/>
    </row>
    <row r="28" spans="1:14">
      <c r="A28" s="68" t="str">
        <f>IF(B28="","",PROPER(VLOOKUP(B28,Data!$A$1:$N$31,2,FALSE)))</f>
        <v>J P Morgan Chase &amp; Co</v>
      </c>
      <c r="B28" s="84" t="s">
        <v>50</v>
      </c>
      <c r="C28" s="68" t="str">
        <f>IF(B28="","",VLOOKUP(B28,Data!$A$1:$N$31,3,FALSE))</f>
        <v>NYSE</v>
      </c>
      <c r="D28" s="68"/>
      <c r="E28" s="70">
        <v>42620.666666666664</v>
      </c>
      <c r="F28" s="83">
        <v>-2000</v>
      </c>
      <c r="G28" s="72">
        <v>67.16</v>
      </c>
      <c r="H28" s="73">
        <f t="shared" si="0"/>
        <v>-134320</v>
      </c>
      <c r="I28" s="74">
        <f t="shared" si="1"/>
        <v>10</v>
      </c>
      <c r="J28" s="75">
        <f t="shared" si="2"/>
        <v>-2000</v>
      </c>
      <c r="K28" s="76">
        <f t="shared" si="3"/>
        <v>67.16</v>
      </c>
      <c r="L28" s="73">
        <f t="shared" si="4"/>
        <v>-134320</v>
      </c>
      <c r="M28" s="68"/>
      <c r="N28" s="68"/>
    </row>
    <row r="29" spans="1:14">
      <c r="A29" s="68" t="str">
        <f>IF(B29="","",PROPER(VLOOKUP(B29,Data!$A$1:$N$31,2,FALSE)))</f>
        <v>Jetblue Airways</v>
      </c>
      <c r="B29" s="84" t="s">
        <v>48</v>
      </c>
      <c r="C29" s="68" t="str">
        <f>IF(B29="","",VLOOKUP(B29,Data!$A$1:$N$31,3,FALSE))</f>
        <v>NASDAQ</v>
      </c>
      <c r="D29" s="68"/>
      <c r="E29" s="70">
        <v>42625.666666666664</v>
      </c>
      <c r="F29" s="83">
        <v>1000</v>
      </c>
      <c r="G29" s="72">
        <v>16.78</v>
      </c>
      <c r="H29" s="73">
        <f t="shared" si="0"/>
        <v>16780</v>
      </c>
      <c r="I29" s="74">
        <f t="shared" si="1"/>
        <v>10</v>
      </c>
      <c r="J29" s="75">
        <f t="shared" si="2"/>
        <v>1000</v>
      </c>
      <c r="K29" s="76">
        <f t="shared" si="3"/>
        <v>16.78</v>
      </c>
      <c r="L29" s="73">
        <f t="shared" si="4"/>
        <v>0</v>
      </c>
      <c r="M29" s="68"/>
      <c r="N29" s="68"/>
    </row>
    <row r="30" spans="1:14">
      <c r="A30" s="68" t="str">
        <f>IF(B30="","",PROPER(VLOOKUP(B30,Data!$A$1:$N$31,2,FALSE)))</f>
        <v>Jetblue Airways</v>
      </c>
      <c r="B30" s="84" t="s">
        <v>48</v>
      </c>
      <c r="C30" s="68" t="str">
        <f>IF(B30="","",VLOOKUP(B30,Data!$A$1:$N$31,3,FALSE))</f>
        <v>NASDAQ</v>
      </c>
      <c r="D30" s="68"/>
      <c r="E30" s="70">
        <v>42634.666666666664</v>
      </c>
      <c r="F30" s="83">
        <v>-1000</v>
      </c>
      <c r="G30" s="72">
        <v>17.190000000000001</v>
      </c>
      <c r="H30" s="73">
        <f t="shared" si="0"/>
        <v>-17190</v>
      </c>
      <c r="I30" s="74">
        <f t="shared" si="1"/>
        <v>10</v>
      </c>
      <c r="J30" s="75">
        <f t="shared" si="2"/>
        <v>0</v>
      </c>
      <c r="K30" s="76">
        <f t="shared" si="3"/>
        <v>0</v>
      </c>
      <c r="L30" s="73">
        <f t="shared" si="4"/>
        <v>0</v>
      </c>
      <c r="M30" s="85">
        <f>F29*(G30-G29)</f>
        <v>410.00000000000011</v>
      </c>
      <c r="N30" s="68"/>
    </row>
    <row r="31" spans="1:14">
      <c r="A31" s="68" t="str">
        <f>IF(B31="","",PROPER(VLOOKUP(B31,Data!$A$1:$N$31,2,FALSE)))</f>
        <v>Jetblue Airways</v>
      </c>
      <c r="B31" s="84" t="s">
        <v>48</v>
      </c>
      <c r="C31" s="68" t="str">
        <f>IF(B31="","",VLOOKUP(B31,Data!$A$1:$N$31,3,FALSE))</f>
        <v>NASDAQ</v>
      </c>
      <c r="D31" s="68"/>
      <c r="E31" s="70">
        <v>42640.666666666664</v>
      </c>
      <c r="F31" s="83">
        <v>5000</v>
      </c>
      <c r="G31" s="72">
        <v>17.329999999999998</v>
      </c>
      <c r="H31" s="73">
        <f t="shared" si="0"/>
        <v>86650</v>
      </c>
      <c r="I31" s="74">
        <f t="shared" si="1"/>
        <v>10</v>
      </c>
      <c r="J31" s="75">
        <f t="shared" si="2"/>
        <v>5000</v>
      </c>
      <c r="K31" s="76">
        <f t="shared" si="3"/>
        <v>17.329999999999998</v>
      </c>
      <c r="L31" s="73">
        <f t="shared" si="4"/>
        <v>0</v>
      </c>
      <c r="M31" s="68"/>
      <c r="N31" s="68"/>
    </row>
    <row r="32" spans="1:14">
      <c r="A32" s="68" t="str">
        <f>IF(B32="","",PROPER(VLOOKUP(B32,Data!$A$1:$N$31,2,FALSE)))</f>
        <v>Jetblue Airways</v>
      </c>
      <c r="B32" s="84" t="s">
        <v>48</v>
      </c>
      <c r="C32" s="68" t="str">
        <f>IF(B32="","",VLOOKUP(B32,Data!$A$1:$N$31,3,FALSE))</f>
        <v>NASDAQ</v>
      </c>
      <c r="D32" s="68"/>
      <c r="E32" s="70">
        <v>42670.666666666664</v>
      </c>
      <c r="F32" s="83">
        <v>-5000</v>
      </c>
      <c r="G32" s="72">
        <v>17.36</v>
      </c>
      <c r="H32" s="73">
        <f t="shared" si="0"/>
        <v>-86800</v>
      </c>
      <c r="I32" s="74">
        <f t="shared" si="1"/>
        <v>10</v>
      </c>
      <c r="J32" s="75">
        <f t="shared" si="2"/>
        <v>0</v>
      </c>
      <c r="K32" s="76">
        <f t="shared" si="3"/>
        <v>0</v>
      </c>
      <c r="L32" s="73">
        <f t="shared" si="4"/>
        <v>0</v>
      </c>
      <c r="M32" s="85">
        <f>F31*(G32-G31)</f>
        <v>150.00000000000568</v>
      </c>
      <c r="N32" s="68"/>
    </row>
    <row r="33" spans="1:14">
      <c r="A33" s="68" t="str">
        <f>IF(B33="","",PROPER(VLOOKUP(B33,Data!$A$1:$N$31,2,FALSE)))</f>
        <v>Lan Airlines</v>
      </c>
      <c r="B33" s="84" t="s">
        <v>52</v>
      </c>
      <c r="C33" s="68" t="str">
        <f>IF(B33="","",VLOOKUP(B33,Data!$A$1:$N$31,3,FALSE))</f>
        <v>NYSE</v>
      </c>
      <c r="D33" s="68"/>
      <c r="E33" s="70">
        <v>42625.666666666664</v>
      </c>
      <c r="F33" s="83">
        <v>1000</v>
      </c>
      <c r="G33" s="72">
        <v>7.93</v>
      </c>
      <c r="H33" s="73">
        <f t="shared" si="0"/>
        <v>7930</v>
      </c>
      <c r="I33" s="74">
        <f t="shared" si="1"/>
        <v>10</v>
      </c>
      <c r="J33" s="75">
        <f t="shared" si="2"/>
        <v>1000</v>
      </c>
      <c r="K33" s="76">
        <f t="shared" si="3"/>
        <v>7.93</v>
      </c>
      <c r="L33" s="73">
        <f t="shared" si="4"/>
        <v>0</v>
      </c>
      <c r="M33" s="68"/>
      <c r="N33" s="68"/>
    </row>
    <row r="34" spans="1:14">
      <c r="A34" s="68" t="str">
        <f>IF(B34="","",PROPER(VLOOKUP(B34,Data!$A$1:$N$31,2,FALSE)))</f>
        <v>Lan Airlines</v>
      </c>
      <c r="B34" s="84" t="s">
        <v>52</v>
      </c>
      <c r="C34" s="68" t="str">
        <f>IF(B34="","",VLOOKUP(B34,Data!$A$1:$N$31,3,FALSE))</f>
        <v>NYSE</v>
      </c>
      <c r="D34" s="68"/>
      <c r="E34" s="70">
        <v>42648.666666666664</v>
      </c>
      <c r="F34" s="83">
        <v>4000</v>
      </c>
      <c r="G34" s="72">
        <v>8.61</v>
      </c>
      <c r="H34" s="73">
        <f t="shared" si="0"/>
        <v>34440</v>
      </c>
      <c r="I34" s="74">
        <f t="shared" si="1"/>
        <v>10</v>
      </c>
      <c r="J34" s="75">
        <f t="shared" si="2"/>
        <v>5000</v>
      </c>
      <c r="K34" s="76">
        <f t="shared" si="3"/>
        <v>8.4740000000000002</v>
      </c>
      <c r="L34" s="73">
        <f t="shared" si="4"/>
        <v>0</v>
      </c>
      <c r="M34" s="68"/>
      <c r="N34" s="68"/>
    </row>
    <row r="35" spans="1:14">
      <c r="A35" s="68" t="str">
        <f>IF(B35="","",PROPER(VLOOKUP(B35,Data!$A$1:$N$31,2,FALSE)))</f>
        <v>Lan Airlines</v>
      </c>
      <c r="B35" s="84" t="s">
        <v>52</v>
      </c>
      <c r="C35" s="68" t="str">
        <f>IF(B35="","",VLOOKUP(B35,Data!$A$1:$N$31,3,FALSE))</f>
        <v>NYSE</v>
      </c>
      <c r="D35" s="68"/>
      <c r="E35" s="70">
        <v>42669.666666666664</v>
      </c>
      <c r="F35" s="83">
        <v>-5000</v>
      </c>
      <c r="G35" s="72">
        <v>9.66</v>
      </c>
      <c r="H35" s="73">
        <f t="shared" si="0"/>
        <v>-48300</v>
      </c>
      <c r="I35" s="74">
        <f t="shared" si="1"/>
        <v>10</v>
      </c>
      <c r="J35" s="75">
        <f t="shared" si="2"/>
        <v>0</v>
      </c>
      <c r="K35" s="76">
        <f t="shared" si="3"/>
        <v>0</v>
      </c>
      <c r="L35" s="73">
        <f t="shared" si="4"/>
        <v>0</v>
      </c>
      <c r="M35" s="86">
        <f>F33*(G35-G33)+F34*(G35-G34)</f>
        <v>5930.0000000000036</v>
      </c>
      <c r="N35" s="68"/>
    </row>
    <row r="36" spans="1:14">
      <c r="A36" s="68" t="str">
        <f>IF(B36="","",PROPER(VLOOKUP(B36,Data!$A$1:$N$31,2,FALSE)))</f>
        <v>Marriott Intl A</v>
      </c>
      <c r="B36" s="84" t="s">
        <v>54</v>
      </c>
      <c r="C36" s="68" t="str">
        <f>IF(B36="","",VLOOKUP(B36,Data!$A$1:$N$31,3,FALSE))</f>
        <v>NYSE</v>
      </c>
      <c r="D36" s="68"/>
      <c r="E36" s="70">
        <v>42639.666666666664</v>
      </c>
      <c r="F36" s="83">
        <v>10000</v>
      </c>
      <c r="G36" s="72">
        <v>67.150000000000006</v>
      </c>
      <c r="H36" s="73">
        <f t="shared" si="0"/>
        <v>671500</v>
      </c>
      <c r="I36" s="74">
        <f t="shared" si="1"/>
        <v>10</v>
      </c>
      <c r="J36" s="75">
        <f t="shared" si="2"/>
        <v>10000</v>
      </c>
      <c r="K36" s="76">
        <f t="shared" si="3"/>
        <v>67.150000000000006</v>
      </c>
      <c r="L36" s="73">
        <f t="shared" si="4"/>
        <v>671500</v>
      </c>
      <c r="M36" s="68"/>
      <c r="N36" s="68"/>
    </row>
    <row r="37" spans="1:14">
      <c r="A37" s="68" t="str">
        <f>IF(B37="","",PROPER(VLOOKUP(B37,Data!$A$1:$N$31,2,FALSE)))</f>
        <v>Nike Inc B</v>
      </c>
      <c r="B37" s="84" t="s">
        <v>56</v>
      </c>
      <c r="C37" s="68" t="str">
        <f>IF(B37="","",VLOOKUP(B37,Data!$A$1:$N$31,3,FALSE))</f>
        <v>NYSE</v>
      </c>
      <c r="D37" s="68"/>
      <c r="E37" s="70">
        <v>42639.666666666664</v>
      </c>
      <c r="F37" s="83">
        <v>1000</v>
      </c>
      <c r="G37" s="72">
        <v>54.4</v>
      </c>
      <c r="H37" s="73">
        <f t="shared" si="0"/>
        <v>54400</v>
      </c>
      <c r="I37" s="74">
        <f t="shared" si="1"/>
        <v>10</v>
      </c>
      <c r="J37" s="75">
        <f t="shared" si="2"/>
        <v>1000</v>
      </c>
      <c r="K37" s="76">
        <f t="shared" si="3"/>
        <v>54.4</v>
      </c>
      <c r="L37" s="73">
        <f t="shared" si="4"/>
        <v>54400</v>
      </c>
      <c r="M37" s="68"/>
      <c r="N37" s="68"/>
    </row>
    <row r="38" spans="1:14">
      <c r="A38" s="68" t="str">
        <f>IF(B38="","",PROPER(VLOOKUP(B38,Data!$A$1:$N$31,2,FALSE)))</f>
        <v>Seneca Foods Corp A</v>
      </c>
      <c r="B38" s="84" t="s">
        <v>58</v>
      </c>
      <c r="C38" s="68" t="str">
        <f>IF(B38="","",VLOOKUP(B38,Data!$A$1:$N$31,3,FALSE))</f>
        <v>NASDAQ</v>
      </c>
      <c r="D38" s="68"/>
      <c r="E38" s="70">
        <v>42627.666666666664</v>
      </c>
      <c r="F38" s="83">
        <v>-3000</v>
      </c>
      <c r="G38" s="72">
        <v>28.47</v>
      </c>
      <c r="H38" s="73">
        <f t="shared" si="0"/>
        <v>-85410</v>
      </c>
      <c r="I38" s="74">
        <f t="shared" si="1"/>
        <v>10</v>
      </c>
      <c r="J38" s="75">
        <f t="shared" si="2"/>
        <v>-3000</v>
      </c>
      <c r="K38" s="76">
        <f t="shared" si="3"/>
        <v>28.47</v>
      </c>
      <c r="L38" s="73">
        <f t="shared" si="4"/>
        <v>-85410</v>
      </c>
      <c r="M38" s="68"/>
      <c r="N38" s="68"/>
    </row>
    <row r="39" spans="1:14">
      <c r="A39" s="68" t="str">
        <f>IF(B39="","",PROPER(VLOOKUP(B39,Data!$A$1:$N$31,2,FALSE)))</f>
        <v>Sorl Auto Parts</v>
      </c>
      <c r="B39" s="84" t="s">
        <v>60</v>
      </c>
      <c r="C39" s="68" t="str">
        <f>IF(B39="","",VLOOKUP(B39,Data!$A$1:$N$31,3,FALSE))</f>
        <v>NASDAQ</v>
      </c>
      <c r="D39" s="68"/>
      <c r="E39" s="70">
        <v>42625.666666666664</v>
      </c>
      <c r="F39" s="83">
        <v>-2000</v>
      </c>
      <c r="G39" s="72">
        <v>3.55</v>
      </c>
      <c r="H39" s="73">
        <f t="shared" si="0"/>
        <v>-7100</v>
      </c>
      <c r="I39" s="74">
        <f t="shared" si="1"/>
        <v>10</v>
      </c>
      <c r="J39" s="75">
        <f t="shared" si="2"/>
        <v>-2000</v>
      </c>
      <c r="K39" s="76">
        <f t="shared" si="3"/>
        <v>3.55</v>
      </c>
      <c r="L39" s="73">
        <f t="shared" si="4"/>
        <v>0</v>
      </c>
      <c r="M39" s="68"/>
      <c r="N39" s="68"/>
    </row>
    <row r="40" spans="1:14">
      <c r="A40" s="68" t="str">
        <f>IF(B40="","",PROPER(VLOOKUP(B40,Data!$A$1:$N$31,2,FALSE)))</f>
        <v>Sorl Auto Parts</v>
      </c>
      <c r="B40" s="84" t="s">
        <v>60</v>
      </c>
      <c r="C40" s="68" t="str">
        <f>IF(B40="","",VLOOKUP(B40,Data!$A$1:$N$31,3,FALSE))</f>
        <v>NASDAQ</v>
      </c>
      <c r="D40" s="68"/>
      <c r="E40" s="70">
        <v>42648.666666666664</v>
      </c>
      <c r="F40" s="83">
        <v>5000</v>
      </c>
      <c r="G40" s="72">
        <v>4.01</v>
      </c>
      <c r="H40" s="73">
        <f t="shared" si="0"/>
        <v>20050</v>
      </c>
      <c r="I40" s="74">
        <f t="shared" si="1"/>
        <v>10</v>
      </c>
      <c r="J40" s="75">
        <f t="shared" si="2"/>
        <v>3000</v>
      </c>
      <c r="K40" s="76">
        <f t="shared" si="3"/>
        <v>4.01</v>
      </c>
      <c r="L40" s="73">
        <f t="shared" si="4"/>
        <v>12030</v>
      </c>
      <c r="M40" s="85">
        <f>F39*(G40-G39)</f>
        <v>-919.99999999999989</v>
      </c>
      <c r="N40" s="68"/>
    </row>
    <row r="41" spans="1:14">
      <c r="A41" s="68" t="str">
        <f>IF(B41="","",PROPER(VLOOKUP(B41,Data!$A$1:$N$31,2,FALSE)))</f>
        <v>Starbucks Corporation</v>
      </c>
      <c r="B41" s="84" t="s">
        <v>62</v>
      </c>
      <c r="C41" s="68" t="str">
        <f>IF(B41="","",VLOOKUP(B41,Data!$A$1:$N$31,3,FALSE))</f>
        <v>NASDAQ</v>
      </c>
      <c r="D41" s="68"/>
      <c r="E41" s="70">
        <v>42639.666666666664</v>
      </c>
      <c r="F41" s="83">
        <v>2000</v>
      </c>
      <c r="G41" s="72">
        <v>54.04</v>
      </c>
      <c r="H41" s="73">
        <f t="shared" si="0"/>
        <v>108080</v>
      </c>
      <c r="I41" s="74">
        <f t="shared" si="1"/>
        <v>10</v>
      </c>
      <c r="J41" s="75">
        <f t="shared" si="2"/>
        <v>2000</v>
      </c>
      <c r="K41" s="76">
        <f t="shared" si="3"/>
        <v>54.04</v>
      </c>
      <c r="L41" s="73">
        <f t="shared" si="4"/>
        <v>0</v>
      </c>
      <c r="M41" s="68"/>
      <c r="N41" s="68"/>
    </row>
    <row r="42" spans="1:14">
      <c r="A42" s="68" t="str">
        <f>IF(B42="","",PROPER(VLOOKUP(B42,Data!$A$1:$N$31,2,FALSE)))</f>
        <v>Starbucks Corporation</v>
      </c>
      <c r="B42" s="84" t="s">
        <v>62</v>
      </c>
      <c r="C42" s="68" t="str">
        <f>IF(B42="","",VLOOKUP(B42,Data!$A$1:$N$31,3,FALSE))</f>
        <v>NASDAQ</v>
      </c>
      <c r="D42" s="68"/>
      <c r="E42" s="70">
        <v>42669.666666666664</v>
      </c>
      <c r="F42" s="83">
        <v>-2000</v>
      </c>
      <c r="G42" s="72">
        <v>53.63</v>
      </c>
      <c r="H42" s="73">
        <f t="shared" si="0"/>
        <v>-107260</v>
      </c>
      <c r="I42" s="74">
        <f t="shared" si="1"/>
        <v>10</v>
      </c>
      <c r="J42" s="75">
        <f t="shared" si="2"/>
        <v>0</v>
      </c>
      <c r="K42" s="76">
        <f t="shared" si="3"/>
        <v>0</v>
      </c>
      <c r="L42" s="73">
        <f t="shared" si="4"/>
        <v>0</v>
      </c>
      <c r="M42" s="85">
        <f>F42*(G41-G42)</f>
        <v>-819.99999999999318</v>
      </c>
      <c r="N42" s="68"/>
    </row>
    <row r="43" spans="1:14">
      <c r="A43" s="68" t="str">
        <f>IF(B43="","",PROPER(VLOOKUP(B43,Data!$A$1:$N$31,2,FALSE)))</f>
        <v>Wells Fargo &amp; Co</v>
      </c>
      <c r="B43" s="84" t="s">
        <v>64</v>
      </c>
      <c r="C43" s="68" t="str">
        <f>IF(B43="","",VLOOKUP(B43,Data!$A$1:$N$31,3,FALSE))</f>
        <v>NYSE</v>
      </c>
      <c r="D43" s="68"/>
      <c r="E43" s="70">
        <v>42620.666666666664</v>
      </c>
      <c r="F43" s="87">
        <v>1000</v>
      </c>
      <c r="G43" s="72">
        <v>49.77</v>
      </c>
      <c r="H43" s="73">
        <f t="shared" si="0"/>
        <v>49770</v>
      </c>
      <c r="I43" s="74">
        <f t="shared" si="1"/>
        <v>10</v>
      </c>
      <c r="J43" s="75">
        <f t="shared" si="2"/>
        <v>1000</v>
      </c>
      <c r="K43" s="76">
        <f t="shared" si="3"/>
        <v>49.77</v>
      </c>
      <c r="L43" s="73">
        <f t="shared" si="4"/>
        <v>0</v>
      </c>
      <c r="M43" s="77"/>
      <c r="N43" s="68"/>
    </row>
    <row r="44" spans="1:14">
      <c r="A44" s="68" t="str">
        <f>IF(B44="","",PROPER(VLOOKUP(B44,Data!$A$1:$N$31,2,FALSE)))</f>
        <v>Wells Fargo &amp; Co</v>
      </c>
      <c r="B44" s="84" t="s">
        <v>64</v>
      </c>
      <c r="C44" s="68" t="str">
        <f>IF(B44="","",VLOOKUP(B44,Data!$A$1:$N$31,3,FALSE))</f>
        <v>NYSE</v>
      </c>
      <c r="D44" s="68"/>
      <c r="E44" s="70">
        <v>42643.666666666664</v>
      </c>
      <c r="F44" s="87">
        <v>-5000</v>
      </c>
      <c r="G44" s="72">
        <v>44.28</v>
      </c>
      <c r="H44" s="73">
        <f t="shared" si="0"/>
        <v>-221400</v>
      </c>
      <c r="I44" s="74">
        <f t="shared" si="1"/>
        <v>10</v>
      </c>
      <c r="J44" s="75">
        <f t="shared" si="2"/>
        <v>-4000</v>
      </c>
      <c r="K44" s="76">
        <f t="shared" si="3"/>
        <v>44.28</v>
      </c>
      <c r="L44" s="73">
        <f t="shared" si="4"/>
        <v>-177120</v>
      </c>
      <c r="M44" s="77">
        <f>F43*(G44-G43)</f>
        <v>-5490.0000000000018</v>
      </c>
      <c r="N44" s="68"/>
    </row>
    <row r="45" spans="1:14">
      <c r="A45" s="68" t="str">
        <f>IF(B45="","",PROPER(VLOOKUP(B45,Data!$A$1:$N$31,2,FALSE)))</f>
        <v>Yahoo</v>
      </c>
      <c r="B45" s="84" t="s">
        <v>66</v>
      </c>
      <c r="C45" s="68" t="str">
        <f>IF(B45="","",VLOOKUP(B45,Data!$A$1:$N$31,3,FALSE))</f>
        <v>NASDAQ</v>
      </c>
      <c r="D45" s="68"/>
      <c r="E45" s="70">
        <v>42639.666666666664</v>
      </c>
      <c r="F45" s="87">
        <v>1000</v>
      </c>
      <c r="G45" s="72">
        <v>42.29</v>
      </c>
      <c r="H45" s="73">
        <f t="shared" si="0"/>
        <v>42290</v>
      </c>
      <c r="I45" s="74">
        <f t="shared" si="1"/>
        <v>10</v>
      </c>
      <c r="J45" s="75">
        <f t="shared" si="2"/>
        <v>1000</v>
      </c>
      <c r="K45" s="76">
        <f t="shared" si="3"/>
        <v>42.29</v>
      </c>
      <c r="L45" s="73">
        <f t="shared" si="4"/>
        <v>0</v>
      </c>
      <c r="M45" s="77"/>
      <c r="N45" s="68"/>
    </row>
    <row r="46" spans="1:14">
      <c r="A46" s="68" t="str">
        <f>IF(B46="","",PROPER(VLOOKUP(B46,Data!$A$1:$N$31,2,FALSE)))</f>
        <v>Yahoo</v>
      </c>
      <c r="B46" s="84" t="s">
        <v>66</v>
      </c>
      <c r="C46" s="68" t="str">
        <f>IF(B46="","",VLOOKUP(B46,Data!$A$1:$N$31,3,FALSE))</f>
        <v>NASDAQ</v>
      </c>
      <c r="D46" s="68"/>
      <c r="E46" s="70">
        <v>42669.666666666664</v>
      </c>
      <c r="F46" s="87">
        <v>-1000</v>
      </c>
      <c r="G46" s="72">
        <v>42.08</v>
      </c>
      <c r="H46" s="73">
        <f t="shared" si="0"/>
        <v>-42080</v>
      </c>
      <c r="I46" s="74">
        <f t="shared" si="1"/>
        <v>10</v>
      </c>
      <c r="J46" s="75">
        <f t="shared" si="2"/>
        <v>0</v>
      </c>
      <c r="K46" s="76">
        <f>IF(B46="","",IF(J46=0,0,IF(B46=B45,IF(F46*J45&gt;0,((K45*J45)+H46)/J46,IF(J45*J46&lt;=0,G46,K45)),G46)))</f>
        <v>0</v>
      </c>
      <c r="L46" s="73">
        <f t="shared" si="4"/>
        <v>0</v>
      </c>
      <c r="M46" s="77">
        <f>F45*(G46-G45)</f>
        <v>-210.00000000000085</v>
      </c>
      <c r="N46" s="68"/>
    </row>
    <row r="47" spans="1:14">
      <c r="A47" s="68"/>
      <c r="B47" s="68"/>
      <c r="C47" s="68"/>
      <c r="D47" s="68"/>
      <c r="E47" s="68"/>
      <c r="F47" s="88"/>
      <c r="G47" s="68"/>
      <c r="H47" s="89">
        <f>SUM(H5:H46)</f>
        <v>2844715</v>
      </c>
      <c r="I47" s="89">
        <f>SUM(I5:I46)</f>
        <v>420</v>
      </c>
      <c r="J47" s="68"/>
      <c r="K47" s="90"/>
      <c r="L47" s="89">
        <f>SUM(L5:L46)</f>
        <v>2559703.33</v>
      </c>
      <c r="M47" s="89">
        <f>SUM(M5:M46)</f>
        <v>-285011.66999999987</v>
      </c>
      <c r="N47" s="68"/>
    </row>
    <row r="48" spans="1:14">
      <c r="A48" s="91"/>
      <c r="B48" s="68"/>
      <c r="C48" s="68"/>
      <c r="D48" s="68"/>
      <c r="E48" s="92"/>
      <c r="F48" s="93"/>
      <c r="G48" s="94"/>
      <c r="H48" s="94"/>
      <c r="I48" s="95"/>
      <c r="J48" s="96"/>
      <c r="K48" s="68"/>
      <c r="L48" s="68"/>
      <c r="M48" s="68"/>
      <c r="N48" s="68"/>
    </row>
    <row r="49" spans="1:14">
      <c r="A49" s="68"/>
      <c r="B49" s="68"/>
      <c r="C49" s="68"/>
      <c r="D49" s="68"/>
      <c r="E49" s="92"/>
      <c r="F49" s="93"/>
      <c r="G49" s="94"/>
      <c r="H49" s="94"/>
      <c r="I49" s="95"/>
      <c r="J49" s="96"/>
      <c r="K49" s="94"/>
      <c r="L49" s="77"/>
      <c r="M49" s="68"/>
      <c r="N49" s="68"/>
    </row>
    <row r="50" spans="1:14">
      <c r="A50" s="68"/>
      <c r="B50" s="68"/>
      <c r="C50" s="68"/>
      <c r="D50" s="68"/>
      <c r="E50" s="68"/>
      <c r="F50" s="92"/>
      <c r="G50" s="97"/>
      <c r="H50" s="94"/>
      <c r="I50" s="94"/>
      <c r="J50" s="95"/>
      <c r="K50" s="96"/>
      <c r="L50" s="94"/>
      <c r="M50" s="77"/>
      <c r="N50" s="68"/>
    </row>
    <row r="51" spans="1:14">
      <c r="A51" s="68"/>
      <c r="B51" s="68"/>
      <c r="C51" s="68"/>
      <c r="D51" s="68"/>
      <c r="E51" s="68"/>
      <c r="F51" s="98"/>
      <c r="G51" s="68"/>
      <c r="H51" s="77"/>
      <c r="I51" s="94"/>
      <c r="J51" s="95"/>
      <c r="K51" s="96"/>
      <c r="L51" s="94"/>
      <c r="M51" s="77"/>
      <c r="N51" s="68"/>
    </row>
    <row r="52" spans="1:14">
      <c r="A52" s="68"/>
      <c r="B52" s="68"/>
      <c r="C52" s="68"/>
      <c r="D52" s="68"/>
      <c r="E52" s="213" t="s">
        <v>158</v>
      </c>
      <c r="F52" s="213"/>
      <c r="G52" s="213"/>
      <c r="H52" s="213"/>
      <c r="I52" s="73"/>
      <c r="J52" s="68"/>
      <c r="K52" s="90"/>
      <c r="L52" s="68"/>
      <c r="M52" s="77"/>
      <c r="N52" s="68"/>
    </row>
    <row r="53" spans="1:14">
      <c r="A53" s="73"/>
      <c r="B53" s="68"/>
      <c r="C53" s="77"/>
      <c r="D53" s="68"/>
      <c r="E53" s="88" t="s">
        <v>159</v>
      </c>
      <c r="F53" s="88"/>
      <c r="G53" s="77">
        <f>Stewardship!$E$38</f>
        <v>4000000</v>
      </c>
      <c r="H53" s="68"/>
      <c r="I53" s="73"/>
      <c r="J53" s="68"/>
      <c r="K53" s="68"/>
      <c r="L53" s="68"/>
      <c r="M53" s="68"/>
      <c r="N53" s="68"/>
    </row>
    <row r="54" spans="1:14">
      <c r="A54" s="73"/>
      <c r="B54" s="68"/>
      <c r="C54" s="77"/>
      <c r="D54" s="68"/>
      <c r="E54" s="88" t="s">
        <v>160</v>
      </c>
      <c r="F54" s="88"/>
      <c r="G54" s="77">
        <f>SUMIF(F5:F46,"&gt;0",H5:H46)*-1</f>
        <v>-9185975</v>
      </c>
      <c r="H54" s="68"/>
      <c r="I54" s="73"/>
      <c r="J54" s="68"/>
      <c r="K54" s="99"/>
      <c r="L54" s="68"/>
      <c r="M54" s="77"/>
      <c r="N54" s="68"/>
    </row>
    <row r="55" spans="1:14">
      <c r="A55" s="73"/>
      <c r="B55" s="68"/>
      <c r="C55" s="77"/>
      <c r="D55" s="68"/>
      <c r="E55" s="88" t="s">
        <v>161</v>
      </c>
      <c r="F55" s="88"/>
      <c r="G55" s="77">
        <f>SUMIF(F5:F46,"&lt;0",H5:H46)*-1</f>
        <v>6341260</v>
      </c>
      <c r="H55" s="11"/>
      <c r="I55" s="73"/>
      <c r="J55" s="68"/>
      <c r="K55" s="100"/>
      <c r="L55" s="68"/>
      <c r="M55" s="77"/>
      <c r="N55" s="68"/>
    </row>
    <row r="56" spans="1:14">
      <c r="A56" s="73"/>
      <c r="B56" s="68"/>
      <c r="C56" s="77"/>
      <c r="D56" s="68"/>
      <c r="E56" s="101" t="s">
        <v>162</v>
      </c>
      <c r="F56" s="101"/>
      <c r="G56" s="77">
        <f>Income!L28</f>
        <v>-3133.6500000000005</v>
      </c>
      <c r="H56" s="11"/>
      <c r="I56" s="73"/>
      <c r="J56" s="68"/>
      <c r="K56" s="99"/>
      <c r="L56" s="68"/>
      <c r="M56" s="77"/>
      <c r="N56" s="68"/>
    </row>
    <row r="57" spans="1:14">
      <c r="A57" s="102"/>
      <c r="B57" s="68"/>
      <c r="C57" s="73"/>
      <c r="D57" s="68"/>
      <c r="E57" s="101" t="s">
        <v>163</v>
      </c>
      <c r="F57" s="101"/>
      <c r="G57" s="77">
        <f>-I47</f>
        <v>-420</v>
      </c>
      <c r="H57" s="11"/>
      <c r="I57" s="73"/>
      <c r="J57" s="68"/>
      <c r="K57" s="100"/>
      <c r="L57" s="68"/>
      <c r="M57" s="77"/>
      <c r="N57" s="68"/>
    </row>
    <row r="58" spans="1:14">
      <c r="A58" s="102"/>
      <c r="B58" s="68"/>
      <c r="C58" s="73"/>
      <c r="D58" s="68"/>
      <c r="E58" s="103" t="s">
        <v>164</v>
      </c>
      <c r="F58" s="103"/>
      <c r="G58" s="104">
        <f>SUM(G53:G57)</f>
        <v>1151731.3500000001</v>
      </c>
      <c r="H58" s="11"/>
      <c r="I58" s="73"/>
      <c r="J58" s="68"/>
      <c r="K58" s="73"/>
      <c r="L58" s="73"/>
      <c r="M58" s="77"/>
      <c r="N58" s="68"/>
    </row>
    <row r="59" spans="1:14">
      <c r="A59" s="73"/>
      <c r="B59" s="68"/>
      <c r="C59" s="102"/>
      <c r="D59" s="68"/>
      <c r="E59" s="105"/>
      <c r="F59" s="105"/>
      <c r="G59" s="105"/>
      <c r="H59" s="105"/>
      <c r="I59" s="73"/>
      <c r="J59" s="68"/>
      <c r="K59" s="90"/>
      <c r="L59" s="68"/>
      <c r="M59" s="77"/>
      <c r="N59" s="68"/>
    </row>
  </sheetData>
  <mergeCells count="4">
    <mergeCell ref="E1:I1"/>
    <mergeCell ref="A2:C2"/>
    <mergeCell ref="L2:M2"/>
    <mergeCell ref="E52:H52"/>
  </mergeCells>
  <phoneticPr fontId="16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F17" sqref="F17"/>
    </sheetView>
  </sheetViews>
  <sheetFormatPr baseColWidth="10" defaultColWidth="8.83203125" defaultRowHeight="14" x14ac:dyDescent="0"/>
  <cols>
    <col min="1" max="1" width="24.33203125" bestFit="1" customWidth="1"/>
    <col min="4" max="4" width="9.6640625" bestFit="1" customWidth="1"/>
    <col min="6" max="7" width="10.6640625" bestFit="1" customWidth="1"/>
    <col min="12" max="12" width="11.5" bestFit="1" customWidth="1"/>
  </cols>
  <sheetData>
    <row r="1" spans="1:12" ht="71">
      <c r="A1" s="9"/>
      <c r="B1" s="10"/>
      <c r="C1" s="10"/>
      <c r="D1" s="214"/>
      <c r="E1" s="214"/>
      <c r="F1" s="214"/>
      <c r="G1" s="214"/>
      <c r="H1" s="214"/>
      <c r="I1" s="10"/>
      <c r="J1" s="11"/>
      <c r="K1" s="10"/>
      <c r="L1" s="10"/>
    </row>
    <row r="2" spans="1:12" ht="16">
      <c r="A2" s="12" t="s">
        <v>70</v>
      </c>
      <c r="B2" s="13"/>
      <c r="C2" s="13"/>
      <c r="D2" s="14"/>
      <c r="E2" s="11"/>
      <c r="F2" s="15"/>
      <c r="G2" s="15"/>
      <c r="H2" s="16"/>
      <c r="I2" s="10"/>
      <c r="J2" s="215">
        <f>Date</f>
        <v>42674</v>
      </c>
      <c r="K2" s="215"/>
      <c r="L2" s="215"/>
    </row>
    <row r="3" spans="1:12">
      <c r="A3" s="216" t="s">
        <v>71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</row>
    <row r="4" spans="1:12">
      <c r="A4" s="17"/>
      <c r="B4" s="18" t="s">
        <v>72</v>
      </c>
      <c r="C4" s="19"/>
      <c r="D4" s="19" t="s">
        <v>73</v>
      </c>
      <c r="E4" s="19" t="s">
        <v>74</v>
      </c>
      <c r="F4" s="18" t="s">
        <v>75</v>
      </c>
      <c r="G4" s="18" t="s">
        <v>76</v>
      </c>
      <c r="H4" s="20" t="s">
        <v>77</v>
      </c>
      <c r="I4" s="18"/>
      <c r="J4" s="21" t="s">
        <v>78</v>
      </c>
      <c r="K4" s="18"/>
      <c r="L4" s="18" t="s">
        <v>79</v>
      </c>
    </row>
    <row r="5" spans="1:12">
      <c r="A5" s="22"/>
      <c r="B5" s="23">
        <v>3000</v>
      </c>
      <c r="C5" s="17"/>
      <c r="D5" s="24" t="str">
        <f>IF(E5="","",PROPER(VLOOKUP(E5,Data!A$3:B$26,2,FALSE)))</f>
        <v>Ford Motor Co.</v>
      </c>
      <c r="E5" s="25" t="s">
        <v>84</v>
      </c>
      <c r="F5" s="26">
        <v>42668</v>
      </c>
      <c r="G5" s="26">
        <v>42705</v>
      </c>
      <c r="H5" s="47">
        <v>0.15</v>
      </c>
      <c r="I5" s="27" t="str">
        <f t="shared" ref="I5:I14" si="0">IF(F5&lt;=$J$2,"","INVALID DIVIDEND")</f>
        <v/>
      </c>
      <c r="J5" s="28">
        <f>IF(E5="","",IF($G5&gt;$J$2,$B5*$H5,0))</f>
        <v>450</v>
      </c>
      <c r="K5" s="17"/>
      <c r="L5" s="28">
        <f>IF(E5="","",IF($G5&lt;=$J$2,$B5*$H5,0))</f>
        <v>0</v>
      </c>
    </row>
    <row r="6" spans="1:12" ht="15.5" customHeight="1">
      <c r="A6" s="17"/>
      <c r="B6" s="23">
        <v>1000</v>
      </c>
      <c r="C6" s="17"/>
      <c r="D6" s="24" t="str">
        <f>IF(E6="","",PROPER(VLOOKUP(E6,Data!A$3:B$26,2,FALSE)))</f>
        <v>General Electric Co</v>
      </c>
      <c r="E6" s="25" t="s">
        <v>85</v>
      </c>
      <c r="F6" s="26">
        <v>42628</v>
      </c>
      <c r="G6" s="26">
        <v>42668</v>
      </c>
      <c r="H6" s="48">
        <v>0.23</v>
      </c>
      <c r="I6" s="27" t="str">
        <f t="shared" si="0"/>
        <v/>
      </c>
      <c r="J6" s="28">
        <f t="shared" ref="J6:J14" si="1">IF(E6="","",IF($G6&gt;$J$2,$B6*$H6,0))</f>
        <v>0</v>
      </c>
      <c r="K6" s="17"/>
      <c r="L6" s="28">
        <f t="shared" ref="L6:L14" si="2">IF(E6="","",IF($G6&lt;=$J$2,$B6*$H6,0))</f>
        <v>230</v>
      </c>
    </row>
    <row r="7" spans="1:12">
      <c r="A7" s="17"/>
      <c r="B7" s="23">
        <v>-2000</v>
      </c>
      <c r="C7" s="17"/>
      <c r="D7" s="24" t="str">
        <f>IF(E7="","",PROPER(VLOOKUP(E7,Data!A$3:B$26,2,FALSE)))</f>
        <v>J P Morgan Chase &amp; Co</v>
      </c>
      <c r="E7" s="25" t="s">
        <v>86</v>
      </c>
      <c r="F7" s="26">
        <v>42647</v>
      </c>
      <c r="G7" s="26">
        <v>42674</v>
      </c>
      <c r="H7" s="48">
        <v>0.48</v>
      </c>
      <c r="I7" s="27" t="str">
        <f t="shared" si="0"/>
        <v/>
      </c>
      <c r="J7" s="28">
        <f t="shared" si="1"/>
        <v>0</v>
      </c>
      <c r="K7" s="17"/>
      <c r="L7" s="28">
        <f t="shared" si="2"/>
        <v>-960</v>
      </c>
    </row>
    <row r="8" spans="1:12">
      <c r="A8" s="17"/>
      <c r="B8" s="23"/>
      <c r="C8" s="17"/>
      <c r="D8" s="24" t="str">
        <f>IF(E8="","",PROPER(VLOOKUP(E8,Data!A$3:B$26,2,FALSE)))</f>
        <v/>
      </c>
      <c r="E8" s="25"/>
      <c r="F8" s="26"/>
      <c r="G8" s="29"/>
      <c r="H8" s="30"/>
      <c r="I8" s="27" t="str">
        <f t="shared" si="0"/>
        <v/>
      </c>
      <c r="J8" s="28" t="str">
        <f t="shared" si="1"/>
        <v/>
      </c>
      <c r="K8" s="17"/>
      <c r="L8" s="28" t="str">
        <f t="shared" si="2"/>
        <v/>
      </c>
    </row>
    <row r="9" spans="1:12">
      <c r="A9" s="17"/>
      <c r="B9" s="23"/>
      <c r="C9" s="31"/>
      <c r="D9" s="24" t="str">
        <f>IF(E9="","",PROPER(VLOOKUP(E9,Data!A$3:B$26,2,FALSE)))</f>
        <v/>
      </c>
      <c r="E9" s="25"/>
      <c r="F9" s="26"/>
      <c r="G9" s="29"/>
      <c r="H9" s="30"/>
      <c r="I9" s="27" t="str">
        <f t="shared" si="0"/>
        <v/>
      </c>
      <c r="J9" s="28" t="str">
        <f t="shared" si="1"/>
        <v/>
      </c>
      <c r="K9" s="17"/>
      <c r="L9" s="28" t="str">
        <f t="shared" si="2"/>
        <v/>
      </c>
    </row>
    <row r="10" spans="1:12">
      <c r="A10" s="17"/>
      <c r="B10" s="23"/>
      <c r="C10" s="31"/>
      <c r="D10" s="24" t="str">
        <f>IF(E10="","",PROPER(VLOOKUP(E10,Data!A$3:B$26,2,FALSE)))</f>
        <v/>
      </c>
      <c r="E10" s="25"/>
      <c r="F10" s="26"/>
      <c r="G10" s="29"/>
      <c r="H10" s="30"/>
      <c r="I10" s="27" t="str">
        <f t="shared" si="0"/>
        <v/>
      </c>
      <c r="J10" s="28" t="str">
        <f t="shared" si="1"/>
        <v/>
      </c>
      <c r="K10" s="17"/>
      <c r="L10" s="28" t="str">
        <f t="shared" si="2"/>
        <v/>
      </c>
    </row>
    <row r="11" spans="1:12">
      <c r="A11" s="17"/>
      <c r="B11" s="23"/>
      <c r="C11" s="31"/>
      <c r="D11" s="24" t="str">
        <f>IF(E11="","",PROPER(VLOOKUP(E11,Data!A$3:B$26,2,FALSE)))</f>
        <v/>
      </c>
      <c r="E11" s="32"/>
      <c r="F11" s="26"/>
      <c r="G11" s="29"/>
      <c r="H11" s="30"/>
      <c r="I11" s="27" t="str">
        <f t="shared" si="0"/>
        <v/>
      </c>
      <c r="J11" s="28" t="str">
        <f t="shared" si="1"/>
        <v/>
      </c>
      <c r="K11" s="17"/>
      <c r="L11" s="28" t="str">
        <f t="shared" si="2"/>
        <v/>
      </c>
    </row>
    <row r="12" spans="1:12">
      <c r="A12" s="17"/>
      <c r="B12" s="23"/>
      <c r="C12" s="31"/>
      <c r="D12" s="24" t="str">
        <f>IF(E12="","",PROPER(VLOOKUP(E12,Data!A$3:B$26,2,FALSE)))</f>
        <v/>
      </c>
      <c r="E12" s="32"/>
      <c r="F12" s="26"/>
      <c r="G12" s="29"/>
      <c r="H12" s="30"/>
      <c r="I12" s="27" t="str">
        <f t="shared" si="0"/>
        <v/>
      </c>
      <c r="J12" s="28" t="str">
        <f t="shared" si="1"/>
        <v/>
      </c>
      <c r="K12" s="17"/>
      <c r="L12" s="28" t="str">
        <f t="shared" si="2"/>
        <v/>
      </c>
    </row>
    <row r="13" spans="1:12">
      <c r="A13" s="17"/>
      <c r="B13" s="33" t="s">
        <v>68</v>
      </c>
      <c r="C13" s="31"/>
      <c r="D13" s="24" t="str">
        <f>IF(E13="","",PROPER(VLOOKUP(E13,Data!A$3:B$26,2,FALSE)))</f>
        <v/>
      </c>
      <c r="E13" s="32"/>
      <c r="F13" s="26"/>
      <c r="G13" s="29"/>
      <c r="H13" s="30"/>
      <c r="I13" s="27" t="str">
        <f t="shared" si="0"/>
        <v/>
      </c>
      <c r="J13" s="28" t="str">
        <f t="shared" si="1"/>
        <v/>
      </c>
      <c r="K13" s="17"/>
      <c r="L13" s="28" t="str">
        <f t="shared" si="2"/>
        <v/>
      </c>
    </row>
    <row r="14" spans="1:12">
      <c r="A14" s="17"/>
      <c r="B14" s="23"/>
      <c r="C14" s="31"/>
      <c r="D14" s="24" t="str">
        <f>IF(E14="","",PROPER(VLOOKUP(E14,Data!A$3:B$26,2,FALSE)))</f>
        <v/>
      </c>
      <c r="E14" s="17"/>
      <c r="F14" s="26"/>
      <c r="G14" s="34"/>
      <c r="H14" s="35"/>
      <c r="I14" s="27" t="str">
        <f t="shared" si="0"/>
        <v/>
      </c>
      <c r="J14" s="28" t="str">
        <f t="shared" si="1"/>
        <v/>
      </c>
      <c r="K14" s="17"/>
      <c r="L14" s="28" t="str">
        <f t="shared" si="2"/>
        <v/>
      </c>
    </row>
    <row r="15" spans="1:12" ht="15" thickBot="1">
      <c r="A15" s="17"/>
      <c r="B15" s="23"/>
      <c r="C15" s="17"/>
      <c r="D15" s="24" t="str">
        <f>IF(E15="","",PROPER(VLOOKUP(E15,Data!A$3:B$26,2,FALSE)))</f>
        <v/>
      </c>
      <c r="E15" s="17"/>
      <c r="F15" s="26"/>
      <c r="G15" s="36"/>
      <c r="H15" s="35"/>
      <c r="I15" s="17"/>
      <c r="J15" s="28" t="str">
        <f>IF(E15="","",IF($G15&lt;$J$2,$B15*$H15,0))</f>
        <v/>
      </c>
      <c r="K15" s="17"/>
      <c r="L15" s="28" t="str">
        <f>IF(E15="","",IF($G15&gt;=$J$2,$B15*$H15,0))</f>
        <v/>
      </c>
    </row>
    <row r="16" spans="1:12" ht="15" thickTop="1">
      <c r="A16" s="17"/>
      <c r="B16" s="24"/>
      <c r="C16" s="24"/>
      <c r="D16" s="24" t="str">
        <f>IF(E16="","",PROPER(VLOOKUP(E16,Data!A$3:B$26,2,FALSE)))</f>
        <v/>
      </c>
      <c r="E16" s="17"/>
      <c r="F16" s="17"/>
      <c r="G16" s="17"/>
      <c r="H16" s="35"/>
      <c r="I16" s="17"/>
      <c r="J16" s="38">
        <f>SUM(J5:J15)</f>
        <v>450</v>
      </c>
      <c r="K16" s="38"/>
      <c r="L16" s="38">
        <f>SUM(L5:L15)</f>
        <v>-730</v>
      </c>
    </row>
    <row r="17" spans="1:12">
      <c r="A17" s="17"/>
      <c r="B17" s="24"/>
      <c r="C17" s="24"/>
      <c r="D17" s="24" t="str">
        <f>IF(E17="","",PROPER(VLOOKUP(E17,Data!A$3:B$26,2,FALSE)))</f>
        <v/>
      </c>
      <c r="E17" s="17"/>
      <c r="F17" s="17"/>
      <c r="G17" s="17"/>
      <c r="H17" s="35"/>
      <c r="I17" s="17"/>
      <c r="J17" s="39"/>
      <c r="K17" s="39"/>
      <c r="L17" s="39"/>
    </row>
    <row r="18" spans="1:12">
      <c r="A18" s="216" t="s">
        <v>80</v>
      </c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</row>
    <row r="19" spans="1:12">
      <c r="A19" s="17"/>
      <c r="B19" s="24"/>
      <c r="C19" s="24"/>
      <c r="D19" s="40" t="s">
        <v>81</v>
      </c>
      <c r="E19" s="17"/>
      <c r="F19" s="17"/>
      <c r="G19" s="17"/>
      <c r="H19" s="40" t="s">
        <v>82</v>
      </c>
      <c r="I19" s="17"/>
      <c r="J19" s="41" t="str">
        <f>J4</f>
        <v>Accrued</v>
      </c>
      <c r="K19" s="19"/>
      <c r="L19" s="42" t="str">
        <f>L4</f>
        <v>Received</v>
      </c>
    </row>
    <row r="20" spans="1:12">
      <c r="A20" s="43" t="s">
        <v>148</v>
      </c>
      <c r="B20" s="24"/>
      <c r="C20" s="24"/>
      <c r="D20" s="43">
        <v>42643</v>
      </c>
      <c r="E20" s="17"/>
      <c r="F20" s="17"/>
      <c r="G20" s="17"/>
      <c r="H20" s="44">
        <v>2.5000000000000001E-3</v>
      </c>
      <c r="I20" s="17"/>
      <c r="J20" s="17"/>
      <c r="K20" s="17"/>
      <c r="L20" s="45">
        <v>1353.58</v>
      </c>
    </row>
    <row r="21" spans="1:12">
      <c r="A21" s="43" t="s">
        <v>148</v>
      </c>
      <c r="B21" s="24"/>
      <c r="C21" s="24"/>
      <c r="D21" s="43">
        <v>42674</v>
      </c>
      <c r="E21" s="17"/>
      <c r="F21" s="17"/>
      <c r="G21" s="17"/>
      <c r="H21" s="44">
        <v>2.5000000000000001E-3</v>
      </c>
      <c r="I21" s="17"/>
      <c r="J21" s="17"/>
      <c r="K21" s="17"/>
      <c r="L21" s="45">
        <v>584.41</v>
      </c>
    </row>
    <row r="22" spans="1:12">
      <c r="A22" s="43" t="s">
        <v>150</v>
      </c>
      <c r="B22" s="24"/>
      <c r="C22" s="24"/>
      <c r="D22" s="43">
        <v>42674</v>
      </c>
      <c r="E22" s="17"/>
      <c r="F22" s="17"/>
      <c r="G22" s="17"/>
      <c r="H22" s="44">
        <v>2.2499999999999999E-2</v>
      </c>
      <c r="I22" s="17"/>
      <c r="J22" s="17"/>
      <c r="K22" s="17"/>
      <c r="L22" s="45">
        <v>-1938.03</v>
      </c>
    </row>
    <row r="23" spans="1:12" ht="15" thickBot="1">
      <c r="A23" s="43" t="s">
        <v>203</v>
      </c>
      <c r="B23" s="24"/>
      <c r="C23" s="24"/>
      <c r="D23" s="43">
        <v>42674</v>
      </c>
      <c r="E23" s="17"/>
      <c r="F23" s="17"/>
      <c r="G23" s="17"/>
      <c r="H23" s="44"/>
      <c r="I23" s="17"/>
      <c r="J23" s="17"/>
      <c r="K23" s="17"/>
      <c r="L23" s="45">
        <v>-2403.61</v>
      </c>
    </row>
    <row r="24" spans="1:12" ht="15" thickTop="1">
      <c r="A24" s="24"/>
      <c r="B24" s="17"/>
      <c r="C24" s="17"/>
      <c r="D24" s="43"/>
      <c r="E24" s="17"/>
      <c r="F24" s="17"/>
      <c r="G24" s="17"/>
      <c r="H24" s="35"/>
      <c r="I24" s="17"/>
      <c r="J24" s="46"/>
      <c r="K24" s="17"/>
      <c r="L24" s="38">
        <f>SUM(L20:L23)</f>
        <v>-2403.6500000000005</v>
      </c>
    </row>
    <row r="25" spans="1:12">
      <c r="A25" s="17"/>
      <c r="B25" s="24"/>
      <c r="C25" s="24"/>
      <c r="D25" s="37"/>
      <c r="E25" s="17"/>
      <c r="F25" s="17"/>
      <c r="G25" s="17"/>
      <c r="H25" s="35"/>
      <c r="I25" s="17"/>
      <c r="J25" s="46"/>
      <c r="K25" s="17"/>
      <c r="L25" s="39"/>
    </row>
    <row r="26" spans="1:12">
      <c r="A26" s="216" t="s">
        <v>83</v>
      </c>
      <c r="B26" s="216"/>
      <c r="C26" s="216"/>
      <c r="D26" s="216"/>
      <c r="E26" s="216"/>
      <c r="F26" s="216"/>
      <c r="G26" s="216"/>
      <c r="H26" s="216"/>
      <c r="I26" s="216"/>
      <c r="J26" s="216"/>
      <c r="K26" s="216"/>
      <c r="L26" s="216"/>
    </row>
    <row r="27" spans="1:12" ht="15" thickBo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5" thickTop="1">
      <c r="A28" s="17"/>
      <c r="B28" s="17"/>
      <c r="C28" s="17"/>
      <c r="D28" s="17"/>
      <c r="E28" s="17"/>
      <c r="F28" s="17"/>
      <c r="G28" s="17"/>
      <c r="H28" s="35"/>
      <c r="I28" s="17"/>
      <c r="J28" s="38">
        <f>J16</f>
        <v>450</v>
      </c>
      <c r="K28" s="17"/>
      <c r="L28" s="38">
        <f>L24+L16</f>
        <v>-3133.6500000000005</v>
      </c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</sheetData>
  <mergeCells count="5">
    <mergeCell ref="D1:H1"/>
    <mergeCell ref="J2:L2"/>
    <mergeCell ref="A3:L3"/>
    <mergeCell ref="A18:L18"/>
    <mergeCell ref="A26:L26"/>
  </mergeCells>
  <phoneticPr fontId="16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25" zoomScaleNormal="125" zoomScalePageLayoutView="125" workbookViewId="0">
      <selection activeCell="I23" sqref="I23"/>
    </sheetView>
  </sheetViews>
  <sheetFormatPr baseColWidth="10" defaultColWidth="8.83203125" defaultRowHeight="14" x14ac:dyDescent="0"/>
  <cols>
    <col min="1" max="1" width="24.33203125" bestFit="1" customWidth="1"/>
    <col min="2" max="2" width="14.1640625" bestFit="1" customWidth="1"/>
    <col min="3" max="3" width="13.5" bestFit="1" customWidth="1"/>
    <col min="4" max="4" width="4.1640625" bestFit="1" customWidth="1"/>
    <col min="5" max="5" width="13.5" bestFit="1" customWidth="1"/>
  </cols>
  <sheetData>
    <row r="1" spans="1:5" ht="24" thickBot="1">
      <c r="A1" s="217" t="str">
        <f>[3]Title!B2</f>
        <v>Survival</v>
      </c>
      <c r="B1" s="218"/>
      <c r="C1" s="218"/>
      <c r="D1" s="218"/>
      <c r="E1" s="219"/>
    </row>
    <row r="2" spans="1:5" ht="15" thickBot="1">
      <c r="A2" s="106"/>
      <c r="B2" s="220" t="s">
        <v>165</v>
      </c>
      <c r="C2" s="220"/>
      <c r="D2" s="220"/>
      <c r="E2" s="221"/>
    </row>
    <row r="3" spans="1:5" ht="15" thickBot="1">
      <c r="A3" s="107" t="s">
        <v>166</v>
      </c>
      <c r="B3" s="108" t="s">
        <v>167</v>
      </c>
      <c r="C3" s="108" t="s">
        <v>168</v>
      </c>
      <c r="D3" s="109"/>
      <c r="E3" s="110" t="s">
        <v>169</v>
      </c>
    </row>
    <row r="4" spans="1:5">
      <c r="A4" s="111" t="s">
        <v>158</v>
      </c>
      <c r="B4" s="112">
        <f>Transaction!G58</f>
        <v>1151731.3500000001</v>
      </c>
      <c r="C4" s="113">
        <f>'Managed UISES'!H27</f>
        <v>1151731.3500000001</v>
      </c>
      <c r="D4" s="114" t="str">
        <f>IF(ROUND(B4,2)=ROUND(C4,2),"R","T")</f>
        <v>R</v>
      </c>
      <c r="E4" s="115" t="str">
        <f>IF(ROUND(B4,2)=ROUND(C4,2),"Balance",B4-C4)</f>
        <v>Balance</v>
      </c>
    </row>
    <row r="5" spans="1:5">
      <c r="A5" s="111" t="s">
        <v>170</v>
      </c>
      <c r="B5" s="112">
        <f>Transaction!L47</f>
        <v>2559703.33</v>
      </c>
      <c r="C5" s="116">
        <f>'Managed UISES'!H26</f>
        <v>2559703.33</v>
      </c>
      <c r="D5" s="114" t="str">
        <f>IF(ROUND(B5,2)=ROUND(C5,2),"R","T")</f>
        <v>R</v>
      </c>
      <c r="E5" s="115" t="str">
        <f>IF(ROUND(B5,2)=ROUND(C5,2),"Balance",B5-C5)</f>
        <v>Balance</v>
      </c>
    </row>
    <row r="6" spans="1:5">
      <c r="A6" s="111" t="s">
        <v>171</v>
      </c>
      <c r="B6" s="112">
        <f>Stewardship!E30</f>
        <v>3711434.68</v>
      </c>
      <c r="C6" s="116">
        <f>'Managed UISES'!H28</f>
        <v>3711434.68</v>
      </c>
      <c r="D6" s="114" t="str">
        <f>IF(ROUND(B6,2)=ROUND(C6,2),"R","T")</f>
        <v>R</v>
      </c>
      <c r="E6" s="115" t="str">
        <f>IF(ROUND(B6,2)=ROUND(C6,2),"Balance",B6-C6)</f>
        <v>Balance</v>
      </c>
    </row>
    <row r="7" spans="1:5" ht="17" thickBot="1">
      <c r="A7" s="117"/>
      <c r="B7" s="112"/>
      <c r="C7" s="112"/>
      <c r="D7" s="118"/>
      <c r="E7" s="119"/>
    </row>
    <row r="8" spans="1:5" ht="17" thickBot="1">
      <c r="A8" s="107" t="s">
        <v>172</v>
      </c>
      <c r="B8" s="108" t="s">
        <v>167</v>
      </c>
      <c r="C8" s="108" t="s">
        <v>168</v>
      </c>
      <c r="D8" s="120"/>
      <c r="E8" s="110" t="s">
        <v>169</v>
      </c>
    </row>
    <row r="9" spans="1:5">
      <c r="A9" s="111" t="str">
        <f>A4</f>
        <v>Cash Balance</v>
      </c>
      <c r="B9" s="112">
        <f>Stewardship!J26</f>
        <v>1151731.3500000001</v>
      </c>
      <c r="C9" s="113">
        <f>'Managed UISES'!I27</f>
        <v>1151731.3500000001</v>
      </c>
      <c r="D9" s="114" t="str">
        <f>IF(ROUND(B9,2)=ROUND(C9,2),"R","T")</f>
        <v>R</v>
      </c>
      <c r="E9" s="115" t="str">
        <f>IF(ROUND(B9,2)=ROUND(C9,2),"Balance",B9-C9)</f>
        <v>Balance</v>
      </c>
    </row>
    <row r="10" spans="1:5">
      <c r="A10" s="111" t="s">
        <v>173</v>
      </c>
      <c r="B10" s="112">
        <f>Stewardship!J23</f>
        <v>2478850</v>
      </c>
      <c r="C10" s="113">
        <f>'Managed UISES'!I26</f>
        <v>2478850</v>
      </c>
      <c r="D10" s="114" t="str">
        <f>IF(ROUND(B10,2)=ROUND(C10,2),"R","T")</f>
        <v>R</v>
      </c>
      <c r="E10" s="115" t="str">
        <f>IF(ROUND(B10,2)=ROUND(C10,2),"Balance",B10-C10)</f>
        <v>Balance</v>
      </c>
    </row>
    <row r="11" spans="1:5">
      <c r="A11" s="111" t="s">
        <v>174</v>
      </c>
      <c r="B11" s="112">
        <f>Stewardship!J30</f>
        <v>3631031.35</v>
      </c>
      <c r="C11" s="113">
        <f>'Managed UISES'!I28</f>
        <v>3630581.35</v>
      </c>
      <c r="D11" s="114"/>
      <c r="E11" s="115"/>
    </row>
    <row r="12" spans="1:5">
      <c r="A12" s="111"/>
      <c r="B12" s="112"/>
      <c r="C12" s="112"/>
      <c r="D12" s="121"/>
      <c r="E12" s="115"/>
    </row>
    <row r="13" spans="1:5">
      <c r="A13" s="122" t="s">
        <v>175</v>
      </c>
      <c r="B13" s="112"/>
      <c r="C13" s="112">
        <f>Income!J28</f>
        <v>450</v>
      </c>
      <c r="D13" s="121"/>
      <c r="E13" s="115"/>
    </row>
    <row r="14" spans="1:5">
      <c r="A14" s="111"/>
      <c r="B14" s="112"/>
      <c r="C14" s="123">
        <f>C13+C11</f>
        <v>3631031.35</v>
      </c>
      <c r="D14" s="121" t="str">
        <f>IF(ROUND(B11,2)=ROUND(C14,2),"R","T")</f>
        <v>R</v>
      </c>
      <c r="E14" s="115" t="str">
        <f>IF(ROUND(B11,2)=ROUND(C14,2),"Reconciled",B11-C14)</f>
        <v>Reconciled</v>
      </c>
    </row>
    <row r="15" spans="1:5" ht="17" thickBot="1">
      <c r="A15" s="124"/>
      <c r="B15" s="125"/>
      <c r="C15" s="125"/>
      <c r="D15" s="126"/>
      <c r="E15" s="127"/>
    </row>
    <row r="16" spans="1:5" ht="16">
      <c r="A16" s="128"/>
      <c r="B16" s="129"/>
      <c r="C16" s="130"/>
      <c r="D16" s="131"/>
      <c r="E16" s="132"/>
    </row>
    <row r="17" spans="1:5" ht="16">
      <c r="A17" s="133" t="s">
        <v>176</v>
      </c>
      <c r="B17" s="129"/>
      <c r="C17" s="130"/>
      <c r="D17" s="131"/>
      <c r="E17" s="132"/>
    </row>
    <row r="18" spans="1:5" ht="16">
      <c r="A18" s="128"/>
      <c r="B18" s="129"/>
      <c r="C18" s="130"/>
      <c r="D18" s="131"/>
      <c r="E18" s="132"/>
    </row>
    <row r="19" spans="1:5" ht="15">
      <c r="A19" s="134" t="s">
        <v>177</v>
      </c>
      <c r="B19" s="135"/>
      <c r="C19" s="135"/>
      <c r="D19" s="136"/>
      <c r="E19" s="135"/>
    </row>
    <row r="20" spans="1:5" ht="15">
      <c r="A20" s="134"/>
      <c r="B20" s="137"/>
      <c r="C20" s="137"/>
      <c r="D20" s="138"/>
      <c r="E20" s="137"/>
    </row>
    <row r="21" spans="1:5" ht="15">
      <c r="A21" s="134"/>
      <c r="B21" s="135"/>
      <c r="C21" s="135"/>
      <c r="D21" s="136"/>
      <c r="E21" s="135"/>
    </row>
    <row r="22" spans="1:5" ht="15">
      <c r="A22" s="134"/>
      <c r="B22" s="139"/>
      <c r="C22" s="139"/>
      <c r="D22" s="140"/>
      <c r="E22" s="139"/>
    </row>
    <row r="23" spans="1:5" ht="15">
      <c r="A23" s="134" t="s">
        <v>178</v>
      </c>
      <c r="B23" s="135"/>
      <c r="C23" s="135"/>
      <c r="D23" s="136"/>
      <c r="E23" s="135"/>
    </row>
    <row r="24" spans="1:5" ht="15">
      <c r="A24" s="134"/>
      <c r="B24" s="139"/>
      <c r="C24" s="139"/>
      <c r="D24" s="140"/>
      <c r="E24" s="139"/>
    </row>
    <row r="25" spans="1:5" ht="15">
      <c r="A25" s="134" t="s">
        <v>179</v>
      </c>
      <c r="B25" s="135"/>
      <c r="C25" s="135"/>
      <c r="D25" s="136"/>
      <c r="E25" s="135"/>
    </row>
    <row r="26" spans="1:5" ht="15">
      <c r="A26" s="139"/>
      <c r="B26" s="139"/>
      <c r="C26" s="139"/>
      <c r="D26" s="140"/>
      <c r="E26" s="139"/>
    </row>
    <row r="27" spans="1:5" ht="15">
      <c r="A27" s="134" t="s">
        <v>180</v>
      </c>
      <c r="B27" s="135"/>
      <c r="C27" s="135"/>
      <c r="D27" s="136"/>
      <c r="E27" s="135"/>
    </row>
    <row r="28" spans="1:5" ht="15">
      <c r="A28" s="139"/>
      <c r="B28" s="139"/>
      <c r="C28" s="139"/>
      <c r="D28" s="140"/>
      <c r="E28" s="139"/>
    </row>
    <row r="29" spans="1:5" ht="15">
      <c r="A29" s="139"/>
      <c r="B29" s="139"/>
      <c r="C29" s="139"/>
      <c r="D29" s="140"/>
      <c r="E29" s="139"/>
    </row>
  </sheetData>
  <mergeCells count="2">
    <mergeCell ref="A1:E1"/>
    <mergeCell ref="B2:E2"/>
  </mergeCells>
  <phoneticPr fontId="1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D4" sqref="D4"/>
    </sheetView>
  </sheetViews>
  <sheetFormatPr baseColWidth="10" defaultColWidth="9.1640625" defaultRowHeight="14" x14ac:dyDescent="0"/>
  <cols>
    <col min="1" max="1" width="11" style="8" customWidth="1"/>
    <col min="2" max="2" width="23.1640625" style="3" customWidth="1"/>
    <col min="3" max="3" width="9.6640625" style="3" customWidth="1"/>
    <col min="4" max="4" width="10.6640625" style="7" customWidth="1"/>
    <col min="5" max="6" width="9.6640625" style="3" customWidth="1"/>
    <col min="7" max="7" width="10.6640625" style="3" customWidth="1"/>
    <col min="8" max="8" width="15.83203125" style="3" customWidth="1"/>
    <col min="9" max="9" width="3" style="3" customWidth="1"/>
    <col min="10" max="10" width="8.5" customWidth="1"/>
    <col min="11" max="11" width="8.6640625" customWidth="1"/>
    <col min="12" max="12" width="10.83203125" customWidth="1"/>
    <col min="13" max="13" width="8.5" customWidth="1"/>
    <col min="14" max="14" width="11.5" customWidth="1"/>
    <col min="15" max="16384" width="9.1640625" style="3"/>
  </cols>
  <sheetData>
    <row r="1" spans="1:19" s="1" customFormat="1">
      <c r="A1" s="222"/>
      <c r="B1" s="223" t="s">
        <v>0</v>
      </c>
      <c r="C1" s="224" t="s">
        <v>1</v>
      </c>
      <c r="D1" s="225" t="s">
        <v>2</v>
      </c>
      <c r="E1" s="226" t="s">
        <v>3</v>
      </c>
      <c r="F1" s="227"/>
      <c r="G1" s="227"/>
      <c r="H1" s="228" t="s">
        <v>4</v>
      </c>
      <c r="I1" s="228"/>
      <c r="J1" s="229" t="s">
        <v>5</v>
      </c>
      <c r="K1" s="229"/>
      <c r="L1" s="229"/>
      <c r="M1" s="229"/>
      <c r="N1" s="229"/>
      <c r="O1" s="230"/>
    </row>
    <row r="2" spans="1:19" s="1" customFormat="1" ht="25" thickBot="1">
      <c r="A2" s="231"/>
      <c r="B2" s="232" t="s">
        <v>6</v>
      </c>
      <c r="C2" s="233"/>
      <c r="D2" s="234" t="s">
        <v>7</v>
      </c>
      <c r="E2" s="235" t="s">
        <v>8</v>
      </c>
      <c r="F2" s="236" t="s">
        <v>9</v>
      </c>
      <c r="G2" s="236" t="s">
        <v>10</v>
      </c>
      <c r="H2" s="237" t="s">
        <v>11</v>
      </c>
      <c r="I2" s="237"/>
      <c r="J2" s="238" t="s">
        <v>12</v>
      </c>
      <c r="K2" s="238" t="s">
        <v>13</v>
      </c>
      <c r="L2" s="238" t="s">
        <v>14</v>
      </c>
      <c r="M2" s="238" t="s">
        <v>15</v>
      </c>
      <c r="N2" s="238" t="s">
        <v>16</v>
      </c>
      <c r="O2" s="230"/>
    </row>
    <row r="3" spans="1:19" customFormat="1" ht="15" customHeight="1">
      <c r="A3" s="239" t="s">
        <v>17</v>
      </c>
      <c r="B3" s="240" t="s">
        <v>18</v>
      </c>
      <c r="C3" s="240" t="s">
        <v>19</v>
      </c>
      <c r="D3" s="241">
        <v>34</v>
      </c>
      <c r="E3" s="242"/>
      <c r="F3" s="242"/>
      <c r="G3" s="243"/>
      <c r="H3" s="244">
        <v>42620.666666666664</v>
      </c>
      <c r="I3" s="245" t="str">
        <f>IF(AND(E3&gt;H3,E3&lt;=Date),"IN","")</f>
        <v/>
      </c>
      <c r="J3" s="246" t="s">
        <v>20</v>
      </c>
      <c r="K3" s="247"/>
      <c r="L3" s="247"/>
      <c r="M3" s="247"/>
      <c r="N3" s="248"/>
      <c r="O3" s="249"/>
      <c r="R3" s="2"/>
    </row>
    <row r="4" spans="1:19" ht="12">
      <c r="A4" s="239" t="s">
        <v>21</v>
      </c>
      <c r="B4" s="240" t="s">
        <v>22</v>
      </c>
      <c r="C4" s="240" t="s">
        <v>23</v>
      </c>
      <c r="D4" s="240">
        <v>101.69</v>
      </c>
      <c r="E4" s="242"/>
      <c r="F4" s="242"/>
      <c r="G4" s="243"/>
      <c r="H4" s="244">
        <v>42620.666666666664</v>
      </c>
      <c r="I4" s="245" t="str">
        <f t="shared" ref="I4:I31" si="0">IF(AND(E4&gt;H4,E4&lt;=Date),"IN","")</f>
        <v/>
      </c>
      <c r="J4" s="246" t="s">
        <v>20</v>
      </c>
      <c r="K4" s="247"/>
      <c r="L4" s="247"/>
      <c r="M4" s="247"/>
      <c r="N4" s="248"/>
      <c r="O4" s="250"/>
      <c r="R4" s="2"/>
    </row>
    <row r="5" spans="1:19" ht="15" customHeight="1">
      <c r="A5" s="239" t="s">
        <v>24</v>
      </c>
      <c r="B5" s="240" t="s">
        <v>25</v>
      </c>
      <c r="C5" s="240" t="s">
        <v>19</v>
      </c>
      <c r="D5" s="240">
        <v>809.9</v>
      </c>
      <c r="E5" s="242"/>
      <c r="F5" s="242"/>
      <c r="G5" s="243"/>
      <c r="H5" s="244">
        <v>42636.666666666664</v>
      </c>
      <c r="I5" s="245" t="str">
        <f t="shared" si="0"/>
        <v/>
      </c>
      <c r="J5" s="246" t="s">
        <v>20</v>
      </c>
      <c r="K5" s="247"/>
      <c r="L5" s="247"/>
      <c r="M5" s="247"/>
      <c r="N5" s="248"/>
      <c r="O5" s="250"/>
      <c r="R5" s="2"/>
    </row>
    <row r="6" spans="1:19" ht="12">
      <c r="A6" s="239" t="s">
        <v>26</v>
      </c>
      <c r="B6" s="240" t="s">
        <v>27</v>
      </c>
      <c r="C6" s="240" t="s">
        <v>19</v>
      </c>
      <c r="D6" s="240">
        <v>789.82</v>
      </c>
      <c r="E6" s="242"/>
      <c r="F6" s="242"/>
      <c r="G6" s="243"/>
      <c r="H6" s="244">
        <v>42625.666666666664</v>
      </c>
      <c r="I6" s="245" t="str">
        <f t="shared" si="0"/>
        <v/>
      </c>
      <c r="J6" s="246" t="s">
        <v>20</v>
      </c>
      <c r="K6" s="247"/>
      <c r="L6" s="247"/>
      <c r="M6" s="247"/>
      <c r="N6" s="248"/>
      <c r="O6" s="250"/>
      <c r="R6" s="2"/>
    </row>
    <row r="7" spans="1:19" ht="12">
      <c r="A7" s="239" t="s">
        <v>28</v>
      </c>
      <c r="B7" s="240" t="s">
        <v>29</v>
      </c>
      <c r="C7" s="240" t="s">
        <v>23</v>
      </c>
      <c r="D7" s="240">
        <v>49.95</v>
      </c>
      <c r="E7" s="242"/>
      <c r="F7" s="251"/>
      <c r="G7" s="252"/>
      <c r="H7" s="244">
        <v>42640.666666666664</v>
      </c>
      <c r="I7" s="245" t="str">
        <f t="shared" si="0"/>
        <v/>
      </c>
      <c r="J7" s="246" t="s">
        <v>20</v>
      </c>
      <c r="K7" s="247"/>
      <c r="L7" s="247"/>
      <c r="M7" s="247"/>
      <c r="N7" s="248"/>
      <c r="O7" s="250"/>
      <c r="R7" s="2"/>
    </row>
    <row r="8" spans="1:19" ht="12">
      <c r="A8" s="239" t="s">
        <v>30</v>
      </c>
      <c r="B8" s="240" t="s">
        <v>31</v>
      </c>
      <c r="C8" s="240" t="s">
        <v>19</v>
      </c>
      <c r="D8" s="240">
        <v>113.54</v>
      </c>
      <c r="E8" s="242"/>
      <c r="F8" s="242"/>
      <c r="G8" s="252"/>
      <c r="H8" s="244">
        <v>42620.666666666664</v>
      </c>
      <c r="I8" s="245" t="str">
        <f t="shared" si="0"/>
        <v/>
      </c>
      <c r="J8" s="246" t="s">
        <v>20</v>
      </c>
      <c r="K8" s="247"/>
      <c r="L8" s="243"/>
      <c r="M8" s="247"/>
      <c r="N8" s="248"/>
      <c r="O8" s="250"/>
      <c r="R8" s="2"/>
    </row>
    <row r="9" spans="1:19" ht="12">
      <c r="A9" s="239" t="s">
        <v>32</v>
      </c>
      <c r="B9" s="240" t="s">
        <v>33</v>
      </c>
      <c r="C9" s="240" t="s">
        <v>23</v>
      </c>
      <c r="D9" s="240">
        <v>16.5</v>
      </c>
      <c r="E9" s="242"/>
      <c r="F9" s="242"/>
      <c r="G9" s="252"/>
      <c r="H9" s="244">
        <v>42620.666666666664</v>
      </c>
      <c r="I9" s="245" t="str">
        <f t="shared" si="0"/>
        <v/>
      </c>
      <c r="J9" s="246" t="s">
        <v>20</v>
      </c>
      <c r="K9" s="247"/>
      <c r="L9" s="243"/>
      <c r="M9" s="247"/>
      <c r="N9" s="248"/>
      <c r="O9" s="250"/>
    </row>
    <row r="10" spans="1:19" ht="12">
      <c r="A10" s="239" t="s">
        <v>34</v>
      </c>
      <c r="B10" s="240" t="s">
        <v>35</v>
      </c>
      <c r="C10" s="240" t="s">
        <v>23</v>
      </c>
      <c r="D10" s="240">
        <v>9.2200000000000006</v>
      </c>
      <c r="E10" s="242"/>
      <c r="F10" s="242"/>
      <c r="G10" s="252"/>
      <c r="H10" s="244">
        <v>42621.666666666664</v>
      </c>
      <c r="I10" s="245" t="str">
        <f t="shared" si="0"/>
        <v/>
      </c>
      <c r="J10" s="246" t="s">
        <v>20</v>
      </c>
      <c r="K10" s="253"/>
      <c r="L10" s="243"/>
      <c r="M10" s="253"/>
      <c r="N10" s="253"/>
      <c r="O10" s="250"/>
    </row>
    <row r="11" spans="1:19" ht="12">
      <c r="A11" s="239" t="s">
        <v>36</v>
      </c>
      <c r="B11" s="240" t="s">
        <v>37</v>
      </c>
      <c r="C11" s="240" t="s">
        <v>23</v>
      </c>
      <c r="D11" s="240">
        <v>20.88</v>
      </c>
      <c r="E11" s="242"/>
      <c r="F11" s="242"/>
      <c r="G11" s="252"/>
      <c r="H11" s="244">
        <v>42627.666666666664</v>
      </c>
      <c r="I11" s="245" t="str">
        <f t="shared" si="0"/>
        <v/>
      </c>
      <c r="J11" s="246" t="s">
        <v>20</v>
      </c>
      <c r="K11" s="254"/>
      <c r="L11" s="243"/>
      <c r="M11" s="254"/>
      <c r="N11" s="254"/>
      <c r="O11" s="250"/>
    </row>
    <row r="12" spans="1:19" ht="12">
      <c r="A12" s="239" t="s">
        <v>38</v>
      </c>
      <c r="B12" s="240" t="s">
        <v>39</v>
      </c>
      <c r="C12" s="240" t="s">
        <v>23</v>
      </c>
      <c r="D12" s="240">
        <v>14.39</v>
      </c>
      <c r="E12" s="242"/>
      <c r="F12" s="242"/>
      <c r="G12" s="252"/>
      <c r="H12" s="244">
        <v>42643.666666666664</v>
      </c>
      <c r="I12" s="245" t="str">
        <f t="shared" si="0"/>
        <v/>
      </c>
      <c r="J12" s="246" t="s">
        <v>20</v>
      </c>
      <c r="K12" s="253"/>
      <c r="L12" s="243"/>
      <c r="M12" s="253"/>
      <c r="N12" s="253"/>
      <c r="O12" s="250"/>
    </row>
    <row r="13" spans="1:19">
      <c r="A13" s="239" t="s">
        <v>40</v>
      </c>
      <c r="B13" s="240" t="s">
        <v>41</v>
      </c>
      <c r="C13" s="240" t="s">
        <v>23</v>
      </c>
      <c r="D13" s="240">
        <v>80.02</v>
      </c>
      <c r="E13" s="242"/>
      <c r="F13" s="242"/>
      <c r="G13" s="252"/>
      <c r="H13" s="244">
        <v>42640.666666666664</v>
      </c>
      <c r="I13" s="245" t="str">
        <f t="shared" si="0"/>
        <v/>
      </c>
      <c r="J13" s="246" t="s">
        <v>20</v>
      </c>
      <c r="K13" s="253"/>
      <c r="L13" s="243"/>
      <c r="M13" s="253"/>
      <c r="N13" s="255"/>
      <c r="O13" s="256"/>
      <c r="P13" s="4"/>
      <c r="Q13" s="5"/>
      <c r="R13" s="4"/>
      <c r="S13" s="4"/>
    </row>
    <row r="14" spans="1:19">
      <c r="A14" s="239" t="s">
        <v>42</v>
      </c>
      <c r="B14" s="240" t="s">
        <v>43</v>
      </c>
      <c r="C14" s="240" t="s">
        <v>23</v>
      </c>
      <c r="D14" s="240">
        <v>83.32</v>
      </c>
      <c r="E14" s="242"/>
      <c r="F14" s="242"/>
      <c r="G14" s="252"/>
      <c r="H14" s="244">
        <v>42633.666666666664</v>
      </c>
      <c r="I14" s="245" t="str">
        <f t="shared" si="0"/>
        <v/>
      </c>
      <c r="J14" s="246" t="s">
        <v>20</v>
      </c>
      <c r="K14" s="253"/>
      <c r="L14" s="243"/>
      <c r="M14" s="253"/>
      <c r="N14" s="255"/>
      <c r="O14" s="256"/>
      <c r="P14" s="4"/>
      <c r="Q14" s="4"/>
      <c r="R14" s="4"/>
      <c r="S14" s="4"/>
    </row>
    <row r="15" spans="1:19">
      <c r="A15" s="239" t="s">
        <v>44</v>
      </c>
      <c r="B15" s="240" t="s">
        <v>45</v>
      </c>
      <c r="C15" s="240" t="s">
        <v>23</v>
      </c>
      <c r="D15" s="240">
        <v>11.74</v>
      </c>
      <c r="E15" s="242">
        <v>42668</v>
      </c>
      <c r="F15" s="242">
        <v>42705</v>
      </c>
      <c r="G15" s="252">
        <v>0.15</v>
      </c>
      <c r="H15" s="244">
        <v>42627.666666666664</v>
      </c>
      <c r="I15" s="245" t="str">
        <f t="shared" si="0"/>
        <v>IN</v>
      </c>
      <c r="J15" s="252">
        <v>0.15</v>
      </c>
      <c r="K15" s="242">
        <v>42656</v>
      </c>
      <c r="L15" s="242">
        <v>0.4</v>
      </c>
      <c r="M15" s="242">
        <v>42670</v>
      </c>
      <c r="N15" s="242">
        <v>42705</v>
      </c>
      <c r="O15" s="256"/>
      <c r="P15" s="4"/>
      <c r="Q15" s="5"/>
      <c r="R15" s="4"/>
      <c r="S15" s="4"/>
    </row>
    <row r="16" spans="1:19">
      <c r="A16" s="239" t="s">
        <v>46</v>
      </c>
      <c r="B16" s="240" t="s">
        <v>47</v>
      </c>
      <c r="C16" s="240" t="s">
        <v>23</v>
      </c>
      <c r="D16" s="240">
        <v>29.1</v>
      </c>
      <c r="E16" s="242">
        <v>42628</v>
      </c>
      <c r="F16" s="242">
        <v>42668</v>
      </c>
      <c r="G16" s="252">
        <v>0.23</v>
      </c>
      <c r="H16" s="244">
        <v>42625.666666666664</v>
      </c>
      <c r="I16" s="245" t="str">
        <f t="shared" si="0"/>
        <v>IN</v>
      </c>
      <c r="J16" s="252">
        <v>0.23</v>
      </c>
      <c r="K16" s="242">
        <v>42622</v>
      </c>
      <c r="L16" s="242">
        <v>42628</v>
      </c>
      <c r="M16" s="242">
        <v>42632</v>
      </c>
      <c r="N16" s="242">
        <v>42668</v>
      </c>
      <c r="O16" s="256"/>
      <c r="P16" s="4"/>
      <c r="Q16" s="5"/>
      <c r="R16" s="4"/>
      <c r="S16" s="4"/>
    </row>
    <row r="17" spans="1:19">
      <c r="A17" s="239" t="s">
        <v>48</v>
      </c>
      <c r="B17" s="240" t="s">
        <v>49</v>
      </c>
      <c r="C17" s="240" t="s">
        <v>19</v>
      </c>
      <c r="D17" s="240">
        <v>17.48</v>
      </c>
      <c r="E17" s="242"/>
      <c r="F17" s="242"/>
      <c r="G17" s="252"/>
      <c r="H17" s="244">
        <v>42625.666666666664</v>
      </c>
      <c r="I17" s="245" t="str">
        <f t="shared" si="0"/>
        <v/>
      </c>
      <c r="J17" s="246" t="s">
        <v>20</v>
      </c>
      <c r="K17" s="253"/>
      <c r="L17" s="243"/>
      <c r="M17" s="253"/>
      <c r="N17" s="255"/>
      <c r="O17" s="256"/>
      <c r="P17" s="4"/>
      <c r="Q17" s="5"/>
      <c r="R17" s="4"/>
      <c r="S17" s="4"/>
    </row>
    <row r="18" spans="1:19" ht="15" customHeight="1">
      <c r="A18" s="239" t="s">
        <v>50</v>
      </c>
      <c r="B18" s="240" t="s">
        <v>51</v>
      </c>
      <c r="C18" s="240" t="s">
        <v>23</v>
      </c>
      <c r="D18" s="240">
        <v>69.260000000000005</v>
      </c>
      <c r="E18" s="242">
        <v>42647</v>
      </c>
      <c r="F18" s="242">
        <v>42674</v>
      </c>
      <c r="G18" s="252">
        <v>0.48</v>
      </c>
      <c r="H18" s="244">
        <v>42620.666666666664</v>
      </c>
      <c r="I18" s="245" t="str">
        <f t="shared" si="0"/>
        <v>IN</v>
      </c>
      <c r="J18" s="252">
        <v>0.48</v>
      </c>
      <c r="K18" s="242">
        <v>42633</v>
      </c>
      <c r="L18" s="242">
        <v>42647</v>
      </c>
      <c r="M18" s="242">
        <v>42649</v>
      </c>
      <c r="N18" s="242">
        <v>42674</v>
      </c>
      <c r="O18" s="256"/>
      <c r="P18" s="4"/>
      <c r="Q18" s="5"/>
      <c r="R18" s="4"/>
      <c r="S18" s="4"/>
    </row>
    <row r="19" spans="1:19" ht="15" customHeight="1">
      <c r="A19" s="239" t="s">
        <v>52</v>
      </c>
      <c r="B19" s="240" t="s">
        <v>53</v>
      </c>
      <c r="C19" s="240" t="s">
        <v>23</v>
      </c>
      <c r="D19" s="240">
        <v>9.59</v>
      </c>
      <c r="E19" s="242"/>
      <c r="F19" s="242"/>
      <c r="G19" s="252"/>
      <c r="H19" s="244">
        <v>42625.666666666664</v>
      </c>
      <c r="I19" s="245" t="str">
        <f t="shared" si="0"/>
        <v/>
      </c>
      <c r="J19" s="246" t="s">
        <v>20</v>
      </c>
      <c r="K19" s="253"/>
      <c r="L19" s="243"/>
      <c r="M19" s="253"/>
      <c r="N19" s="255"/>
      <c r="O19" s="256"/>
      <c r="P19" s="4"/>
      <c r="Q19" s="5"/>
      <c r="R19" s="4"/>
      <c r="S19" s="4"/>
    </row>
    <row r="20" spans="1:19">
      <c r="A20" s="239" t="s">
        <v>54</v>
      </c>
      <c r="B20" s="240" t="s">
        <v>55</v>
      </c>
      <c r="C20" s="240" t="s">
        <v>23</v>
      </c>
      <c r="D20" s="240">
        <v>68.7</v>
      </c>
      <c r="E20" s="242">
        <v>42634</v>
      </c>
      <c r="F20" s="242">
        <v>42643</v>
      </c>
      <c r="G20" s="252">
        <v>0.3</v>
      </c>
      <c r="H20" s="244">
        <v>42639.666666666664</v>
      </c>
      <c r="I20" s="245" t="str">
        <f t="shared" si="0"/>
        <v/>
      </c>
      <c r="J20" s="246" t="s">
        <v>20</v>
      </c>
      <c r="K20" s="253"/>
      <c r="L20" s="243"/>
      <c r="M20" s="253"/>
      <c r="N20" s="255"/>
      <c r="O20" s="256"/>
      <c r="P20" s="4"/>
      <c r="Q20" s="5"/>
      <c r="R20" s="4"/>
      <c r="S20" s="4"/>
    </row>
    <row r="21" spans="1:19" ht="12">
      <c r="A21" s="239" t="s">
        <v>56</v>
      </c>
      <c r="B21" s="240" t="s">
        <v>57</v>
      </c>
      <c r="C21" s="240" t="s">
        <v>23</v>
      </c>
      <c r="D21" s="240">
        <v>50.18</v>
      </c>
      <c r="E21" s="242">
        <v>42614</v>
      </c>
      <c r="F21" s="242">
        <v>42646</v>
      </c>
      <c r="G21" s="252">
        <v>0.16</v>
      </c>
      <c r="H21" s="244">
        <v>42639.666666666664</v>
      </c>
      <c r="I21" s="245" t="str">
        <f t="shared" si="0"/>
        <v/>
      </c>
      <c r="J21" s="246" t="s">
        <v>20</v>
      </c>
      <c r="K21" s="253"/>
      <c r="L21" s="243"/>
      <c r="M21" s="253"/>
      <c r="N21" s="253"/>
      <c r="O21" s="250"/>
    </row>
    <row r="22" spans="1:19" ht="12">
      <c r="A22" s="239" t="s">
        <v>58</v>
      </c>
      <c r="B22" s="240" t="s">
        <v>59</v>
      </c>
      <c r="C22" s="240" t="s">
        <v>19</v>
      </c>
      <c r="D22" s="240">
        <v>29.4</v>
      </c>
      <c r="E22" s="242"/>
      <c r="F22" s="242"/>
      <c r="G22" s="243"/>
      <c r="H22" s="244">
        <v>42627.666666666664</v>
      </c>
      <c r="I22" s="245" t="str">
        <f t="shared" si="0"/>
        <v/>
      </c>
      <c r="J22" s="246" t="s">
        <v>20</v>
      </c>
      <c r="K22" s="253"/>
      <c r="L22" s="253"/>
      <c r="M22" s="253"/>
      <c r="N22" s="253"/>
      <c r="O22" s="250"/>
    </row>
    <row r="23" spans="1:19" ht="12">
      <c r="A23" s="239" t="s">
        <v>60</v>
      </c>
      <c r="B23" s="240" t="s">
        <v>61</v>
      </c>
      <c r="C23" s="240" t="s">
        <v>19</v>
      </c>
      <c r="D23" s="240">
        <v>4.09</v>
      </c>
      <c r="E23" s="242"/>
      <c r="F23" s="242"/>
      <c r="G23" s="243"/>
      <c r="H23" s="244">
        <v>42625.666666666664</v>
      </c>
      <c r="I23" s="245" t="str">
        <f t="shared" si="0"/>
        <v/>
      </c>
      <c r="J23" s="246" t="s">
        <v>20</v>
      </c>
      <c r="K23" s="253"/>
      <c r="L23" s="253"/>
      <c r="M23" s="253"/>
      <c r="N23" s="253"/>
      <c r="O23" s="250"/>
    </row>
    <row r="24" spans="1:19" ht="12">
      <c r="A24" s="239" t="s">
        <v>62</v>
      </c>
      <c r="B24" s="240" t="s">
        <v>63</v>
      </c>
      <c r="C24" s="240" t="s">
        <v>19</v>
      </c>
      <c r="D24" s="240">
        <v>53.07</v>
      </c>
      <c r="E24" s="247"/>
      <c r="F24" s="247"/>
      <c r="G24" s="243"/>
      <c r="H24" s="244">
        <v>42639.666666666664</v>
      </c>
      <c r="I24" s="245" t="str">
        <f t="shared" si="0"/>
        <v/>
      </c>
      <c r="J24" s="246" t="s">
        <v>20</v>
      </c>
      <c r="K24" s="253"/>
      <c r="L24" s="253"/>
      <c r="M24" s="253"/>
      <c r="N24" s="253"/>
      <c r="O24" s="250"/>
    </row>
    <row r="25" spans="1:19" ht="12">
      <c r="A25" s="239" t="s">
        <v>64</v>
      </c>
      <c r="B25" s="240" t="s">
        <v>65</v>
      </c>
      <c r="C25" s="240" t="s">
        <v>23</v>
      </c>
      <c r="D25" s="240">
        <v>46.01</v>
      </c>
      <c r="E25" s="242"/>
      <c r="F25" s="242"/>
      <c r="G25" s="257"/>
      <c r="H25" s="244">
        <v>42620.666666666664</v>
      </c>
      <c r="I25" s="245" t="str">
        <f t="shared" si="0"/>
        <v/>
      </c>
      <c r="J25" s="246" t="s">
        <v>20</v>
      </c>
      <c r="K25" s="253"/>
      <c r="L25" s="253"/>
      <c r="M25" s="253"/>
      <c r="N25" s="253"/>
      <c r="O25" s="250"/>
    </row>
    <row r="26" spans="1:19" ht="12">
      <c r="A26" s="239" t="s">
        <v>66</v>
      </c>
      <c r="B26" s="240" t="s">
        <v>67</v>
      </c>
      <c r="C26" s="240" t="s">
        <v>19</v>
      </c>
      <c r="D26" s="240">
        <v>41.55</v>
      </c>
      <c r="E26" s="242"/>
      <c r="F26" s="242"/>
      <c r="G26" s="243"/>
      <c r="H26" s="244">
        <v>42639.666666666664</v>
      </c>
      <c r="I26" s="245" t="str">
        <f t="shared" si="0"/>
        <v/>
      </c>
      <c r="J26" s="246" t="s">
        <v>20</v>
      </c>
      <c r="K26" s="253"/>
      <c r="L26" s="253"/>
      <c r="M26" s="253"/>
      <c r="N26" s="253"/>
      <c r="O26" s="250"/>
    </row>
    <row r="27" spans="1:19" ht="12">
      <c r="A27" s="258"/>
      <c r="B27" s="163"/>
      <c r="C27" s="163"/>
      <c r="D27" s="240"/>
      <c r="E27" s="242"/>
      <c r="F27" s="242"/>
      <c r="G27" s="243"/>
      <c r="H27" s="259"/>
      <c r="I27" s="245" t="str">
        <f t="shared" si="0"/>
        <v/>
      </c>
      <c r="J27" s="260"/>
      <c r="K27" s="253"/>
      <c r="L27" s="253"/>
      <c r="M27" s="253"/>
      <c r="N27" s="253"/>
      <c r="O27" s="250"/>
    </row>
    <row r="28" spans="1:19" ht="12">
      <c r="A28" s="258"/>
      <c r="B28" s="163"/>
      <c r="C28" s="163"/>
      <c r="D28" s="240"/>
      <c r="E28" s="247"/>
      <c r="F28" s="247"/>
      <c r="G28" s="261"/>
      <c r="H28" s="259"/>
      <c r="I28" s="245" t="str">
        <f t="shared" si="0"/>
        <v/>
      </c>
      <c r="J28" s="253"/>
      <c r="K28" s="253"/>
      <c r="L28" s="253"/>
      <c r="M28" s="253"/>
      <c r="N28" s="253"/>
      <c r="O28" s="250"/>
    </row>
    <row r="29" spans="1:19" ht="12">
      <c r="A29" s="258"/>
      <c r="B29" s="163"/>
      <c r="C29" s="163"/>
      <c r="D29" s="262"/>
      <c r="E29" s="247"/>
      <c r="F29" s="247"/>
      <c r="G29" s="243"/>
      <c r="H29" s="259"/>
      <c r="I29" s="245" t="str">
        <f t="shared" si="0"/>
        <v/>
      </c>
      <c r="J29" s="253"/>
      <c r="K29" s="253"/>
      <c r="L29" s="253"/>
      <c r="M29" s="253"/>
      <c r="N29" s="253"/>
      <c r="O29" s="250"/>
    </row>
    <row r="30" spans="1:19" ht="13" thickBot="1">
      <c r="A30" s="258"/>
      <c r="B30" s="163"/>
      <c r="C30" s="163"/>
      <c r="D30" s="262"/>
      <c r="E30" s="247"/>
      <c r="F30" s="247"/>
      <c r="G30" s="261"/>
      <c r="H30" s="259"/>
      <c r="I30" s="245" t="str">
        <f t="shared" si="0"/>
        <v/>
      </c>
      <c r="J30" s="253"/>
      <c r="K30" s="253"/>
      <c r="L30" s="253"/>
      <c r="M30" s="253"/>
      <c r="N30" s="253"/>
      <c r="O30" s="250"/>
    </row>
    <row r="31" spans="1:19" ht="13" thickBot="1">
      <c r="A31" s="263" t="s">
        <v>69</v>
      </c>
      <c r="B31" s="264"/>
      <c r="C31" s="264"/>
      <c r="D31" s="265"/>
      <c r="E31" s="264"/>
      <c r="F31" s="264"/>
      <c r="G31" s="264"/>
      <c r="H31" s="264"/>
      <c r="I31" s="266"/>
      <c r="J31" s="253"/>
      <c r="K31" s="253"/>
      <c r="L31" s="253"/>
      <c r="M31" s="253"/>
      <c r="N31" s="253"/>
      <c r="O31" s="250"/>
    </row>
    <row r="32" spans="1:19">
      <c r="A32" s="267"/>
      <c r="B32" s="268"/>
      <c r="C32" s="268"/>
      <c r="D32" s="269"/>
      <c r="E32" s="268"/>
      <c r="F32" s="268"/>
      <c r="G32" s="268"/>
      <c r="H32" s="268"/>
      <c r="I32" s="268"/>
      <c r="J32" s="229"/>
      <c r="K32" s="229"/>
      <c r="L32" s="229"/>
      <c r="M32" s="229"/>
      <c r="N32" s="229"/>
      <c r="O32" s="250"/>
    </row>
    <row r="33" spans="1:15">
      <c r="A33" s="267"/>
      <c r="B33" s="268"/>
      <c r="C33" s="268"/>
      <c r="D33" s="269"/>
      <c r="E33" s="268"/>
      <c r="F33" s="268"/>
      <c r="G33" s="268"/>
      <c r="H33" s="268"/>
      <c r="I33" s="268"/>
      <c r="J33" s="229"/>
      <c r="K33" s="229"/>
      <c r="L33" s="229"/>
      <c r="M33" s="229"/>
      <c r="N33" s="229"/>
      <c r="O33" s="250"/>
    </row>
    <row r="34" spans="1:15">
      <c r="A34" s="230"/>
      <c r="B34" s="250"/>
      <c r="C34" s="250"/>
      <c r="D34" s="270"/>
      <c r="E34" s="250"/>
      <c r="F34" s="250"/>
      <c r="G34" s="250"/>
      <c r="H34" s="250"/>
      <c r="I34" s="250"/>
      <c r="J34" s="271"/>
      <c r="K34" s="271"/>
      <c r="L34" s="271"/>
      <c r="M34" s="271"/>
      <c r="N34" s="271"/>
      <c r="O34" s="250"/>
    </row>
    <row r="35" spans="1:15" ht="11">
      <c r="A35" s="6"/>
      <c r="J35" s="3"/>
      <c r="K35" s="3"/>
      <c r="L35" s="3"/>
      <c r="M35" s="3"/>
      <c r="N35" s="3"/>
    </row>
    <row r="39" spans="1:15" ht="11">
      <c r="D39" s="3"/>
      <c r="J39" s="3"/>
      <c r="K39" s="3"/>
      <c r="L39" s="3"/>
      <c r="M39" s="3"/>
      <c r="N39" s="3"/>
    </row>
  </sheetData>
  <mergeCells count="1">
    <mergeCell ref="E1:G1"/>
  </mergeCells>
  <phoneticPr fontId="16" type="noConversion"/>
  <conditionalFormatting sqref="I3:I30">
    <cfRule type="cellIs" dxfId="0" priority="1" operator="equal">
      <formula>"In"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K21" sqref="K21"/>
    </sheetView>
  </sheetViews>
  <sheetFormatPr baseColWidth="10" defaultRowHeight="14" x14ac:dyDescent="0"/>
  <cols>
    <col min="1" max="1" width="16.83203125" customWidth="1"/>
    <col min="6" max="6" width="21.33203125" customWidth="1"/>
  </cols>
  <sheetData>
    <row r="1" spans="1:14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4"/>
    </row>
    <row r="2" spans="1:14">
      <c r="A2" s="200" t="s">
        <v>204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4"/>
    </row>
    <row r="3" spans="1:14">
      <c r="A3" s="200" t="s">
        <v>88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4"/>
    </row>
    <row r="4" spans="1:14">
      <c r="A4" s="200" t="s">
        <v>89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4"/>
    </row>
    <row r="5" spans="1:14">
      <c r="A5" s="200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4"/>
    </row>
    <row r="6" spans="1:14">
      <c r="A6" s="200" t="s">
        <v>90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4"/>
    </row>
    <row r="7" spans="1:14">
      <c r="A7" s="200" t="s">
        <v>92</v>
      </c>
      <c r="B7" s="200" t="s">
        <v>93</v>
      </c>
      <c r="C7" s="200" t="s">
        <v>94</v>
      </c>
      <c r="D7" s="200" t="s">
        <v>72</v>
      </c>
      <c r="E7" s="200" t="s">
        <v>74</v>
      </c>
      <c r="F7" s="200" t="s">
        <v>95</v>
      </c>
      <c r="G7" s="200" t="s">
        <v>96</v>
      </c>
      <c r="H7" s="200" t="s">
        <v>97</v>
      </c>
      <c r="I7" s="200" t="s">
        <v>98</v>
      </c>
      <c r="J7" s="200" t="s">
        <v>99</v>
      </c>
      <c r="K7" s="200" t="s">
        <v>100</v>
      </c>
      <c r="L7" s="200"/>
      <c r="M7" s="200"/>
      <c r="N7" s="4"/>
    </row>
    <row r="8" spans="1:14">
      <c r="A8" s="200" t="s">
        <v>93</v>
      </c>
      <c r="B8" s="200" t="s">
        <v>102</v>
      </c>
      <c r="C8" s="200" t="s">
        <v>23</v>
      </c>
      <c r="D8" s="201">
        <v>3000</v>
      </c>
      <c r="E8" s="200" t="s">
        <v>44</v>
      </c>
      <c r="F8" s="200" t="s">
        <v>45</v>
      </c>
      <c r="G8" s="200" t="s">
        <v>103</v>
      </c>
      <c r="H8" s="202">
        <v>36420</v>
      </c>
      <c r="I8" s="202">
        <v>35220</v>
      </c>
      <c r="J8" s="200">
        <v>11.74</v>
      </c>
      <c r="K8" s="200">
        <v>-0.4</v>
      </c>
      <c r="L8" s="200"/>
      <c r="M8" s="200"/>
      <c r="N8" s="4"/>
    </row>
    <row r="9" spans="1:14">
      <c r="A9" s="200" t="s">
        <v>93</v>
      </c>
      <c r="B9" s="200" t="s">
        <v>102</v>
      </c>
      <c r="C9" s="200" t="s">
        <v>23</v>
      </c>
      <c r="D9" s="201">
        <v>1000</v>
      </c>
      <c r="E9" s="200" t="s">
        <v>46</v>
      </c>
      <c r="F9" s="200" t="s">
        <v>47</v>
      </c>
      <c r="G9" s="200" t="s">
        <v>103</v>
      </c>
      <c r="H9" s="202">
        <v>30490</v>
      </c>
      <c r="I9" s="202">
        <v>29100</v>
      </c>
      <c r="J9" s="200">
        <v>29.1</v>
      </c>
      <c r="K9" s="200">
        <v>-1.39</v>
      </c>
      <c r="L9" s="200"/>
      <c r="M9" s="200"/>
      <c r="N9" s="4"/>
    </row>
    <row r="10" spans="1:14">
      <c r="A10" s="200" t="s">
        <v>93</v>
      </c>
      <c r="B10" s="200" t="s">
        <v>102</v>
      </c>
      <c r="C10" s="200" t="s">
        <v>19</v>
      </c>
      <c r="D10" s="201">
        <v>5500</v>
      </c>
      <c r="E10" s="200" t="s">
        <v>30</v>
      </c>
      <c r="F10" s="200" t="s">
        <v>31</v>
      </c>
      <c r="G10" s="200" t="s">
        <v>103</v>
      </c>
      <c r="H10" s="202">
        <v>642430</v>
      </c>
      <c r="I10" s="202">
        <v>624470</v>
      </c>
      <c r="J10" s="200">
        <v>113.54</v>
      </c>
      <c r="K10" s="200">
        <v>-3.2654550000000002</v>
      </c>
      <c r="L10" s="200"/>
      <c r="M10" s="200"/>
      <c r="N10" s="4"/>
    </row>
    <row r="11" spans="1:14">
      <c r="A11" s="200" t="s">
        <v>93</v>
      </c>
      <c r="B11" s="200" t="s">
        <v>102</v>
      </c>
      <c r="C11" s="200" t="s">
        <v>23</v>
      </c>
      <c r="D11" s="201">
        <v>2000</v>
      </c>
      <c r="E11" s="200" t="s">
        <v>28</v>
      </c>
      <c r="F11" s="200" t="s">
        <v>29</v>
      </c>
      <c r="G11" s="200" t="s">
        <v>103</v>
      </c>
      <c r="H11" s="202">
        <v>101120</v>
      </c>
      <c r="I11" s="202">
        <v>99900</v>
      </c>
      <c r="J11" s="200">
        <v>49.95</v>
      </c>
      <c r="K11" s="200">
        <v>-0.61</v>
      </c>
      <c r="L11" s="200"/>
      <c r="M11" s="200"/>
      <c r="N11" s="4"/>
    </row>
    <row r="12" spans="1:14">
      <c r="A12" s="200" t="s">
        <v>93</v>
      </c>
      <c r="B12" s="200" t="s">
        <v>102</v>
      </c>
      <c r="C12" s="200" t="s">
        <v>23</v>
      </c>
      <c r="D12" s="201">
        <v>2000</v>
      </c>
      <c r="E12" s="200" t="s">
        <v>40</v>
      </c>
      <c r="F12" s="200" t="s">
        <v>41</v>
      </c>
      <c r="G12" s="200" t="s">
        <v>103</v>
      </c>
      <c r="H12" s="202">
        <v>162860</v>
      </c>
      <c r="I12" s="202">
        <v>160040</v>
      </c>
      <c r="J12" s="200">
        <v>80.02</v>
      </c>
      <c r="K12" s="200">
        <v>-1.41</v>
      </c>
      <c r="L12" s="200"/>
      <c r="M12" s="200"/>
      <c r="N12" s="4"/>
    </row>
    <row r="13" spans="1:14">
      <c r="A13" s="200" t="s">
        <v>93</v>
      </c>
      <c r="B13" s="200" t="s">
        <v>102</v>
      </c>
      <c r="C13" s="200" t="s">
        <v>23</v>
      </c>
      <c r="D13" s="201">
        <v>10000</v>
      </c>
      <c r="E13" s="200" t="s">
        <v>54</v>
      </c>
      <c r="F13" s="200" t="s">
        <v>55</v>
      </c>
      <c r="G13" s="200" t="s">
        <v>103</v>
      </c>
      <c r="H13" s="202">
        <v>671500</v>
      </c>
      <c r="I13" s="202">
        <v>687000</v>
      </c>
      <c r="J13" s="200">
        <v>68.7</v>
      </c>
      <c r="K13" s="200">
        <v>1.55</v>
      </c>
      <c r="L13" s="200"/>
      <c r="M13" s="200"/>
      <c r="N13" s="4"/>
    </row>
    <row r="14" spans="1:14">
      <c r="A14" s="200" t="s">
        <v>93</v>
      </c>
      <c r="B14" s="200" t="s">
        <v>102</v>
      </c>
      <c r="C14" s="200" t="s">
        <v>23</v>
      </c>
      <c r="D14" s="201">
        <v>1000</v>
      </c>
      <c r="E14" s="200" t="s">
        <v>56</v>
      </c>
      <c r="F14" s="200" t="s">
        <v>57</v>
      </c>
      <c r="G14" s="200" t="s">
        <v>103</v>
      </c>
      <c r="H14" s="202">
        <v>54400</v>
      </c>
      <c r="I14" s="202">
        <v>50180</v>
      </c>
      <c r="J14" s="200">
        <v>50.18</v>
      </c>
      <c r="K14" s="200">
        <v>-4.22</v>
      </c>
      <c r="L14" s="200"/>
      <c r="M14" s="200"/>
      <c r="N14" s="4"/>
    </row>
    <row r="15" spans="1:14">
      <c r="A15" s="200" t="s">
        <v>93</v>
      </c>
      <c r="B15" s="200" t="s">
        <v>102</v>
      </c>
      <c r="C15" s="200" t="s">
        <v>23</v>
      </c>
      <c r="D15" s="201">
        <v>6000</v>
      </c>
      <c r="E15" s="200" t="s">
        <v>36</v>
      </c>
      <c r="F15" s="200" t="s">
        <v>37</v>
      </c>
      <c r="G15" s="200" t="s">
        <v>103</v>
      </c>
      <c r="H15" s="202">
        <v>154090</v>
      </c>
      <c r="I15" s="202">
        <v>125280</v>
      </c>
      <c r="J15" s="200">
        <v>20.88</v>
      </c>
      <c r="K15" s="200">
        <v>-4.8016670000000001</v>
      </c>
      <c r="L15" s="200"/>
      <c r="M15" s="200"/>
      <c r="N15" s="4"/>
    </row>
    <row r="16" spans="1:14">
      <c r="A16" s="200" t="s">
        <v>93</v>
      </c>
      <c r="B16" s="200" t="s">
        <v>102</v>
      </c>
      <c r="C16" s="200" t="s">
        <v>23</v>
      </c>
      <c r="D16" s="201">
        <v>1000</v>
      </c>
      <c r="E16" s="200" t="s">
        <v>34</v>
      </c>
      <c r="F16" s="200" t="s">
        <v>35</v>
      </c>
      <c r="G16" s="200" t="s">
        <v>103</v>
      </c>
      <c r="H16" s="202">
        <v>9230</v>
      </c>
      <c r="I16" s="202">
        <v>9220</v>
      </c>
      <c r="J16" s="200">
        <v>9.2200000000000006</v>
      </c>
      <c r="K16" s="200">
        <v>-0.01</v>
      </c>
      <c r="L16" s="200"/>
      <c r="M16" s="200"/>
      <c r="N16" s="4"/>
    </row>
    <row r="17" spans="1:14">
      <c r="A17" s="200" t="s">
        <v>93</v>
      </c>
      <c r="B17" s="200" t="s">
        <v>102</v>
      </c>
      <c r="C17" s="200" t="s">
        <v>19</v>
      </c>
      <c r="D17" s="201">
        <v>1000</v>
      </c>
      <c r="E17" s="200" t="s">
        <v>24</v>
      </c>
      <c r="F17" s="200" t="s">
        <v>25</v>
      </c>
      <c r="G17" s="200" t="s">
        <v>103</v>
      </c>
      <c r="H17" s="202">
        <v>814960</v>
      </c>
      <c r="I17" s="202">
        <v>809900</v>
      </c>
      <c r="J17" s="200">
        <v>809.9</v>
      </c>
      <c r="K17" s="200">
        <v>-5.0599999999999996</v>
      </c>
      <c r="L17" s="200"/>
      <c r="M17" s="200"/>
      <c r="N17" s="4"/>
    </row>
    <row r="18" spans="1:14">
      <c r="A18" s="200" t="s">
        <v>93</v>
      </c>
      <c r="B18" s="200" t="s">
        <v>102</v>
      </c>
      <c r="C18" s="200" t="s">
        <v>19</v>
      </c>
      <c r="D18" s="201">
        <v>3000</v>
      </c>
      <c r="E18" s="200" t="s">
        <v>60</v>
      </c>
      <c r="F18" s="200" t="s">
        <v>61</v>
      </c>
      <c r="G18" s="200" t="s">
        <v>103</v>
      </c>
      <c r="H18" s="202">
        <v>12030</v>
      </c>
      <c r="I18" s="202">
        <v>12270</v>
      </c>
      <c r="J18" s="200">
        <v>4.09</v>
      </c>
      <c r="K18" s="200">
        <v>0.08</v>
      </c>
      <c r="L18" s="200"/>
      <c r="M18" s="200"/>
      <c r="N18" s="4"/>
    </row>
    <row r="19" spans="1:14">
      <c r="A19" s="200" t="s">
        <v>93</v>
      </c>
      <c r="B19" s="200" t="s">
        <v>102</v>
      </c>
      <c r="C19" s="200" t="s">
        <v>23</v>
      </c>
      <c r="D19" s="201">
        <v>5000</v>
      </c>
      <c r="E19" s="200" t="s">
        <v>21</v>
      </c>
      <c r="F19" s="200" t="s">
        <v>22</v>
      </c>
      <c r="G19" s="200" t="s">
        <v>103</v>
      </c>
      <c r="H19" s="202">
        <v>520683.33</v>
      </c>
      <c r="I19" s="202">
        <v>508450</v>
      </c>
      <c r="J19" s="200">
        <v>101.69</v>
      </c>
      <c r="K19" s="200">
        <v>-2.446666</v>
      </c>
      <c r="L19" s="200"/>
      <c r="M19" s="200"/>
      <c r="N19" s="4"/>
    </row>
    <row r="20" spans="1:14">
      <c r="A20" s="200" t="s">
        <v>104</v>
      </c>
      <c r="B20" s="200" t="s">
        <v>102</v>
      </c>
      <c r="C20" s="200" t="s">
        <v>23</v>
      </c>
      <c r="D20" s="201">
        <v>-2000</v>
      </c>
      <c r="E20" s="200" t="s">
        <v>42</v>
      </c>
      <c r="F20" s="200" t="s">
        <v>43</v>
      </c>
      <c r="G20" s="200" t="s">
        <v>103</v>
      </c>
      <c r="H20" s="202">
        <v>-165080</v>
      </c>
      <c r="I20" s="202">
        <v>-166640</v>
      </c>
      <c r="J20" s="200">
        <v>83.32</v>
      </c>
      <c r="K20" s="200">
        <v>0.78</v>
      </c>
      <c r="L20" s="200"/>
      <c r="M20" s="200"/>
      <c r="N20" s="4"/>
    </row>
    <row r="21" spans="1:14">
      <c r="A21" s="200" t="s">
        <v>104</v>
      </c>
      <c r="B21" s="200" t="s">
        <v>102</v>
      </c>
      <c r="C21" s="200" t="s">
        <v>23</v>
      </c>
      <c r="D21" s="201">
        <v>-4000</v>
      </c>
      <c r="E21" s="200" t="s">
        <v>64</v>
      </c>
      <c r="F21" s="200" t="s">
        <v>65</v>
      </c>
      <c r="G21" s="200" t="s">
        <v>103</v>
      </c>
      <c r="H21" s="202">
        <v>-177120</v>
      </c>
      <c r="I21" s="202">
        <v>-184040</v>
      </c>
      <c r="J21" s="200">
        <v>46.01</v>
      </c>
      <c r="K21" s="200">
        <v>1.73</v>
      </c>
      <c r="L21" s="200"/>
      <c r="M21" s="200"/>
      <c r="N21" s="4"/>
    </row>
    <row r="22" spans="1:14">
      <c r="A22" s="200" t="s">
        <v>104</v>
      </c>
      <c r="B22" s="200" t="s">
        <v>102</v>
      </c>
      <c r="C22" s="200" t="s">
        <v>23</v>
      </c>
      <c r="D22" s="201">
        <v>-2000</v>
      </c>
      <c r="E22" s="200" t="s">
        <v>50</v>
      </c>
      <c r="F22" s="200" t="s">
        <v>105</v>
      </c>
      <c r="G22" s="200" t="s">
        <v>103</v>
      </c>
      <c r="H22" s="202">
        <v>-134320</v>
      </c>
      <c r="I22" s="202">
        <v>-138520</v>
      </c>
      <c r="J22" s="200">
        <v>69.260000000000005</v>
      </c>
      <c r="K22" s="200">
        <v>2.1</v>
      </c>
      <c r="L22" s="200"/>
      <c r="M22" s="200"/>
      <c r="N22" s="4"/>
    </row>
    <row r="23" spans="1:14">
      <c r="A23" s="200" t="s">
        <v>104</v>
      </c>
      <c r="B23" s="200" t="s">
        <v>102</v>
      </c>
      <c r="C23" s="200" t="s">
        <v>19</v>
      </c>
      <c r="D23" s="201">
        <v>-3000</v>
      </c>
      <c r="E23" s="200" t="s">
        <v>58</v>
      </c>
      <c r="F23" s="200" t="s">
        <v>59</v>
      </c>
      <c r="G23" s="200" t="s">
        <v>103</v>
      </c>
      <c r="H23" s="202">
        <v>-85410</v>
      </c>
      <c r="I23" s="202">
        <v>-88200</v>
      </c>
      <c r="J23" s="200">
        <v>29.4</v>
      </c>
      <c r="K23" s="200">
        <v>0.93</v>
      </c>
      <c r="L23" s="200"/>
      <c r="M23" s="200"/>
      <c r="N23" s="4"/>
    </row>
    <row r="24" spans="1:14">
      <c r="A24" s="200" t="s">
        <v>104</v>
      </c>
      <c r="B24" s="200" t="s">
        <v>102</v>
      </c>
      <c r="C24" s="200" t="s">
        <v>23</v>
      </c>
      <c r="D24" s="201">
        <v>-2000</v>
      </c>
      <c r="E24" s="200" t="s">
        <v>38</v>
      </c>
      <c r="F24" s="200" t="s">
        <v>39</v>
      </c>
      <c r="G24" s="200" t="s">
        <v>103</v>
      </c>
      <c r="H24" s="202">
        <v>-26180</v>
      </c>
      <c r="I24" s="202">
        <v>-28780</v>
      </c>
      <c r="J24" s="200">
        <v>14.39</v>
      </c>
      <c r="K24" s="200">
        <v>1.3</v>
      </c>
      <c r="L24" s="200"/>
      <c r="M24" s="200"/>
      <c r="N24" s="4"/>
    </row>
    <row r="25" spans="1:14">
      <c r="A25" s="200" t="s">
        <v>104</v>
      </c>
      <c r="B25" s="200" t="s">
        <v>102</v>
      </c>
      <c r="C25" s="200" t="s">
        <v>23</v>
      </c>
      <c r="D25" s="201">
        <v>-4000</v>
      </c>
      <c r="E25" s="200" t="s">
        <v>32</v>
      </c>
      <c r="F25" s="200" t="s">
        <v>106</v>
      </c>
      <c r="G25" s="200" t="s">
        <v>103</v>
      </c>
      <c r="H25" s="202">
        <v>-62400</v>
      </c>
      <c r="I25" s="202">
        <v>-66000</v>
      </c>
      <c r="J25" s="200">
        <v>16.5</v>
      </c>
      <c r="K25" s="200">
        <v>0.9</v>
      </c>
      <c r="L25" s="200"/>
      <c r="M25" s="200"/>
      <c r="N25" s="4"/>
    </row>
    <row r="26" spans="1:14">
      <c r="A26" s="200" t="s">
        <v>93</v>
      </c>
      <c r="B26" s="200" t="s">
        <v>108</v>
      </c>
      <c r="C26" s="200" t="s">
        <v>109</v>
      </c>
      <c r="D26" s="200" t="s">
        <v>109</v>
      </c>
      <c r="E26" s="200" t="s">
        <v>103</v>
      </c>
      <c r="F26" s="200" t="s">
        <v>110</v>
      </c>
      <c r="G26" s="200" t="s">
        <v>103</v>
      </c>
      <c r="H26" s="202">
        <v>1151731.3500000001</v>
      </c>
      <c r="I26" s="202">
        <v>1151731.3500000001</v>
      </c>
      <c r="J26" s="200" t="s">
        <v>109</v>
      </c>
      <c r="K26" s="200" t="s">
        <v>109</v>
      </c>
      <c r="L26" s="200"/>
      <c r="M26" s="200"/>
      <c r="N26" s="4"/>
    </row>
    <row r="27" spans="1:14">
      <c r="A27" s="200" t="s">
        <v>112</v>
      </c>
      <c r="B27" s="200" t="s">
        <v>109</v>
      </c>
      <c r="C27" s="200" t="s">
        <v>109</v>
      </c>
      <c r="D27" s="201">
        <v>23500</v>
      </c>
      <c r="E27" s="200" t="s">
        <v>109</v>
      </c>
      <c r="F27" s="200" t="s">
        <v>109</v>
      </c>
      <c r="G27" s="200" t="s">
        <v>103</v>
      </c>
      <c r="H27" s="200">
        <v>0</v>
      </c>
      <c r="I27" s="202">
        <v>3630581.35</v>
      </c>
      <c r="J27" s="200" t="s">
        <v>109</v>
      </c>
      <c r="K27" s="200" t="s">
        <v>109</v>
      </c>
      <c r="L27" s="200"/>
      <c r="M27" s="200"/>
      <c r="N27" s="4"/>
    </row>
    <row r="28" spans="1:14">
      <c r="A28" s="200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4"/>
    </row>
    <row r="29" spans="1:14">
      <c r="A29" s="200" t="s">
        <v>113</v>
      </c>
      <c r="B29" s="200" t="s">
        <v>114</v>
      </c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4"/>
    </row>
    <row r="30" spans="1:14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4"/>
    </row>
    <row r="31" spans="1:14">
      <c r="A31" s="200" t="s">
        <v>115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4"/>
    </row>
    <row r="32" spans="1:14">
      <c r="A32" s="200" t="s">
        <v>116</v>
      </c>
      <c r="B32" s="200" t="s">
        <v>117</v>
      </c>
      <c r="C32" s="200" t="s">
        <v>118</v>
      </c>
      <c r="D32" s="200" t="s">
        <v>72</v>
      </c>
      <c r="E32" s="200" t="s">
        <v>74</v>
      </c>
      <c r="F32" s="200" t="s">
        <v>95</v>
      </c>
      <c r="G32" s="200" t="s">
        <v>96</v>
      </c>
      <c r="H32" s="200" t="s">
        <v>119</v>
      </c>
      <c r="I32" s="200" t="s">
        <v>120</v>
      </c>
      <c r="J32" s="200" t="s">
        <v>121</v>
      </c>
      <c r="K32" s="200" t="s">
        <v>122</v>
      </c>
      <c r="L32" s="200" t="s">
        <v>123</v>
      </c>
      <c r="M32" s="200"/>
      <c r="N32" s="4"/>
    </row>
    <row r="33" spans="1:14">
      <c r="A33" s="203">
        <v>42626.711111111108</v>
      </c>
      <c r="B33" s="200" t="s">
        <v>124</v>
      </c>
      <c r="C33" s="200" t="s">
        <v>125</v>
      </c>
      <c r="D33" s="201">
        <v>3000</v>
      </c>
      <c r="E33" s="200" t="s">
        <v>44</v>
      </c>
      <c r="F33" s="200" t="s">
        <v>45</v>
      </c>
      <c r="G33" s="200" t="s">
        <v>103</v>
      </c>
      <c r="H33" s="200" t="s">
        <v>2</v>
      </c>
      <c r="I33" s="200" t="s">
        <v>109</v>
      </c>
      <c r="J33" s="200" t="s">
        <v>109</v>
      </c>
      <c r="K33" s="200" t="s">
        <v>109</v>
      </c>
      <c r="L33" s="200" t="s">
        <v>109</v>
      </c>
      <c r="M33" s="200"/>
      <c r="N33" s="4"/>
    </row>
    <row r="34" spans="1:14">
      <c r="A34" s="203">
        <v>42673.546527777777</v>
      </c>
      <c r="B34" s="200" t="s">
        <v>124</v>
      </c>
      <c r="C34" s="200" t="s">
        <v>125</v>
      </c>
      <c r="D34" s="201">
        <v>6500</v>
      </c>
      <c r="E34" s="200" t="s">
        <v>26</v>
      </c>
      <c r="F34" s="200" t="s">
        <v>27</v>
      </c>
      <c r="G34" s="200" t="s">
        <v>103</v>
      </c>
      <c r="H34" s="200" t="s">
        <v>2</v>
      </c>
      <c r="I34" s="200" t="s">
        <v>109</v>
      </c>
      <c r="J34" s="200" t="s">
        <v>109</v>
      </c>
      <c r="K34" s="200" t="s">
        <v>109</v>
      </c>
      <c r="L34" s="200" t="s">
        <v>109</v>
      </c>
      <c r="M34" s="200"/>
      <c r="N34" s="4"/>
    </row>
    <row r="35" spans="1:14">
      <c r="A35" s="200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4"/>
    </row>
    <row r="36" spans="1:14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4"/>
    </row>
    <row r="37" spans="1:14">
      <c r="A37" s="200" t="s">
        <v>126</v>
      </c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4"/>
    </row>
    <row r="38" spans="1:14">
      <c r="A38" s="200" t="s">
        <v>127</v>
      </c>
      <c r="B38" s="200" t="s">
        <v>109</v>
      </c>
      <c r="C38" s="200" t="s">
        <v>118</v>
      </c>
      <c r="D38" s="200" t="s">
        <v>72</v>
      </c>
      <c r="E38" s="200" t="s">
        <v>74</v>
      </c>
      <c r="F38" s="200" t="s">
        <v>95</v>
      </c>
      <c r="G38" s="200" t="s">
        <v>96</v>
      </c>
      <c r="H38" s="200" t="s">
        <v>128</v>
      </c>
      <c r="I38" s="200" t="s">
        <v>77</v>
      </c>
      <c r="J38" s="200" t="s">
        <v>7</v>
      </c>
      <c r="K38" s="200"/>
      <c r="L38" s="200"/>
      <c r="M38" s="200"/>
      <c r="N38" s="4"/>
    </row>
    <row r="39" spans="1:14">
      <c r="A39" s="203">
        <v>42620.666666666664</v>
      </c>
      <c r="B39" s="200" t="s">
        <v>109</v>
      </c>
      <c r="C39" s="200" t="s">
        <v>129</v>
      </c>
      <c r="D39" s="201">
        <v>1000</v>
      </c>
      <c r="E39" s="200" t="s">
        <v>30</v>
      </c>
      <c r="F39" s="200" t="s">
        <v>31</v>
      </c>
      <c r="G39" s="200" t="s">
        <v>103</v>
      </c>
      <c r="H39" s="200">
        <v>10</v>
      </c>
      <c r="I39" s="202">
        <v>108360</v>
      </c>
      <c r="J39" s="200">
        <v>108.36</v>
      </c>
      <c r="K39" s="200"/>
      <c r="L39" s="200"/>
      <c r="M39" s="200"/>
      <c r="N39" s="4"/>
    </row>
    <row r="40" spans="1:14">
      <c r="A40" s="203">
        <v>42620.666666666664</v>
      </c>
      <c r="B40" s="200" t="s">
        <v>109</v>
      </c>
      <c r="C40" s="200" t="s">
        <v>129</v>
      </c>
      <c r="D40" s="201">
        <v>1000</v>
      </c>
      <c r="E40" s="200" t="s">
        <v>32</v>
      </c>
      <c r="F40" s="200" t="s">
        <v>106</v>
      </c>
      <c r="G40" s="200" t="s">
        <v>103</v>
      </c>
      <c r="H40" s="200">
        <v>10</v>
      </c>
      <c r="I40" s="202">
        <v>15700</v>
      </c>
      <c r="J40" s="200">
        <v>15.7</v>
      </c>
      <c r="K40" s="200"/>
      <c r="L40" s="200"/>
      <c r="M40" s="200"/>
      <c r="N40" s="4"/>
    </row>
    <row r="41" spans="1:14">
      <c r="A41" s="203">
        <v>42620.666666666664</v>
      </c>
      <c r="B41" s="200" t="s">
        <v>109</v>
      </c>
      <c r="C41" s="200" t="s">
        <v>129</v>
      </c>
      <c r="D41" s="201">
        <v>1000</v>
      </c>
      <c r="E41" s="200" t="s">
        <v>64</v>
      </c>
      <c r="F41" s="200" t="s">
        <v>65</v>
      </c>
      <c r="G41" s="200" t="s">
        <v>103</v>
      </c>
      <c r="H41" s="200">
        <v>10</v>
      </c>
      <c r="I41" s="202">
        <v>49770</v>
      </c>
      <c r="J41" s="200">
        <v>49.77</v>
      </c>
      <c r="K41" s="200"/>
      <c r="L41" s="200"/>
      <c r="M41" s="200"/>
      <c r="N41" s="4"/>
    </row>
    <row r="42" spans="1:14">
      <c r="A42" s="203">
        <v>42620.666666666664</v>
      </c>
      <c r="B42" s="200" t="s">
        <v>109</v>
      </c>
      <c r="C42" s="200" t="s">
        <v>129</v>
      </c>
      <c r="D42" s="201">
        <v>1000</v>
      </c>
      <c r="E42" s="200" t="s">
        <v>17</v>
      </c>
      <c r="F42" s="200" t="s">
        <v>18</v>
      </c>
      <c r="G42" s="200" t="s">
        <v>103</v>
      </c>
      <c r="H42" s="200">
        <v>10</v>
      </c>
      <c r="I42" s="202">
        <v>33500</v>
      </c>
      <c r="J42" s="200">
        <v>33.5</v>
      </c>
      <c r="K42" s="200"/>
      <c r="L42" s="200"/>
      <c r="M42" s="200"/>
      <c r="N42" s="4"/>
    </row>
    <row r="43" spans="1:14">
      <c r="A43" s="203">
        <v>42620.666666666664</v>
      </c>
      <c r="B43" s="200" t="s">
        <v>109</v>
      </c>
      <c r="C43" s="200" t="s">
        <v>125</v>
      </c>
      <c r="D43" s="201">
        <v>2000</v>
      </c>
      <c r="E43" s="200" t="s">
        <v>50</v>
      </c>
      <c r="F43" s="200" t="s">
        <v>105</v>
      </c>
      <c r="G43" s="200" t="s">
        <v>103</v>
      </c>
      <c r="H43" s="200">
        <v>10</v>
      </c>
      <c r="I43" s="202">
        <v>-134320</v>
      </c>
      <c r="J43" s="200">
        <v>67.16</v>
      </c>
      <c r="K43" s="200"/>
      <c r="L43" s="200"/>
      <c r="M43" s="200"/>
      <c r="N43" s="4"/>
    </row>
    <row r="44" spans="1:14">
      <c r="A44" s="203">
        <v>42620.666666666664</v>
      </c>
      <c r="B44" s="200" t="s">
        <v>109</v>
      </c>
      <c r="C44" s="200" t="s">
        <v>129</v>
      </c>
      <c r="D44" s="201">
        <v>1000</v>
      </c>
      <c r="E44" s="200" t="s">
        <v>21</v>
      </c>
      <c r="F44" s="200" t="s">
        <v>22</v>
      </c>
      <c r="G44" s="200" t="s">
        <v>103</v>
      </c>
      <c r="H44" s="200">
        <v>10</v>
      </c>
      <c r="I44" s="202">
        <v>102320</v>
      </c>
      <c r="J44" s="200">
        <v>102.32</v>
      </c>
      <c r="K44" s="200"/>
      <c r="L44" s="200"/>
      <c r="M44" s="200"/>
      <c r="N44" s="4"/>
    </row>
    <row r="45" spans="1:14">
      <c r="A45" s="203">
        <v>42621.666666666664</v>
      </c>
      <c r="B45" s="200" t="s">
        <v>109</v>
      </c>
      <c r="C45" s="200" t="s">
        <v>129</v>
      </c>
      <c r="D45" s="201">
        <v>1000</v>
      </c>
      <c r="E45" s="200" t="s">
        <v>34</v>
      </c>
      <c r="F45" s="200" t="s">
        <v>35</v>
      </c>
      <c r="G45" s="200" t="s">
        <v>103</v>
      </c>
      <c r="H45" s="200">
        <v>10</v>
      </c>
      <c r="I45" s="202">
        <v>9230</v>
      </c>
      <c r="J45" s="200">
        <v>9.23</v>
      </c>
      <c r="K45" s="200"/>
      <c r="L45" s="200"/>
      <c r="M45" s="200"/>
      <c r="N45" s="4"/>
    </row>
    <row r="46" spans="1:14">
      <c r="A46" s="203">
        <v>42625.666666666664</v>
      </c>
      <c r="B46" s="200" t="s">
        <v>109</v>
      </c>
      <c r="C46" s="200" t="s">
        <v>125</v>
      </c>
      <c r="D46" s="200">
        <v>500</v>
      </c>
      <c r="E46" s="200" t="s">
        <v>30</v>
      </c>
      <c r="F46" s="200" t="s">
        <v>31</v>
      </c>
      <c r="G46" s="200" t="s">
        <v>103</v>
      </c>
      <c r="H46" s="200">
        <v>10</v>
      </c>
      <c r="I46" s="202">
        <v>-52720</v>
      </c>
      <c r="J46" s="200">
        <v>105.44</v>
      </c>
      <c r="K46" s="200"/>
      <c r="L46" s="200"/>
      <c r="M46" s="200"/>
      <c r="N46" s="4"/>
    </row>
    <row r="47" spans="1:14">
      <c r="A47" s="203">
        <v>42625.666666666664</v>
      </c>
      <c r="B47" s="200" t="s">
        <v>109</v>
      </c>
      <c r="C47" s="200" t="s">
        <v>129</v>
      </c>
      <c r="D47" s="200">
        <v>500</v>
      </c>
      <c r="E47" s="200" t="s">
        <v>26</v>
      </c>
      <c r="F47" s="200" t="s">
        <v>27</v>
      </c>
      <c r="G47" s="200" t="s">
        <v>103</v>
      </c>
      <c r="H47" s="200">
        <v>10</v>
      </c>
      <c r="I47" s="202">
        <v>385745</v>
      </c>
      <c r="J47" s="200">
        <v>771.49</v>
      </c>
      <c r="K47" s="200"/>
      <c r="L47" s="200"/>
      <c r="M47" s="200"/>
      <c r="N47" s="4"/>
    </row>
    <row r="48" spans="1:14">
      <c r="A48" s="203">
        <v>42625.666666666664</v>
      </c>
      <c r="B48" s="200" t="s">
        <v>109</v>
      </c>
      <c r="C48" s="200" t="s">
        <v>129</v>
      </c>
      <c r="D48" s="201">
        <v>1000</v>
      </c>
      <c r="E48" s="200" t="s">
        <v>46</v>
      </c>
      <c r="F48" s="200" t="s">
        <v>47</v>
      </c>
      <c r="G48" s="200" t="s">
        <v>103</v>
      </c>
      <c r="H48" s="200">
        <v>10</v>
      </c>
      <c r="I48" s="202">
        <v>30490</v>
      </c>
      <c r="J48" s="200">
        <v>30.49</v>
      </c>
      <c r="K48" s="200"/>
      <c r="L48" s="200"/>
      <c r="M48" s="200"/>
      <c r="N48" s="4"/>
    </row>
    <row r="49" spans="1:14">
      <c r="A49" s="203">
        <v>42625.666666666664</v>
      </c>
      <c r="B49" s="200" t="s">
        <v>109</v>
      </c>
      <c r="C49" s="200" t="s">
        <v>129</v>
      </c>
      <c r="D49" s="201">
        <v>1000</v>
      </c>
      <c r="E49" s="200" t="s">
        <v>48</v>
      </c>
      <c r="F49" s="200" t="s">
        <v>49</v>
      </c>
      <c r="G49" s="200" t="s">
        <v>103</v>
      </c>
      <c r="H49" s="200">
        <v>10</v>
      </c>
      <c r="I49" s="202">
        <v>16780</v>
      </c>
      <c r="J49" s="200">
        <v>16.78</v>
      </c>
      <c r="K49" s="200"/>
      <c r="L49" s="200"/>
      <c r="M49" s="200"/>
      <c r="N49" s="4"/>
    </row>
    <row r="50" spans="1:14">
      <c r="A50" s="203">
        <v>42625.666666666664</v>
      </c>
      <c r="B50" s="200" t="s">
        <v>109</v>
      </c>
      <c r="C50" s="200" t="s">
        <v>129</v>
      </c>
      <c r="D50" s="201">
        <v>1000</v>
      </c>
      <c r="E50" s="200" t="s">
        <v>52</v>
      </c>
      <c r="F50" s="200" t="s">
        <v>53</v>
      </c>
      <c r="G50" s="200" t="s">
        <v>103</v>
      </c>
      <c r="H50" s="200">
        <v>10</v>
      </c>
      <c r="I50" s="202">
        <v>7930</v>
      </c>
      <c r="J50" s="200">
        <v>7.93</v>
      </c>
      <c r="K50" s="200"/>
      <c r="L50" s="200"/>
      <c r="M50" s="200"/>
      <c r="N50" s="4"/>
    </row>
    <row r="51" spans="1:14">
      <c r="A51" s="203">
        <v>42625.666666666664</v>
      </c>
      <c r="B51" s="200" t="s">
        <v>109</v>
      </c>
      <c r="C51" s="200" t="s">
        <v>125</v>
      </c>
      <c r="D51" s="201">
        <v>2000</v>
      </c>
      <c r="E51" s="200" t="s">
        <v>60</v>
      </c>
      <c r="F51" s="200" t="s">
        <v>61</v>
      </c>
      <c r="G51" s="200" t="s">
        <v>103</v>
      </c>
      <c r="H51" s="200">
        <v>10</v>
      </c>
      <c r="I51" s="202">
        <v>-7100</v>
      </c>
      <c r="J51" s="200">
        <v>3.55</v>
      </c>
      <c r="K51" s="200"/>
      <c r="L51" s="200"/>
      <c r="M51" s="200"/>
      <c r="N51" s="4"/>
    </row>
    <row r="52" spans="1:14">
      <c r="A52" s="203">
        <v>42627.666666666664</v>
      </c>
      <c r="B52" s="200" t="s">
        <v>109</v>
      </c>
      <c r="C52" s="200" t="s">
        <v>129</v>
      </c>
      <c r="D52" s="201">
        <v>3000</v>
      </c>
      <c r="E52" s="200" t="s">
        <v>44</v>
      </c>
      <c r="F52" s="200" t="s">
        <v>45</v>
      </c>
      <c r="G52" s="200" t="s">
        <v>103</v>
      </c>
      <c r="H52" s="200">
        <v>10</v>
      </c>
      <c r="I52" s="202">
        <v>36420</v>
      </c>
      <c r="J52" s="200">
        <v>12.14</v>
      </c>
      <c r="K52" s="200"/>
      <c r="L52" s="200"/>
      <c r="M52" s="200"/>
      <c r="N52" s="4"/>
    </row>
    <row r="53" spans="1:14">
      <c r="A53" s="203">
        <v>42627.666666666664</v>
      </c>
      <c r="B53" s="200" t="s">
        <v>109</v>
      </c>
      <c r="C53" s="200" t="s">
        <v>125</v>
      </c>
      <c r="D53" s="201">
        <v>3000</v>
      </c>
      <c r="E53" s="200" t="s">
        <v>58</v>
      </c>
      <c r="F53" s="200" t="s">
        <v>59</v>
      </c>
      <c r="G53" s="200" t="s">
        <v>103</v>
      </c>
      <c r="H53" s="200">
        <v>10</v>
      </c>
      <c r="I53" s="202">
        <v>-85410</v>
      </c>
      <c r="J53" s="200">
        <v>28.47</v>
      </c>
      <c r="K53" s="200"/>
      <c r="L53" s="200"/>
      <c r="M53" s="200"/>
      <c r="N53" s="4"/>
    </row>
    <row r="54" spans="1:14">
      <c r="A54" s="203">
        <v>42627.666666666664</v>
      </c>
      <c r="B54" s="200" t="s">
        <v>109</v>
      </c>
      <c r="C54" s="200" t="s">
        <v>129</v>
      </c>
      <c r="D54" s="201">
        <v>1000</v>
      </c>
      <c r="E54" s="200" t="s">
        <v>36</v>
      </c>
      <c r="F54" s="200" t="s">
        <v>37</v>
      </c>
      <c r="G54" s="200" t="s">
        <v>103</v>
      </c>
      <c r="H54" s="200">
        <v>10</v>
      </c>
      <c r="I54" s="202">
        <v>25090</v>
      </c>
      <c r="J54" s="200">
        <v>25.09</v>
      </c>
      <c r="K54" s="200"/>
      <c r="L54" s="200"/>
      <c r="M54" s="200"/>
      <c r="N54" s="4"/>
    </row>
    <row r="55" spans="1:14">
      <c r="A55" s="203">
        <v>42633.666666666664</v>
      </c>
      <c r="B55" s="200" t="s">
        <v>109</v>
      </c>
      <c r="C55" s="200" t="s">
        <v>125</v>
      </c>
      <c r="D55" s="201">
        <v>2000</v>
      </c>
      <c r="E55" s="200" t="s">
        <v>42</v>
      </c>
      <c r="F55" s="200" t="s">
        <v>43</v>
      </c>
      <c r="G55" s="200" t="s">
        <v>103</v>
      </c>
      <c r="H55" s="200">
        <v>10</v>
      </c>
      <c r="I55" s="202">
        <v>-165080</v>
      </c>
      <c r="J55" s="200">
        <v>82.54</v>
      </c>
      <c r="K55" s="200"/>
      <c r="L55" s="200"/>
      <c r="M55" s="200"/>
      <c r="N55" s="4"/>
    </row>
    <row r="56" spans="1:14">
      <c r="A56" s="203">
        <v>42634.666666666664</v>
      </c>
      <c r="B56" s="200" t="s">
        <v>109</v>
      </c>
      <c r="C56" s="200" t="s">
        <v>125</v>
      </c>
      <c r="D56" s="201">
        <v>1000</v>
      </c>
      <c r="E56" s="200" t="s">
        <v>48</v>
      </c>
      <c r="F56" s="200" t="s">
        <v>49</v>
      </c>
      <c r="G56" s="200" t="s">
        <v>103</v>
      </c>
      <c r="H56" s="200">
        <v>10</v>
      </c>
      <c r="I56" s="202">
        <v>-17190</v>
      </c>
      <c r="J56" s="200">
        <v>17.190000000000001</v>
      </c>
      <c r="K56" s="200"/>
      <c r="L56" s="200"/>
      <c r="M56" s="200"/>
      <c r="N56" s="4"/>
    </row>
    <row r="57" spans="1:14">
      <c r="A57" s="203">
        <v>42635.666666666664</v>
      </c>
      <c r="B57" s="200" t="s">
        <v>109</v>
      </c>
      <c r="C57" s="200" t="s">
        <v>125</v>
      </c>
      <c r="D57" s="201">
        <v>5000</v>
      </c>
      <c r="E57" s="200" t="s">
        <v>32</v>
      </c>
      <c r="F57" s="200" t="s">
        <v>106</v>
      </c>
      <c r="G57" s="200" t="s">
        <v>103</v>
      </c>
      <c r="H57" s="200">
        <v>10</v>
      </c>
      <c r="I57" s="202">
        <v>-78000</v>
      </c>
      <c r="J57" s="200">
        <v>15.6</v>
      </c>
      <c r="K57" s="200"/>
      <c r="L57" s="200"/>
      <c r="M57" s="200"/>
      <c r="N57" s="4"/>
    </row>
    <row r="58" spans="1:14">
      <c r="A58" s="203">
        <v>42636.666666666664</v>
      </c>
      <c r="B58" s="200" t="s">
        <v>109</v>
      </c>
      <c r="C58" s="200" t="s">
        <v>129</v>
      </c>
      <c r="D58" s="201">
        <v>1000</v>
      </c>
      <c r="E58" s="200" t="s">
        <v>24</v>
      </c>
      <c r="F58" s="200" t="s">
        <v>25</v>
      </c>
      <c r="G58" s="200" t="s">
        <v>103</v>
      </c>
      <c r="H58" s="200">
        <v>10</v>
      </c>
      <c r="I58" s="202">
        <v>814960</v>
      </c>
      <c r="J58" s="200">
        <v>814.96</v>
      </c>
      <c r="K58" s="200"/>
      <c r="L58" s="200"/>
      <c r="M58" s="200"/>
      <c r="N58" s="4"/>
    </row>
    <row r="59" spans="1:14">
      <c r="A59" s="203">
        <v>42639.666666666664</v>
      </c>
      <c r="B59" s="200" t="s">
        <v>109</v>
      </c>
      <c r="C59" s="200" t="s">
        <v>129</v>
      </c>
      <c r="D59" s="201">
        <v>1000</v>
      </c>
      <c r="E59" s="200" t="s">
        <v>66</v>
      </c>
      <c r="F59" s="200" t="s">
        <v>67</v>
      </c>
      <c r="G59" s="200" t="s">
        <v>103</v>
      </c>
      <c r="H59" s="200">
        <v>10</v>
      </c>
      <c r="I59" s="202">
        <v>42290</v>
      </c>
      <c r="J59" s="200">
        <v>42.29</v>
      </c>
      <c r="K59" s="200"/>
      <c r="L59" s="200"/>
      <c r="M59" s="200"/>
      <c r="N59" s="4"/>
    </row>
    <row r="60" spans="1:14">
      <c r="A60" s="203">
        <v>42639.666666666664</v>
      </c>
      <c r="B60" s="200" t="s">
        <v>109</v>
      </c>
      <c r="C60" s="200" t="s">
        <v>129</v>
      </c>
      <c r="D60" s="201">
        <v>1000</v>
      </c>
      <c r="E60" s="200" t="s">
        <v>56</v>
      </c>
      <c r="F60" s="200" t="s">
        <v>57</v>
      </c>
      <c r="G60" s="200" t="s">
        <v>103</v>
      </c>
      <c r="H60" s="200">
        <v>10</v>
      </c>
      <c r="I60" s="202">
        <v>54400</v>
      </c>
      <c r="J60" s="200">
        <v>54.4</v>
      </c>
      <c r="K60" s="200"/>
      <c r="L60" s="200"/>
      <c r="M60" s="200"/>
      <c r="N60" s="4"/>
    </row>
    <row r="61" spans="1:14">
      <c r="A61" s="203">
        <v>42639.666666666664</v>
      </c>
      <c r="B61" s="200" t="s">
        <v>109</v>
      </c>
      <c r="C61" s="200" t="s">
        <v>129</v>
      </c>
      <c r="D61" s="201">
        <v>2000</v>
      </c>
      <c r="E61" s="200" t="s">
        <v>62</v>
      </c>
      <c r="F61" s="200" t="s">
        <v>63</v>
      </c>
      <c r="G61" s="200" t="s">
        <v>103</v>
      </c>
      <c r="H61" s="200">
        <v>10</v>
      </c>
      <c r="I61" s="202">
        <v>108080</v>
      </c>
      <c r="J61" s="200">
        <v>54.04</v>
      </c>
      <c r="K61" s="200"/>
      <c r="L61" s="200"/>
      <c r="M61" s="200"/>
      <c r="N61" s="4"/>
    </row>
    <row r="62" spans="1:14">
      <c r="A62" s="203">
        <v>42639.666666666664</v>
      </c>
      <c r="B62" s="200" t="s">
        <v>109</v>
      </c>
      <c r="C62" s="200" t="s">
        <v>129</v>
      </c>
      <c r="D62" s="201">
        <v>10000</v>
      </c>
      <c r="E62" s="200" t="s">
        <v>54</v>
      </c>
      <c r="F62" s="200" t="s">
        <v>55</v>
      </c>
      <c r="G62" s="200" t="s">
        <v>103</v>
      </c>
      <c r="H62" s="200">
        <v>10</v>
      </c>
      <c r="I62" s="202">
        <v>671500</v>
      </c>
      <c r="J62" s="200">
        <v>67.150000000000006</v>
      </c>
      <c r="K62" s="200"/>
      <c r="L62" s="200"/>
      <c r="M62" s="200"/>
      <c r="N62" s="4"/>
    </row>
    <row r="63" spans="1:14">
      <c r="A63" s="203">
        <v>42640.666666666664</v>
      </c>
      <c r="B63" s="200" t="s">
        <v>109</v>
      </c>
      <c r="C63" s="200" t="s">
        <v>129</v>
      </c>
      <c r="D63" s="201">
        <v>2000</v>
      </c>
      <c r="E63" s="200" t="s">
        <v>40</v>
      </c>
      <c r="F63" s="200" t="s">
        <v>41</v>
      </c>
      <c r="G63" s="200" t="s">
        <v>103</v>
      </c>
      <c r="H63" s="200">
        <v>10</v>
      </c>
      <c r="I63" s="202">
        <v>162860</v>
      </c>
      <c r="J63" s="200">
        <v>81.430000000000007</v>
      </c>
      <c r="K63" s="200"/>
      <c r="L63" s="200"/>
      <c r="M63" s="200"/>
      <c r="N63" s="4"/>
    </row>
    <row r="64" spans="1:14">
      <c r="A64" s="203">
        <v>42640.666666666664</v>
      </c>
      <c r="B64" s="200" t="s">
        <v>109</v>
      </c>
      <c r="C64" s="200" t="s">
        <v>129</v>
      </c>
      <c r="D64" s="201">
        <v>2000</v>
      </c>
      <c r="E64" s="200" t="s">
        <v>28</v>
      </c>
      <c r="F64" s="200" t="s">
        <v>29</v>
      </c>
      <c r="G64" s="200" t="s">
        <v>103</v>
      </c>
      <c r="H64" s="200">
        <v>10</v>
      </c>
      <c r="I64" s="202">
        <v>101120</v>
      </c>
      <c r="J64" s="200">
        <v>50.56</v>
      </c>
      <c r="K64" s="200"/>
      <c r="L64" s="200"/>
      <c r="M64" s="200"/>
      <c r="N64" s="4"/>
    </row>
    <row r="65" spans="1:14">
      <c r="A65" s="203">
        <v>42640.666666666664</v>
      </c>
      <c r="B65" s="200" t="s">
        <v>109</v>
      </c>
      <c r="C65" s="200" t="s">
        <v>129</v>
      </c>
      <c r="D65" s="201">
        <v>5000</v>
      </c>
      <c r="E65" s="200" t="s">
        <v>48</v>
      </c>
      <c r="F65" s="200" t="s">
        <v>49</v>
      </c>
      <c r="G65" s="200" t="s">
        <v>103</v>
      </c>
      <c r="H65" s="200">
        <v>10</v>
      </c>
      <c r="I65" s="202">
        <v>86650</v>
      </c>
      <c r="J65" s="200">
        <v>17.329999999999998</v>
      </c>
      <c r="K65" s="200"/>
      <c r="L65" s="200"/>
      <c r="M65" s="200"/>
      <c r="N65" s="4"/>
    </row>
    <row r="66" spans="1:14">
      <c r="A66" s="203">
        <v>42643.666666666664</v>
      </c>
      <c r="B66" s="200" t="s">
        <v>109</v>
      </c>
      <c r="C66" s="200" t="s">
        <v>125</v>
      </c>
      <c r="D66" s="201">
        <v>5000</v>
      </c>
      <c r="E66" s="200" t="s">
        <v>64</v>
      </c>
      <c r="F66" s="200" t="s">
        <v>65</v>
      </c>
      <c r="G66" s="200" t="s">
        <v>103</v>
      </c>
      <c r="H66" s="200">
        <v>10</v>
      </c>
      <c r="I66" s="202">
        <v>-221400</v>
      </c>
      <c r="J66" s="200">
        <v>44.28</v>
      </c>
      <c r="K66" s="200"/>
      <c r="L66" s="200"/>
      <c r="M66" s="200"/>
      <c r="N66" s="4"/>
    </row>
    <row r="67" spans="1:14">
      <c r="A67" s="203">
        <v>42643.666666666664</v>
      </c>
      <c r="B67" s="200" t="s">
        <v>109</v>
      </c>
      <c r="C67" s="200" t="s">
        <v>125</v>
      </c>
      <c r="D67" s="201">
        <v>2000</v>
      </c>
      <c r="E67" s="200" t="s">
        <v>38</v>
      </c>
      <c r="F67" s="200" t="s">
        <v>39</v>
      </c>
      <c r="G67" s="200" t="s">
        <v>103</v>
      </c>
      <c r="H67" s="200">
        <v>10</v>
      </c>
      <c r="I67" s="202">
        <v>-26180</v>
      </c>
      <c r="J67" s="200">
        <v>13.09</v>
      </c>
      <c r="K67" s="200"/>
      <c r="L67" s="200"/>
      <c r="M67" s="200"/>
      <c r="N67" s="4"/>
    </row>
    <row r="68" spans="1:14">
      <c r="A68" s="203">
        <v>42643.666666666664</v>
      </c>
      <c r="B68" s="200" t="s">
        <v>109</v>
      </c>
      <c r="C68" s="200" t="s">
        <v>129</v>
      </c>
      <c r="D68" s="201">
        <v>5000</v>
      </c>
      <c r="E68" s="200" t="s">
        <v>36</v>
      </c>
      <c r="F68" s="200" t="s">
        <v>37</v>
      </c>
      <c r="G68" s="200" t="s">
        <v>103</v>
      </c>
      <c r="H68" s="200">
        <v>10</v>
      </c>
      <c r="I68" s="202">
        <v>129000</v>
      </c>
      <c r="J68" s="200">
        <v>25.8</v>
      </c>
      <c r="K68" s="200"/>
      <c r="L68" s="200"/>
      <c r="M68" s="200"/>
      <c r="N68" s="4"/>
    </row>
    <row r="69" spans="1:14">
      <c r="A69" s="203">
        <v>42648.666666666664</v>
      </c>
      <c r="B69" s="200" t="s">
        <v>109</v>
      </c>
      <c r="C69" s="200" t="s">
        <v>129</v>
      </c>
      <c r="D69" s="201">
        <v>5000</v>
      </c>
      <c r="E69" s="200" t="s">
        <v>60</v>
      </c>
      <c r="F69" s="200" t="s">
        <v>61</v>
      </c>
      <c r="G69" s="200" t="s">
        <v>103</v>
      </c>
      <c r="H69" s="200">
        <v>10</v>
      </c>
      <c r="I69" s="202">
        <v>20050</v>
      </c>
      <c r="J69" s="200">
        <v>4.01</v>
      </c>
      <c r="K69" s="200"/>
      <c r="L69" s="200"/>
      <c r="M69" s="200"/>
      <c r="N69" s="4"/>
    </row>
    <row r="70" spans="1:14">
      <c r="A70" s="203">
        <v>42648.666666666664</v>
      </c>
      <c r="B70" s="200" t="s">
        <v>109</v>
      </c>
      <c r="C70" s="200" t="s">
        <v>129</v>
      </c>
      <c r="D70" s="201">
        <v>4000</v>
      </c>
      <c r="E70" s="200" t="s">
        <v>52</v>
      </c>
      <c r="F70" s="200" t="s">
        <v>53</v>
      </c>
      <c r="G70" s="200" t="s">
        <v>103</v>
      </c>
      <c r="H70" s="200">
        <v>10</v>
      </c>
      <c r="I70" s="202">
        <v>34440</v>
      </c>
      <c r="J70" s="200">
        <v>8.61</v>
      </c>
      <c r="K70" s="200"/>
      <c r="L70" s="200"/>
      <c r="M70" s="200"/>
      <c r="N70" s="4"/>
    </row>
    <row r="71" spans="1:14">
      <c r="A71" s="203">
        <v>42667.666666666664</v>
      </c>
      <c r="B71" s="200" t="s">
        <v>109</v>
      </c>
      <c r="C71" s="200" t="s">
        <v>129</v>
      </c>
      <c r="D71" s="201">
        <v>5000</v>
      </c>
      <c r="E71" s="200" t="s">
        <v>21</v>
      </c>
      <c r="F71" s="200" t="s">
        <v>22</v>
      </c>
      <c r="G71" s="200" t="s">
        <v>103</v>
      </c>
      <c r="H71" s="200">
        <v>10</v>
      </c>
      <c r="I71" s="202">
        <v>522500</v>
      </c>
      <c r="J71" s="200">
        <v>104.5</v>
      </c>
      <c r="K71" s="200"/>
      <c r="L71" s="200"/>
      <c r="M71" s="200"/>
      <c r="N71" s="4"/>
    </row>
    <row r="72" spans="1:14">
      <c r="A72" s="203">
        <v>42667.666666666664</v>
      </c>
      <c r="B72" s="200" t="s">
        <v>109</v>
      </c>
      <c r="C72" s="200" t="s">
        <v>129</v>
      </c>
      <c r="D72" s="201">
        <v>6000</v>
      </c>
      <c r="E72" s="200" t="s">
        <v>26</v>
      </c>
      <c r="F72" s="200" t="s">
        <v>27</v>
      </c>
      <c r="G72" s="200" t="s">
        <v>103</v>
      </c>
      <c r="H72" s="200">
        <v>10</v>
      </c>
      <c r="I72" s="202">
        <v>5028540</v>
      </c>
      <c r="J72" s="200">
        <v>838.09</v>
      </c>
      <c r="K72" s="200"/>
      <c r="L72" s="200"/>
      <c r="M72" s="200"/>
      <c r="N72" s="4"/>
    </row>
    <row r="73" spans="1:14">
      <c r="A73" s="203">
        <v>42667.666666666664</v>
      </c>
      <c r="B73" s="200" t="s">
        <v>109</v>
      </c>
      <c r="C73" s="200" t="s">
        <v>129</v>
      </c>
      <c r="D73" s="201">
        <v>5000</v>
      </c>
      <c r="E73" s="200" t="s">
        <v>30</v>
      </c>
      <c r="F73" s="200" t="s">
        <v>31</v>
      </c>
      <c r="G73" s="200" t="s">
        <v>103</v>
      </c>
      <c r="H73" s="200">
        <v>10</v>
      </c>
      <c r="I73" s="202">
        <v>588250</v>
      </c>
      <c r="J73" s="200">
        <v>117.65</v>
      </c>
      <c r="K73" s="200"/>
      <c r="L73" s="200"/>
      <c r="M73" s="200"/>
      <c r="N73" s="4"/>
    </row>
    <row r="74" spans="1:14">
      <c r="A74" s="203">
        <v>42669.666666666664</v>
      </c>
      <c r="B74" s="200" t="s">
        <v>109</v>
      </c>
      <c r="C74" s="200" t="s">
        <v>125</v>
      </c>
      <c r="D74" s="201">
        <v>1000</v>
      </c>
      <c r="E74" s="200" t="s">
        <v>17</v>
      </c>
      <c r="F74" s="200" t="s">
        <v>18</v>
      </c>
      <c r="G74" s="200" t="s">
        <v>103</v>
      </c>
      <c r="H74" s="200">
        <v>10</v>
      </c>
      <c r="I74" s="202">
        <v>-33210</v>
      </c>
      <c r="J74" s="200">
        <v>33.21</v>
      </c>
      <c r="K74" s="200"/>
      <c r="L74" s="200"/>
      <c r="M74" s="200"/>
      <c r="N74" s="4"/>
    </row>
    <row r="75" spans="1:14">
      <c r="A75" s="203">
        <v>42669.666666666664</v>
      </c>
      <c r="B75" s="200" t="s">
        <v>109</v>
      </c>
      <c r="C75" s="200" t="s">
        <v>125</v>
      </c>
      <c r="D75" s="201">
        <v>2000</v>
      </c>
      <c r="E75" s="200" t="s">
        <v>62</v>
      </c>
      <c r="F75" s="200" t="s">
        <v>63</v>
      </c>
      <c r="G75" s="200" t="s">
        <v>103</v>
      </c>
      <c r="H75" s="200">
        <v>10</v>
      </c>
      <c r="I75" s="202">
        <v>-107260</v>
      </c>
      <c r="J75" s="200">
        <v>53.63</v>
      </c>
      <c r="K75" s="200"/>
      <c r="L75" s="200"/>
      <c r="M75" s="200"/>
      <c r="N75" s="4"/>
    </row>
    <row r="76" spans="1:14">
      <c r="A76" s="203">
        <v>42669.666666666664</v>
      </c>
      <c r="B76" s="200" t="s">
        <v>109</v>
      </c>
      <c r="C76" s="200" t="s">
        <v>125</v>
      </c>
      <c r="D76" s="201">
        <v>1000</v>
      </c>
      <c r="E76" s="200" t="s">
        <v>66</v>
      </c>
      <c r="F76" s="200" t="s">
        <v>67</v>
      </c>
      <c r="G76" s="200" t="s">
        <v>103</v>
      </c>
      <c r="H76" s="200">
        <v>10</v>
      </c>
      <c r="I76" s="202">
        <v>-42080</v>
      </c>
      <c r="J76" s="200">
        <v>42.08</v>
      </c>
      <c r="K76" s="200"/>
      <c r="L76" s="200"/>
      <c r="M76" s="200"/>
      <c r="N76" s="4"/>
    </row>
    <row r="77" spans="1:14">
      <c r="A77" s="203">
        <v>42669.666666666664</v>
      </c>
      <c r="B77" s="200" t="s">
        <v>109</v>
      </c>
      <c r="C77" s="200" t="s">
        <v>125</v>
      </c>
      <c r="D77" s="201">
        <v>5000</v>
      </c>
      <c r="E77" s="200" t="s">
        <v>52</v>
      </c>
      <c r="F77" s="200" t="s">
        <v>53</v>
      </c>
      <c r="G77" s="200" t="s">
        <v>103</v>
      </c>
      <c r="H77" s="200">
        <v>10</v>
      </c>
      <c r="I77" s="202">
        <v>-48300</v>
      </c>
      <c r="J77" s="200">
        <v>9.66</v>
      </c>
      <c r="K77" s="200"/>
      <c r="L77" s="200"/>
      <c r="M77" s="200"/>
      <c r="N77" s="4"/>
    </row>
    <row r="78" spans="1:14">
      <c r="A78" s="203">
        <v>42670.666666666664</v>
      </c>
      <c r="B78" s="200" t="s">
        <v>109</v>
      </c>
      <c r="C78" s="200" t="s">
        <v>125</v>
      </c>
      <c r="D78" s="201">
        <v>5000</v>
      </c>
      <c r="E78" s="200" t="s">
        <v>48</v>
      </c>
      <c r="F78" s="200" t="s">
        <v>49</v>
      </c>
      <c r="G78" s="200" t="s">
        <v>103</v>
      </c>
      <c r="H78" s="200">
        <v>10</v>
      </c>
      <c r="I78" s="202">
        <v>-86800</v>
      </c>
      <c r="J78" s="200">
        <v>17.36</v>
      </c>
      <c r="K78" s="200"/>
      <c r="L78" s="200"/>
      <c r="M78" s="200"/>
      <c r="N78" s="4"/>
    </row>
    <row r="79" spans="1:14">
      <c r="A79" s="203">
        <v>42670.666666666664</v>
      </c>
      <c r="B79" s="200" t="s">
        <v>109</v>
      </c>
      <c r="C79" s="200" t="s">
        <v>125</v>
      </c>
      <c r="D79" s="201">
        <v>1000</v>
      </c>
      <c r="E79" s="200" t="s">
        <v>21</v>
      </c>
      <c r="F79" s="200" t="s">
        <v>22</v>
      </c>
      <c r="G79" s="200" t="s">
        <v>103</v>
      </c>
      <c r="H79" s="200">
        <v>10</v>
      </c>
      <c r="I79" s="202">
        <v>-102380</v>
      </c>
      <c r="J79" s="200">
        <v>102.38</v>
      </c>
      <c r="K79" s="200"/>
      <c r="L79" s="200"/>
      <c r="M79" s="200"/>
      <c r="N79" s="4"/>
    </row>
    <row r="80" spans="1:14">
      <c r="A80" s="203">
        <v>42674.666666666664</v>
      </c>
      <c r="B80" s="200" t="s">
        <v>109</v>
      </c>
      <c r="C80" s="200" t="s">
        <v>125</v>
      </c>
      <c r="D80" s="201">
        <v>6500</v>
      </c>
      <c r="E80" s="200" t="s">
        <v>26</v>
      </c>
      <c r="F80" s="200" t="s">
        <v>27</v>
      </c>
      <c r="G80" s="200" t="s">
        <v>103</v>
      </c>
      <c r="H80" s="200">
        <v>10</v>
      </c>
      <c r="I80" s="202">
        <v>-5133830</v>
      </c>
      <c r="J80" s="200">
        <v>789.82</v>
      </c>
      <c r="K80" s="200"/>
      <c r="L80" s="200"/>
      <c r="M80" s="200"/>
      <c r="N80" s="4"/>
    </row>
    <row r="81" spans="1:14">
      <c r="A81" s="200"/>
      <c r="B81" s="200"/>
      <c r="C81" s="200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4"/>
    </row>
    <row r="82" spans="1:14">
      <c r="A82" s="200" t="s">
        <v>96</v>
      </c>
      <c r="B82" s="200"/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4"/>
    </row>
    <row r="83" spans="1:14">
      <c r="A83" s="200" t="s">
        <v>117</v>
      </c>
      <c r="B83" s="200" t="s">
        <v>127</v>
      </c>
      <c r="C83" s="200" t="s">
        <v>129</v>
      </c>
      <c r="D83" s="200" t="s">
        <v>130</v>
      </c>
      <c r="E83" s="200" t="s">
        <v>125</v>
      </c>
      <c r="F83" s="200" t="s">
        <v>131</v>
      </c>
      <c r="G83" s="200" t="s">
        <v>128</v>
      </c>
      <c r="H83" s="200" t="s">
        <v>94</v>
      </c>
      <c r="I83" s="200"/>
      <c r="J83" s="200"/>
      <c r="K83" s="200"/>
      <c r="L83" s="200"/>
      <c r="M83" s="200"/>
      <c r="N83" s="4"/>
    </row>
    <row r="84" spans="1:14">
      <c r="A84" s="200"/>
      <c r="B84" s="200"/>
      <c r="C84" s="200"/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4"/>
    </row>
    <row r="85" spans="1:14">
      <c r="A85" s="200" t="s">
        <v>132</v>
      </c>
      <c r="B85" s="200"/>
      <c r="C85" s="200"/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4"/>
    </row>
    <row r="86" spans="1:14">
      <c r="A86" s="200" t="s">
        <v>16</v>
      </c>
      <c r="B86" s="200" t="s">
        <v>109</v>
      </c>
      <c r="C86" s="200" t="s">
        <v>118</v>
      </c>
      <c r="D86" s="200" t="s">
        <v>72</v>
      </c>
      <c r="E86" s="200" t="s">
        <v>74</v>
      </c>
      <c r="F86" s="200" t="s">
        <v>95</v>
      </c>
      <c r="G86" s="200" t="s">
        <v>96</v>
      </c>
      <c r="H86" s="200" t="s">
        <v>77</v>
      </c>
      <c r="I86" s="200" t="s">
        <v>133</v>
      </c>
      <c r="J86" s="200"/>
      <c r="K86" s="200"/>
      <c r="L86" s="200"/>
      <c r="M86" s="200"/>
      <c r="N86" s="4"/>
    </row>
    <row r="87" spans="1:14">
      <c r="A87" s="203">
        <v>42614</v>
      </c>
      <c r="B87" s="200" t="s">
        <v>109</v>
      </c>
      <c r="C87" s="200" t="s">
        <v>134</v>
      </c>
      <c r="D87" s="200" t="s">
        <v>109</v>
      </c>
      <c r="E87" s="200" t="s">
        <v>109</v>
      </c>
      <c r="F87" s="200" t="s">
        <v>109</v>
      </c>
      <c r="G87" s="200" t="s">
        <v>103</v>
      </c>
      <c r="H87" s="202">
        <v>1000000</v>
      </c>
      <c r="I87" s="200" t="s">
        <v>109</v>
      </c>
      <c r="J87" s="200"/>
      <c r="K87" s="200"/>
      <c r="L87" s="200"/>
      <c r="M87" s="200"/>
      <c r="N87" s="4"/>
    </row>
    <row r="88" spans="1:14">
      <c r="A88" s="203">
        <v>42614</v>
      </c>
      <c r="B88" s="200" t="s">
        <v>109</v>
      </c>
      <c r="C88" s="200" t="s">
        <v>134</v>
      </c>
      <c r="D88" s="200" t="s">
        <v>109</v>
      </c>
      <c r="E88" s="200" t="s">
        <v>109</v>
      </c>
      <c r="F88" s="200" t="s">
        <v>109</v>
      </c>
      <c r="G88" s="200" t="s">
        <v>103</v>
      </c>
      <c r="H88" s="202">
        <v>1000000</v>
      </c>
      <c r="I88" s="200" t="s">
        <v>109</v>
      </c>
      <c r="J88" s="200"/>
      <c r="K88" s="200"/>
      <c r="L88" s="200"/>
      <c r="M88" s="200"/>
      <c r="N88" s="4"/>
    </row>
    <row r="89" spans="1:14">
      <c r="A89" s="203">
        <v>42614</v>
      </c>
      <c r="B89" s="200" t="s">
        <v>109</v>
      </c>
      <c r="C89" s="200" t="s">
        <v>134</v>
      </c>
      <c r="D89" s="200" t="s">
        <v>109</v>
      </c>
      <c r="E89" s="200" t="s">
        <v>109</v>
      </c>
      <c r="F89" s="200" t="s">
        <v>109</v>
      </c>
      <c r="G89" s="200" t="s">
        <v>103</v>
      </c>
      <c r="H89" s="202">
        <v>1000000</v>
      </c>
      <c r="I89" s="200" t="s">
        <v>109</v>
      </c>
      <c r="J89" s="200"/>
      <c r="K89" s="200"/>
      <c r="L89" s="200"/>
      <c r="M89" s="200"/>
      <c r="N89" s="4"/>
    </row>
    <row r="90" spans="1:14">
      <c r="A90" s="203">
        <v>42614</v>
      </c>
      <c r="B90" s="200" t="s">
        <v>109</v>
      </c>
      <c r="C90" s="200" t="s">
        <v>134</v>
      </c>
      <c r="D90" s="200" t="s">
        <v>109</v>
      </c>
      <c r="E90" s="200" t="s">
        <v>109</v>
      </c>
      <c r="F90" s="200" t="s">
        <v>109</v>
      </c>
      <c r="G90" s="200" t="s">
        <v>103</v>
      </c>
      <c r="H90" s="202">
        <v>1000000</v>
      </c>
      <c r="I90" s="200" t="s">
        <v>109</v>
      </c>
      <c r="J90" s="200"/>
      <c r="K90" s="200"/>
      <c r="L90" s="200"/>
      <c r="M90" s="200"/>
      <c r="N90" s="4"/>
    </row>
    <row r="91" spans="1:14">
      <c r="A91" s="203">
        <v>42643.999305555553</v>
      </c>
      <c r="B91" s="200" t="s">
        <v>109</v>
      </c>
      <c r="C91" s="200" t="s">
        <v>135</v>
      </c>
      <c r="D91" s="200" t="s">
        <v>109</v>
      </c>
      <c r="E91" s="200" t="s">
        <v>109</v>
      </c>
      <c r="F91" s="200" t="s">
        <v>136</v>
      </c>
      <c r="G91" s="200" t="s">
        <v>103</v>
      </c>
      <c r="H91" s="202">
        <v>1353.58</v>
      </c>
      <c r="I91" s="200" t="s">
        <v>109</v>
      </c>
      <c r="J91" s="200"/>
      <c r="K91" s="200"/>
      <c r="L91" s="200"/>
      <c r="M91" s="200"/>
      <c r="N91" s="4"/>
    </row>
    <row r="92" spans="1:14">
      <c r="A92" s="203">
        <v>42668.645833333336</v>
      </c>
      <c r="B92" s="200" t="s">
        <v>109</v>
      </c>
      <c r="C92" s="200" t="s">
        <v>137</v>
      </c>
      <c r="D92" s="201">
        <v>1000</v>
      </c>
      <c r="E92" s="200" t="s">
        <v>46</v>
      </c>
      <c r="F92" s="200" t="s">
        <v>47</v>
      </c>
      <c r="G92" s="200" t="s">
        <v>103</v>
      </c>
      <c r="H92" s="200">
        <v>230</v>
      </c>
      <c r="I92" s="200">
        <v>0.23</v>
      </c>
      <c r="J92" s="200"/>
      <c r="K92" s="200"/>
      <c r="L92" s="200"/>
      <c r="M92" s="200"/>
      <c r="N92" s="4"/>
    </row>
    <row r="93" spans="1:14">
      <c r="A93" s="203">
        <v>42674.645833333336</v>
      </c>
      <c r="B93" s="200" t="s">
        <v>109</v>
      </c>
      <c r="C93" s="200" t="s">
        <v>137</v>
      </c>
      <c r="D93" s="201">
        <v>-2000</v>
      </c>
      <c r="E93" s="200" t="s">
        <v>50</v>
      </c>
      <c r="F93" s="200" t="s">
        <v>105</v>
      </c>
      <c r="G93" s="200" t="s">
        <v>103</v>
      </c>
      <c r="H93" s="200">
        <v>-960</v>
      </c>
      <c r="I93" s="200">
        <v>0.48</v>
      </c>
      <c r="J93" s="200"/>
      <c r="K93" s="200"/>
      <c r="L93" s="200"/>
      <c r="M93" s="200"/>
      <c r="N93" s="4"/>
    </row>
    <row r="94" spans="1:14">
      <c r="A94" s="203">
        <v>42674.999305555553</v>
      </c>
      <c r="B94" s="200" t="s">
        <v>109</v>
      </c>
      <c r="C94" s="200" t="s">
        <v>135</v>
      </c>
      <c r="D94" s="200" t="s">
        <v>109</v>
      </c>
      <c r="E94" s="200" t="s">
        <v>109</v>
      </c>
      <c r="F94" s="200" t="s">
        <v>136</v>
      </c>
      <c r="G94" s="200" t="s">
        <v>103</v>
      </c>
      <c r="H94" s="200">
        <v>584.41</v>
      </c>
      <c r="I94" s="200" t="s">
        <v>109</v>
      </c>
      <c r="J94" s="200"/>
      <c r="K94" s="200"/>
      <c r="L94" s="200"/>
      <c r="M94" s="200"/>
      <c r="N94" s="4"/>
    </row>
    <row r="95" spans="1:14">
      <c r="A95" s="203">
        <v>42674.999305555553</v>
      </c>
      <c r="B95" s="200" t="s">
        <v>109</v>
      </c>
      <c r="C95" s="200" t="s">
        <v>138</v>
      </c>
      <c r="D95" s="200" t="s">
        <v>109</v>
      </c>
      <c r="E95" s="200" t="s">
        <v>109</v>
      </c>
      <c r="F95" s="200" t="s">
        <v>205</v>
      </c>
      <c r="G95" s="200" t="s">
        <v>103</v>
      </c>
      <c r="H95" s="202">
        <v>-1938.03</v>
      </c>
      <c r="I95" s="200" t="s">
        <v>109</v>
      </c>
      <c r="J95" s="200"/>
      <c r="K95" s="200"/>
      <c r="L95" s="200"/>
      <c r="M95" s="200"/>
      <c r="N95" s="4"/>
    </row>
    <row r="96" spans="1:14">
      <c r="A96" s="203">
        <v>42674.999305555553</v>
      </c>
      <c r="B96" s="200" t="s">
        <v>109</v>
      </c>
      <c r="C96" s="200" t="s">
        <v>139</v>
      </c>
      <c r="D96" s="200" t="s">
        <v>109</v>
      </c>
      <c r="E96" s="200" t="s">
        <v>109</v>
      </c>
      <c r="F96" s="200" t="s">
        <v>140</v>
      </c>
      <c r="G96" s="200" t="s">
        <v>103</v>
      </c>
      <c r="H96" s="202">
        <v>-2403.61</v>
      </c>
      <c r="I96" s="200" t="s">
        <v>109</v>
      </c>
      <c r="J96" s="200"/>
      <c r="K96" s="200"/>
      <c r="L96" s="200"/>
      <c r="M96" s="200"/>
      <c r="N96" s="4"/>
    </row>
    <row r="97" spans="1:14">
      <c r="A97" s="200"/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4"/>
    </row>
    <row r="98" spans="1:14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4"/>
    </row>
    <row r="99" spans="1:14">
      <c r="A99" s="200" t="s">
        <v>141</v>
      </c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4"/>
    </row>
    <row r="100" spans="1:14">
      <c r="A100" s="200" t="s">
        <v>142</v>
      </c>
      <c r="B100" s="200" t="s">
        <v>143</v>
      </c>
      <c r="C100" s="200" t="s">
        <v>144</v>
      </c>
      <c r="D100" s="200" t="s">
        <v>145</v>
      </c>
      <c r="E100" s="200" t="s">
        <v>123</v>
      </c>
      <c r="F100" s="200"/>
      <c r="G100" s="200"/>
      <c r="H100" s="200"/>
      <c r="I100" s="200"/>
      <c r="J100" s="200"/>
      <c r="K100" s="200"/>
      <c r="L100" s="200"/>
      <c r="M100" s="200"/>
      <c r="N100" s="4"/>
    </row>
    <row r="101" spans="1:14">
      <c r="A101" s="203">
        <v>42667.677777777775</v>
      </c>
      <c r="B101" s="203">
        <v>42676.677777777775</v>
      </c>
      <c r="C101" s="200">
        <v>0</v>
      </c>
      <c r="D101" s="203">
        <v>42674.678472222222</v>
      </c>
      <c r="E101" s="200" t="s">
        <v>146</v>
      </c>
      <c r="F101" s="200"/>
      <c r="G101" s="200"/>
      <c r="H101" s="200"/>
      <c r="I101" s="200"/>
      <c r="J101" s="200"/>
      <c r="K101" s="200"/>
      <c r="L101" s="200"/>
      <c r="M101" s="200"/>
      <c r="N10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31" workbookViewId="0">
      <selection activeCell="M52" sqref="M52"/>
    </sheetView>
  </sheetViews>
  <sheetFormatPr baseColWidth="10" defaultColWidth="8.83203125" defaultRowHeight="14" x14ac:dyDescent="0"/>
  <cols>
    <col min="1" max="1" width="12.5" bestFit="1" customWidth="1"/>
    <col min="6" max="6" width="28.1640625" bestFit="1" customWidth="1"/>
    <col min="8" max="8" width="12.5" bestFit="1" customWidth="1"/>
    <col min="9" max="9" width="13.1640625" bestFit="1" customWidth="1"/>
    <col min="10" max="10" width="14.83203125" customWidth="1"/>
    <col min="12" max="12" width="11" bestFit="1" customWidth="1"/>
  </cols>
  <sheetData>
    <row r="1" spans="1:12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>
      <c r="A2" s="49" t="s">
        <v>87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>
      <c r="A3" s="49" t="s">
        <v>88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>
      <c r="A4" s="49" t="s">
        <v>89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2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>
      <c r="A6" s="49" t="s">
        <v>90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50" t="s">
        <v>91</v>
      </c>
    </row>
    <row r="7" spans="1:12">
      <c r="A7" s="49" t="s">
        <v>92</v>
      </c>
      <c r="B7" s="49" t="s">
        <v>93</v>
      </c>
      <c r="C7" s="49" t="s">
        <v>94</v>
      </c>
      <c r="D7" s="49" t="s">
        <v>72</v>
      </c>
      <c r="E7" s="49" t="s">
        <v>74</v>
      </c>
      <c r="F7" s="49" t="s">
        <v>95</v>
      </c>
      <c r="G7" s="49" t="s">
        <v>96</v>
      </c>
      <c r="H7" s="49" t="s">
        <v>97</v>
      </c>
      <c r="I7" s="49" t="s">
        <v>98</v>
      </c>
      <c r="J7" s="49" t="s">
        <v>99</v>
      </c>
      <c r="K7" s="49" t="s">
        <v>100</v>
      </c>
      <c r="L7" s="50" t="s">
        <v>101</v>
      </c>
    </row>
    <row r="8" spans="1:12">
      <c r="A8" s="49" t="s">
        <v>93</v>
      </c>
      <c r="B8" s="49" t="s">
        <v>102</v>
      </c>
      <c r="C8" s="49" t="s">
        <v>23</v>
      </c>
      <c r="D8" s="51">
        <v>3000</v>
      </c>
      <c r="E8" s="49" t="s">
        <v>44</v>
      </c>
      <c r="F8" s="49" t="s">
        <v>45</v>
      </c>
      <c r="G8" s="49" t="s">
        <v>103</v>
      </c>
      <c r="H8" s="52">
        <v>36420</v>
      </c>
      <c r="I8" s="52">
        <v>35220</v>
      </c>
      <c r="J8" s="49">
        <v>11.74</v>
      </c>
      <c r="K8" s="49">
        <v>-0.4</v>
      </c>
      <c r="L8" s="53">
        <f t="shared" ref="L8:L25" si="0">H8-I8</f>
        <v>1200</v>
      </c>
    </row>
    <row r="9" spans="1:12">
      <c r="A9" s="49" t="s">
        <v>93</v>
      </c>
      <c r="B9" s="49" t="s">
        <v>102</v>
      </c>
      <c r="C9" s="49" t="s">
        <v>23</v>
      </c>
      <c r="D9" s="51">
        <v>1000</v>
      </c>
      <c r="E9" s="49" t="s">
        <v>46</v>
      </c>
      <c r="F9" s="49" t="s">
        <v>47</v>
      </c>
      <c r="G9" s="49" t="s">
        <v>103</v>
      </c>
      <c r="H9" s="52">
        <v>30490</v>
      </c>
      <c r="I9" s="52">
        <v>29100</v>
      </c>
      <c r="J9" s="49">
        <v>29.1</v>
      </c>
      <c r="K9" s="49">
        <v>-1.39</v>
      </c>
      <c r="L9" s="53">
        <f t="shared" si="0"/>
        <v>1390</v>
      </c>
    </row>
    <row r="10" spans="1:12">
      <c r="A10" s="49" t="s">
        <v>93</v>
      </c>
      <c r="B10" s="49" t="s">
        <v>102</v>
      </c>
      <c r="C10" s="49" t="s">
        <v>19</v>
      </c>
      <c r="D10" s="51">
        <v>5500</v>
      </c>
      <c r="E10" s="49" t="s">
        <v>30</v>
      </c>
      <c r="F10" s="49" t="s">
        <v>31</v>
      </c>
      <c r="G10" s="49" t="s">
        <v>103</v>
      </c>
      <c r="H10" s="52">
        <v>642430</v>
      </c>
      <c r="I10" s="52">
        <v>624470</v>
      </c>
      <c r="J10" s="49">
        <v>113.54</v>
      </c>
      <c r="K10" s="49">
        <v>-3.2654550000000002</v>
      </c>
      <c r="L10" s="53">
        <f t="shared" si="0"/>
        <v>17960</v>
      </c>
    </row>
    <row r="11" spans="1:12">
      <c r="A11" s="49" t="s">
        <v>93</v>
      </c>
      <c r="B11" s="49" t="s">
        <v>102</v>
      </c>
      <c r="C11" s="49" t="s">
        <v>23</v>
      </c>
      <c r="D11" s="51">
        <v>2000</v>
      </c>
      <c r="E11" s="49" t="s">
        <v>28</v>
      </c>
      <c r="F11" s="49" t="s">
        <v>29</v>
      </c>
      <c r="G11" s="49" t="s">
        <v>103</v>
      </c>
      <c r="H11" s="52">
        <v>101120</v>
      </c>
      <c r="I11" s="52">
        <v>99900</v>
      </c>
      <c r="J11" s="49">
        <v>49.95</v>
      </c>
      <c r="K11" s="49">
        <v>-0.61</v>
      </c>
      <c r="L11" s="53">
        <f t="shared" si="0"/>
        <v>1220</v>
      </c>
    </row>
    <row r="12" spans="1:12">
      <c r="A12" s="49" t="s">
        <v>93</v>
      </c>
      <c r="B12" s="49" t="s">
        <v>102</v>
      </c>
      <c r="C12" s="49" t="s">
        <v>23</v>
      </c>
      <c r="D12" s="51">
        <v>2000</v>
      </c>
      <c r="E12" s="49" t="s">
        <v>40</v>
      </c>
      <c r="F12" s="49" t="s">
        <v>41</v>
      </c>
      <c r="G12" s="49" t="s">
        <v>103</v>
      </c>
      <c r="H12" s="52">
        <v>162860</v>
      </c>
      <c r="I12" s="52">
        <v>160040</v>
      </c>
      <c r="J12" s="49">
        <v>80.02</v>
      </c>
      <c r="K12" s="49">
        <v>-1.41</v>
      </c>
      <c r="L12" s="53">
        <f t="shared" si="0"/>
        <v>2820</v>
      </c>
    </row>
    <row r="13" spans="1:12">
      <c r="A13" s="49" t="s">
        <v>93</v>
      </c>
      <c r="B13" s="49" t="s">
        <v>102</v>
      </c>
      <c r="C13" s="49" t="s">
        <v>23</v>
      </c>
      <c r="D13" s="51">
        <v>10000</v>
      </c>
      <c r="E13" s="49" t="s">
        <v>54</v>
      </c>
      <c r="F13" s="49" t="s">
        <v>55</v>
      </c>
      <c r="G13" s="49" t="s">
        <v>103</v>
      </c>
      <c r="H13" s="52">
        <v>671500</v>
      </c>
      <c r="I13" s="52">
        <v>687000</v>
      </c>
      <c r="J13" s="49">
        <v>68.7</v>
      </c>
      <c r="K13" s="49">
        <v>1.55</v>
      </c>
      <c r="L13" s="53">
        <f t="shared" si="0"/>
        <v>-15500</v>
      </c>
    </row>
    <row r="14" spans="1:12">
      <c r="A14" s="49" t="s">
        <v>93</v>
      </c>
      <c r="B14" s="49" t="s">
        <v>102</v>
      </c>
      <c r="C14" s="49" t="s">
        <v>23</v>
      </c>
      <c r="D14" s="51">
        <v>1000</v>
      </c>
      <c r="E14" s="49" t="s">
        <v>56</v>
      </c>
      <c r="F14" s="49" t="s">
        <v>57</v>
      </c>
      <c r="G14" s="49" t="s">
        <v>103</v>
      </c>
      <c r="H14" s="52">
        <v>54400</v>
      </c>
      <c r="I14" s="52">
        <v>50180</v>
      </c>
      <c r="J14" s="49">
        <v>50.18</v>
      </c>
      <c r="K14" s="49">
        <v>-4.22</v>
      </c>
      <c r="L14" s="53">
        <f t="shared" si="0"/>
        <v>4220</v>
      </c>
    </row>
    <row r="15" spans="1:12">
      <c r="A15" s="49" t="s">
        <v>93</v>
      </c>
      <c r="B15" s="49" t="s">
        <v>102</v>
      </c>
      <c r="C15" s="49" t="s">
        <v>23</v>
      </c>
      <c r="D15" s="51">
        <v>6000</v>
      </c>
      <c r="E15" s="49" t="s">
        <v>36</v>
      </c>
      <c r="F15" s="49" t="s">
        <v>37</v>
      </c>
      <c r="G15" s="49" t="s">
        <v>103</v>
      </c>
      <c r="H15" s="52">
        <v>154090</v>
      </c>
      <c r="I15" s="52">
        <v>125280</v>
      </c>
      <c r="J15" s="49">
        <v>20.88</v>
      </c>
      <c r="K15" s="49">
        <v>-4.8016670000000001</v>
      </c>
      <c r="L15" s="53">
        <f t="shared" si="0"/>
        <v>28810</v>
      </c>
    </row>
    <row r="16" spans="1:12">
      <c r="A16" s="49" t="s">
        <v>93</v>
      </c>
      <c r="B16" s="49" t="s">
        <v>102</v>
      </c>
      <c r="C16" s="49" t="s">
        <v>23</v>
      </c>
      <c r="D16" s="51">
        <v>1000</v>
      </c>
      <c r="E16" s="49" t="s">
        <v>34</v>
      </c>
      <c r="F16" s="49" t="s">
        <v>35</v>
      </c>
      <c r="G16" s="49" t="s">
        <v>103</v>
      </c>
      <c r="H16" s="52">
        <v>9230</v>
      </c>
      <c r="I16" s="52">
        <v>9220</v>
      </c>
      <c r="J16" s="49">
        <v>9.2200000000000006</v>
      </c>
      <c r="K16" s="49">
        <v>-0.01</v>
      </c>
      <c r="L16" s="53">
        <f t="shared" si="0"/>
        <v>10</v>
      </c>
    </row>
    <row r="17" spans="1:12">
      <c r="A17" s="49" t="s">
        <v>93</v>
      </c>
      <c r="B17" s="49" t="s">
        <v>102</v>
      </c>
      <c r="C17" s="49" t="s">
        <v>19</v>
      </c>
      <c r="D17" s="51">
        <v>1000</v>
      </c>
      <c r="E17" s="49" t="s">
        <v>24</v>
      </c>
      <c r="F17" s="49" t="s">
        <v>25</v>
      </c>
      <c r="G17" s="49" t="s">
        <v>103</v>
      </c>
      <c r="H17" s="52">
        <v>814960</v>
      </c>
      <c r="I17" s="52">
        <v>809900</v>
      </c>
      <c r="J17" s="49">
        <v>809.9</v>
      </c>
      <c r="K17" s="49">
        <v>-5.0599999999999996</v>
      </c>
      <c r="L17" s="53">
        <f t="shared" si="0"/>
        <v>5060</v>
      </c>
    </row>
    <row r="18" spans="1:12">
      <c r="A18" s="49" t="s">
        <v>93</v>
      </c>
      <c r="B18" s="49" t="s">
        <v>102</v>
      </c>
      <c r="C18" s="49" t="s">
        <v>19</v>
      </c>
      <c r="D18" s="51">
        <v>3000</v>
      </c>
      <c r="E18" s="49" t="s">
        <v>60</v>
      </c>
      <c r="F18" s="49" t="s">
        <v>61</v>
      </c>
      <c r="G18" s="49" t="s">
        <v>103</v>
      </c>
      <c r="H18" s="52">
        <v>12030</v>
      </c>
      <c r="I18" s="52">
        <v>12270</v>
      </c>
      <c r="J18" s="49">
        <v>4.09</v>
      </c>
      <c r="K18" s="49">
        <v>0.08</v>
      </c>
      <c r="L18" s="53">
        <f t="shared" si="0"/>
        <v>-240</v>
      </c>
    </row>
    <row r="19" spans="1:12">
      <c r="A19" s="49" t="s">
        <v>93</v>
      </c>
      <c r="B19" s="49" t="s">
        <v>102</v>
      </c>
      <c r="C19" s="49" t="s">
        <v>23</v>
      </c>
      <c r="D19" s="51">
        <v>5000</v>
      </c>
      <c r="E19" s="49" t="s">
        <v>21</v>
      </c>
      <c r="F19" s="49" t="s">
        <v>22</v>
      </c>
      <c r="G19" s="49" t="s">
        <v>103</v>
      </c>
      <c r="H19" s="52">
        <v>520683.33</v>
      </c>
      <c r="I19" s="52">
        <v>508450</v>
      </c>
      <c r="J19" s="49">
        <v>101.69</v>
      </c>
      <c r="K19" s="49">
        <v>-2.446666</v>
      </c>
      <c r="L19" s="53">
        <f t="shared" si="0"/>
        <v>12233.330000000016</v>
      </c>
    </row>
    <row r="20" spans="1:12">
      <c r="A20" s="49" t="s">
        <v>104</v>
      </c>
      <c r="B20" s="49" t="s">
        <v>102</v>
      </c>
      <c r="C20" s="49" t="s">
        <v>23</v>
      </c>
      <c r="D20" s="51">
        <v>-2000</v>
      </c>
      <c r="E20" s="49" t="s">
        <v>42</v>
      </c>
      <c r="F20" s="49" t="s">
        <v>43</v>
      </c>
      <c r="G20" s="49" t="s">
        <v>103</v>
      </c>
      <c r="H20" s="52">
        <v>-165080</v>
      </c>
      <c r="I20" s="52">
        <v>-166640</v>
      </c>
      <c r="J20" s="49">
        <v>83.32</v>
      </c>
      <c r="K20" s="49">
        <v>0.78</v>
      </c>
      <c r="L20" s="53">
        <f t="shared" si="0"/>
        <v>1560</v>
      </c>
    </row>
    <row r="21" spans="1:12">
      <c r="A21" s="49" t="s">
        <v>104</v>
      </c>
      <c r="B21" s="49" t="s">
        <v>102</v>
      </c>
      <c r="C21" s="49" t="s">
        <v>23</v>
      </c>
      <c r="D21" s="51">
        <v>-4000</v>
      </c>
      <c r="E21" s="49" t="s">
        <v>64</v>
      </c>
      <c r="F21" s="49" t="s">
        <v>65</v>
      </c>
      <c r="G21" s="49" t="s">
        <v>103</v>
      </c>
      <c r="H21" s="52">
        <v>-177120</v>
      </c>
      <c r="I21" s="52">
        <v>-184040</v>
      </c>
      <c r="J21" s="49">
        <v>46.01</v>
      </c>
      <c r="K21" s="49">
        <v>1.73</v>
      </c>
      <c r="L21" s="53">
        <f t="shared" si="0"/>
        <v>6920</v>
      </c>
    </row>
    <row r="22" spans="1:12">
      <c r="A22" s="49" t="s">
        <v>104</v>
      </c>
      <c r="B22" s="49" t="s">
        <v>102</v>
      </c>
      <c r="C22" s="49" t="s">
        <v>23</v>
      </c>
      <c r="D22" s="51">
        <v>-2000</v>
      </c>
      <c r="E22" s="49" t="s">
        <v>50</v>
      </c>
      <c r="F22" s="49" t="s">
        <v>105</v>
      </c>
      <c r="G22" s="49" t="s">
        <v>103</v>
      </c>
      <c r="H22" s="52">
        <v>-134320</v>
      </c>
      <c r="I22" s="52">
        <v>-138520</v>
      </c>
      <c r="J22" s="49">
        <v>69.260000000000005</v>
      </c>
      <c r="K22" s="49">
        <v>2.1</v>
      </c>
      <c r="L22" s="53">
        <f t="shared" si="0"/>
        <v>4200</v>
      </c>
    </row>
    <row r="23" spans="1:12">
      <c r="A23" s="49" t="s">
        <v>104</v>
      </c>
      <c r="B23" s="49" t="s">
        <v>102</v>
      </c>
      <c r="C23" s="49" t="s">
        <v>19</v>
      </c>
      <c r="D23" s="51">
        <v>-3000</v>
      </c>
      <c r="E23" s="49" t="s">
        <v>58</v>
      </c>
      <c r="F23" s="49" t="s">
        <v>59</v>
      </c>
      <c r="G23" s="49" t="s">
        <v>103</v>
      </c>
      <c r="H23" s="52">
        <v>-85410</v>
      </c>
      <c r="I23" s="52">
        <v>-88200</v>
      </c>
      <c r="J23" s="49">
        <v>29.4</v>
      </c>
      <c r="K23" s="49">
        <v>0.93</v>
      </c>
      <c r="L23" s="53">
        <f t="shared" si="0"/>
        <v>2790</v>
      </c>
    </row>
    <row r="24" spans="1:12">
      <c r="A24" s="49" t="s">
        <v>104</v>
      </c>
      <c r="B24" s="49" t="s">
        <v>102</v>
      </c>
      <c r="C24" s="49" t="s">
        <v>23</v>
      </c>
      <c r="D24" s="51">
        <v>-2000</v>
      </c>
      <c r="E24" s="49" t="s">
        <v>38</v>
      </c>
      <c r="F24" s="49" t="s">
        <v>39</v>
      </c>
      <c r="G24" s="49" t="s">
        <v>103</v>
      </c>
      <c r="H24" s="52">
        <v>-26180</v>
      </c>
      <c r="I24" s="52">
        <v>-28780</v>
      </c>
      <c r="J24" s="49">
        <v>14.39</v>
      </c>
      <c r="K24" s="49">
        <v>1.3</v>
      </c>
      <c r="L24" s="53">
        <f t="shared" si="0"/>
        <v>2600</v>
      </c>
    </row>
    <row r="25" spans="1:12">
      <c r="A25" s="49" t="s">
        <v>104</v>
      </c>
      <c r="B25" s="49" t="s">
        <v>102</v>
      </c>
      <c r="C25" s="49" t="s">
        <v>23</v>
      </c>
      <c r="D25" s="51">
        <v>-4000</v>
      </c>
      <c r="E25" s="49" t="s">
        <v>32</v>
      </c>
      <c r="F25" s="49" t="s">
        <v>106</v>
      </c>
      <c r="G25" s="49" t="s">
        <v>103</v>
      </c>
      <c r="H25" s="52">
        <v>-62400</v>
      </c>
      <c r="I25" s="52">
        <v>-66000</v>
      </c>
      <c r="J25" s="49">
        <v>16.5</v>
      </c>
      <c r="K25" s="49">
        <v>0.9</v>
      </c>
      <c r="L25" s="53">
        <f t="shared" si="0"/>
        <v>3600</v>
      </c>
    </row>
    <row r="26" spans="1:12">
      <c r="A26" s="49"/>
      <c r="B26" s="49"/>
      <c r="C26" s="49"/>
      <c r="D26" s="51"/>
      <c r="E26" s="49"/>
      <c r="F26" s="50" t="s">
        <v>107</v>
      </c>
      <c r="G26" s="50"/>
      <c r="H26" s="54">
        <f>SUM(H8:H25)</f>
        <v>2559703.33</v>
      </c>
      <c r="I26" s="54">
        <f>SUM(I8:I25)</f>
        <v>2478850</v>
      </c>
      <c r="J26" s="49"/>
      <c r="K26" s="49"/>
      <c r="L26" s="53">
        <f>SUM(L8:L25)</f>
        <v>80853.330000000016</v>
      </c>
    </row>
    <row r="27" spans="1:12">
      <c r="A27" s="49" t="s">
        <v>93</v>
      </c>
      <c r="B27" s="49" t="s">
        <v>108</v>
      </c>
      <c r="C27" s="49" t="s">
        <v>109</v>
      </c>
      <c r="D27" s="49" t="s">
        <v>109</v>
      </c>
      <c r="E27" s="49" t="s">
        <v>103</v>
      </c>
      <c r="F27" s="49" t="s">
        <v>110</v>
      </c>
      <c r="G27" s="49" t="s">
        <v>103</v>
      </c>
      <c r="H27" s="52">
        <v>1151731.3500000001</v>
      </c>
      <c r="I27" s="52">
        <v>1151731.3500000001</v>
      </c>
      <c r="J27" s="49" t="s">
        <v>109</v>
      </c>
      <c r="K27" s="49" t="s">
        <v>109</v>
      </c>
      <c r="L27" s="49"/>
    </row>
    <row r="28" spans="1:12">
      <c r="A28" s="49"/>
      <c r="B28" s="49"/>
      <c r="C28" s="49"/>
      <c r="D28" s="49"/>
      <c r="E28" s="49"/>
      <c r="F28" s="50" t="s">
        <v>111</v>
      </c>
      <c r="G28" s="49"/>
      <c r="H28" s="54">
        <f>H26+H27</f>
        <v>3711434.68</v>
      </c>
      <c r="I28" s="54">
        <f>I26+I27</f>
        <v>3630581.35</v>
      </c>
      <c r="J28" s="49"/>
      <c r="K28" s="49"/>
      <c r="L28" s="53">
        <f>H28-I28</f>
        <v>80853.330000000075</v>
      </c>
    </row>
    <row r="29" spans="1:12">
      <c r="A29" s="49" t="s">
        <v>112</v>
      </c>
      <c r="B29" s="49" t="s">
        <v>109</v>
      </c>
      <c r="C29" s="49" t="s">
        <v>109</v>
      </c>
      <c r="D29" s="51">
        <v>23500</v>
      </c>
      <c r="E29" s="49" t="s">
        <v>109</v>
      </c>
      <c r="F29" s="49" t="s">
        <v>109</v>
      </c>
      <c r="G29" s="49" t="s">
        <v>103</v>
      </c>
      <c r="H29" s="49">
        <v>0</v>
      </c>
      <c r="I29" s="52">
        <v>3630581.35</v>
      </c>
      <c r="J29" s="49" t="s">
        <v>109</v>
      </c>
      <c r="K29" s="49" t="s">
        <v>109</v>
      </c>
      <c r="L29" s="49"/>
    </row>
    <row r="30" spans="1:1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spans="1:12">
      <c r="A31" s="49" t="s">
        <v>113</v>
      </c>
      <c r="B31" s="49" t="s">
        <v>114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>
      <c r="A33" s="49" t="s">
        <v>115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>
      <c r="A34" s="49" t="s">
        <v>116</v>
      </c>
      <c r="B34" s="49" t="s">
        <v>117</v>
      </c>
      <c r="C34" s="49" t="s">
        <v>118</v>
      </c>
      <c r="D34" s="49" t="s">
        <v>72</v>
      </c>
      <c r="E34" s="49" t="s">
        <v>74</v>
      </c>
      <c r="F34" s="49" t="s">
        <v>95</v>
      </c>
      <c r="G34" s="49" t="s">
        <v>96</v>
      </c>
      <c r="H34" s="49" t="s">
        <v>119</v>
      </c>
      <c r="I34" s="49" t="s">
        <v>120</v>
      </c>
      <c r="J34" s="49" t="s">
        <v>121</v>
      </c>
      <c r="K34" s="49" t="s">
        <v>122</v>
      </c>
      <c r="L34" s="49" t="s">
        <v>123</v>
      </c>
    </row>
    <row r="35" spans="1:12">
      <c r="A35" s="55">
        <v>42626.711111111108</v>
      </c>
      <c r="B35" s="49" t="s">
        <v>124</v>
      </c>
      <c r="C35" s="49" t="s">
        <v>125</v>
      </c>
      <c r="D35" s="51">
        <v>3000</v>
      </c>
      <c r="E35" s="49" t="s">
        <v>44</v>
      </c>
      <c r="F35" s="49" t="s">
        <v>45</v>
      </c>
      <c r="G35" s="49" t="s">
        <v>103</v>
      </c>
      <c r="H35" s="49" t="s">
        <v>2</v>
      </c>
      <c r="I35" s="49" t="s">
        <v>109</v>
      </c>
      <c r="J35" s="49" t="s">
        <v>109</v>
      </c>
      <c r="K35" s="49" t="s">
        <v>109</v>
      </c>
      <c r="L35" s="49" t="s">
        <v>109</v>
      </c>
    </row>
    <row r="36" spans="1:12">
      <c r="A36" s="55">
        <v>42673.546527777777</v>
      </c>
      <c r="B36" s="49" t="s">
        <v>124</v>
      </c>
      <c r="C36" s="49" t="s">
        <v>125</v>
      </c>
      <c r="D36" s="51">
        <v>6500</v>
      </c>
      <c r="E36" s="49" t="s">
        <v>26</v>
      </c>
      <c r="F36" s="49" t="s">
        <v>27</v>
      </c>
      <c r="G36" s="49" t="s">
        <v>103</v>
      </c>
      <c r="H36" s="49" t="s">
        <v>2</v>
      </c>
      <c r="I36" s="49" t="s">
        <v>109</v>
      </c>
      <c r="J36" s="49" t="s">
        <v>109</v>
      </c>
      <c r="K36" s="49" t="s">
        <v>109</v>
      </c>
      <c r="L36" s="49" t="s">
        <v>109</v>
      </c>
    </row>
    <row r="37" spans="1:1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>
      <c r="A39" s="49" t="s">
        <v>126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>
      <c r="A40" s="49" t="s">
        <v>127</v>
      </c>
      <c r="B40" s="49" t="s">
        <v>109</v>
      </c>
      <c r="C40" s="49" t="s">
        <v>118</v>
      </c>
      <c r="D40" s="49" t="s">
        <v>72</v>
      </c>
      <c r="E40" s="49" t="s">
        <v>74</v>
      </c>
      <c r="F40" s="49" t="s">
        <v>95</v>
      </c>
      <c r="G40" s="49" t="s">
        <v>96</v>
      </c>
      <c r="H40" s="49" t="s">
        <v>128</v>
      </c>
      <c r="I40" s="49" t="s">
        <v>77</v>
      </c>
      <c r="J40" s="49" t="s">
        <v>7</v>
      </c>
      <c r="K40" s="49"/>
      <c r="L40" s="49"/>
    </row>
    <row r="41" spans="1:12">
      <c r="A41" s="55">
        <v>42620.666666666664</v>
      </c>
      <c r="B41" s="49" t="s">
        <v>109</v>
      </c>
      <c r="C41" s="49" t="s">
        <v>129</v>
      </c>
      <c r="D41" s="51">
        <v>1000</v>
      </c>
      <c r="E41" s="49" t="s">
        <v>30</v>
      </c>
      <c r="F41" s="49" t="s">
        <v>31</v>
      </c>
      <c r="G41" s="49" t="s">
        <v>103</v>
      </c>
      <c r="H41" s="49">
        <v>10</v>
      </c>
      <c r="I41" s="52">
        <v>108360</v>
      </c>
      <c r="J41" s="49">
        <v>108.36</v>
      </c>
      <c r="K41" s="49"/>
      <c r="L41" s="49"/>
    </row>
    <row r="42" spans="1:12">
      <c r="A42" s="55">
        <v>42620.666666666664</v>
      </c>
      <c r="B42" s="49" t="s">
        <v>109</v>
      </c>
      <c r="C42" s="49" t="s">
        <v>129</v>
      </c>
      <c r="D42" s="51">
        <v>1000</v>
      </c>
      <c r="E42" s="49" t="s">
        <v>32</v>
      </c>
      <c r="F42" s="49" t="s">
        <v>106</v>
      </c>
      <c r="G42" s="49" t="s">
        <v>103</v>
      </c>
      <c r="H42" s="49">
        <v>10</v>
      </c>
      <c r="I42" s="52">
        <v>15700</v>
      </c>
      <c r="J42" s="49">
        <v>15.7</v>
      </c>
      <c r="K42" s="49"/>
      <c r="L42" s="49"/>
    </row>
    <row r="43" spans="1:12">
      <c r="A43" s="55">
        <v>42620.666666666664</v>
      </c>
      <c r="B43" s="49" t="s">
        <v>109</v>
      </c>
      <c r="C43" s="49" t="s">
        <v>129</v>
      </c>
      <c r="D43" s="51">
        <v>1000</v>
      </c>
      <c r="E43" s="49" t="s">
        <v>64</v>
      </c>
      <c r="F43" s="49" t="s">
        <v>65</v>
      </c>
      <c r="G43" s="49" t="s">
        <v>103</v>
      </c>
      <c r="H43" s="49">
        <v>10</v>
      </c>
      <c r="I43" s="52">
        <v>49770</v>
      </c>
      <c r="J43" s="49">
        <v>49.77</v>
      </c>
      <c r="K43" s="49"/>
      <c r="L43" s="49"/>
    </row>
    <row r="44" spans="1:12">
      <c r="A44" s="55">
        <v>42620.666666666664</v>
      </c>
      <c r="B44" s="49" t="s">
        <v>109</v>
      </c>
      <c r="C44" s="49" t="s">
        <v>129</v>
      </c>
      <c r="D44" s="51">
        <v>1000</v>
      </c>
      <c r="E44" s="49" t="s">
        <v>17</v>
      </c>
      <c r="F44" s="49" t="s">
        <v>18</v>
      </c>
      <c r="G44" s="49" t="s">
        <v>103</v>
      </c>
      <c r="H44" s="49">
        <v>10</v>
      </c>
      <c r="I44" s="52">
        <v>33500</v>
      </c>
      <c r="J44" s="49">
        <v>33.5</v>
      </c>
      <c r="K44" s="49"/>
      <c r="L44" s="49"/>
    </row>
    <row r="45" spans="1:12">
      <c r="A45" s="55">
        <v>42620.666666666664</v>
      </c>
      <c r="B45" s="49" t="s">
        <v>109</v>
      </c>
      <c r="C45" s="49" t="s">
        <v>125</v>
      </c>
      <c r="D45" s="51">
        <v>2000</v>
      </c>
      <c r="E45" s="49" t="s">
        <v>50</v>
      </c>
      <c r="F45" s="49" t="s">
        <v>105</v>
      </c>
      <c r="G45" s="49" t="s">
        <v>103</v>
      </c>
      <c r="H45" s="49">
        <v>10</v>
      </c>
      <c r="I45" s="52">
        <v>-134320</v>
      </c>
      <c r="J45" s="49">
        <v>67.16</v>
      </c>
      <c r="K45" s="49"/>
      <c r="L45" s="49"/>
    </row>
    <row r="46" spans="1:12">
      <c r="A46" s="55">
        <v>42620.666666666664</v>
      </c>
      <c r="B46" s="49" t="s">
        <v>109</v>
      </c>
      <c r="C46" s="49" t="s">
        <v>129</v>
      </c>
      <c r="D46" s="51">
        <v>1000</v>
      </c>
      <c r="E46" s="49" t="s">
        <v>21</v>
      </c>
      <c r="F46" s="49" t="s">
        <v>22</v>
      </c>
      <c r="G46" s="49" t="s">
        <v>103</v>
      </c>
      <c r="H46" s="49">
        <v>10</v>
      </c>
      <c r="I46" s="52">
        <v>102320</v>
      </c>
      <c r="J46" s="49">
        <v>102.32</v>
      </c>
      <c r="K46" s="49"/>
      <c r="L46" s="49"/>
    </row>
    <row r="47" spans="1:12">
      <c r="A47" s="55">
        <v>42621.666666666664</v>
      </c>
      <c r="B47" s="49" t="s">
        <v>109</v>
      </c>
      <c r="C47" s="49" t="s">
        <v>129</v>
      </c>
      <c r="D47" s="51">
        <v>1000</v>
      </c>
      <c r="E47" s="49" t="s">
        <v>34</v>
      </c>
      <c r="F47" s="49" t="s">
        <v>35</v>
      </c>
      <c r="G47" s="49" t="s">
        <v>103</v>
      </c>
      <c r="H47" s="49">
        <v>10</v>
      </c>
      <c r="I47" s="52">
        <v>9230</v>
      </c>
      <c r="J47" s="49">
        <v>9.23</v>
      </c>
      <c r="K47" s="49"/>
      <c r="L47" s="49"/>
    </row>
    <row r="48" spans="1:12">
      <c r="A48" s="55">
        <v>42625.666666666664</v>
      </c>
      <c r="B48" s="49" t="s">
        <v>109</v>
      </c>
      <c r="C48" s="49" t="s">
        <v>125</v>
      </c>
      <c r="D48" s="49">
        <v>500</v>
      </c>
      <c r="E48" s="49" t="s">
        <v>30</v>
      </c>
      <c r="F48" s="49" t="s">
        <v>31</v>
      </c>
      <c r="G48" s="49" t="s">
        <v>103</v>
      </c>
      <c r="H48" s="49">
        <v>10</v>
      </c>
      <c r="I48" s="52">
        <v>-52720</v>
      </c>
      <c r="J48" s="49">
        <v>105.44</v>
      </c>
      <c r="K48" s="49"/>
      <c r="L48" s="49"/>
    </row>
    <row r="49" spans="1:12">
      <c r="A49" s="55">
        <v>42625.666666666664</v>
      </c>
      <c r="B49" s="49" t="s">
        <v>109</v>
      </c>
      <c r="C49" s="49" t="s">
        <v>129</v>
      </c>
      <c r="D49" s="49">
        <v>500</v>
      </c>
      <c r="E49" s="49" t="s">
        <v>26</v>
      </c>
      <c r="F49" s="49" t="s">
        <v>27</v>
      </c>
      <c r="G49" s="49" t="s">
        <v>103</v>
      </c>
      <c r="H49" s="49">
        <v>10</v>
      </c>
      <c r="I49" s="52">
        <v>385745</v>
      </c>
      <c r="J49" s="49">
        <v>771.49</v>
      </c>
      <c r="K49" s="49"/>
      <c r="L49" s="49"/>
    </row>
    <row r="50" spans="1:12">
      <c r="A50" s="55">
        <v>42625.666666666664</v>
      </c>
      <c r="B50" s="49" t="s">
        <v>109</v>
      </c>
      <c r="C50" s="49" t="s">
        <v>129</v>
      </c>
      <c r="D50" s="51">
        <v>1000</v>
      </c>
      <c r="E50" s="49" t="s">
        <v>46</v>
      </c>
      <c r="F50" s="49" t="s">
        <v>47</v>
      </c>
      <c r="G50" s="49" t="s">
        <v>103</v>
      </c>
      <c r="H50" s="49">
        <v>10</v>
      </c>
      <c r="I50" s="52">
        <v>30490</v>
      </c>
      <c r="J50" s="49">
        <v>30.49</v>
      </c>
      <c r="K50" s="49"/>
      <c r="L50" s="49"/>
    </row>
    <row r="51" spans="1:12">
      <c r="A51" s="55">
        <v>42625.666666666664</v>
      </c>
      <c r="B51" s="49" t="s">
        <v>109</v>
      </c>
      <c r="C51" s="49" t="s">
        <v>129</v>
      </c>
      <c r="D51" s="51">
        <v>1000</v>
      </c>
      <c r="E51" s="49" t="s">
        <v>48</v>
      </c>
      <c r="F51" s="49" t="s">
        <v>49</v>
      </c>
      <c r="G51" s="49" t="s">
        <v>103</v>
      </c>
      <c r="H51" s="49">
        <v>10</v>
      </c>
      <c r="I51" s="52">
        <v>16780</v>
      </c>
      <c r="J51" s="49">
        <v>16.78</v>
      </c>
      <c r="K51" s="49"/>
      <c r="L51" s="49"/>
    </row>
    <row r="52" spans="1:12">
      <c r="A52" s="55">
        <v>42625.666666666664</v>
      </c>
      <c r="B52" s="49" t="s">
        <v>109</v>
      </c>
      <c r="C52" s="49" t="s">
        <v>129</v>
      </c>
      <c r="D52" s="51">
        <v>1000</v>
      </c>
      <c r="E52" s="49" t="s">
        <v>52</v>
      </c>
      <c r="F52" s="49" t="s">
        <v>53</v>
      </c>
      <c r="G52" s="49" t="s">
        <v>103</v>
      </c>
      <c r="H52" s="49">
        <v>10</v>
      </c>
      <c r="I52" s="52">
        <v>7930</v>
      </c>
      <c r="J52" s="49">
        <v>7.93</v>
      </c>
      <c r="K52" s="49"/>
      <c r="L52" s="49"/>
    </row>
    <row r="53" spans="1:12">
      <c r="A53" s="55">
        <v>42625.666666666664</v>
      </c>
      <c r="B53" s="49" t="s">
        <v>109</v>
      </c>
      <c r="C53" s="49" t="s">
        <v>125</v>
      </c>
      <c r="D53" s="51">
        <v>2000</v>
      </c>
      <c r="E53" s="49" t="s">
        <v>60</v>
      </c>
      <c r="F53" s="49" t="s">
        <v>61</v>
      </c>
      <c r="G53" s="49" t="s">
        <v>103</v>
      </c>
      <c r="H53" s="49">
        <v>10</v>
      </c>
      <c r="I53" s="52">
        <v>-7100</v>
      </c>
      <c r="J53" s="49">
        <v>3.55</v>
      </c>
      <c r="K53" s="49"/>
      <c r="L53" s="49"/>
    </row>
    <row r="54" spans="1:12">
      <c r="A54" s="55">
        <v>42627.666666666664</v>
      </c>
      <c r="B54" s="49" t="s">
        <v>109</v>
      </c>
      <c r="C54" s="49" t="s">
        <v>129</v>
      </c>
      <c r="D54" s="51">
        <v>3000</v>
      </c>
      <c r="E54" s="49" t="s">
        <v>44</v>
      </c>
      <c r="F54" s="49" t="s">
        <v>45</v>
      </c>
      <c r="G54" s="49" t="s">
        <v>103</v>
      </c>
      <c r="H54" s="49">
        <v>10</v>
      </c>
      <c r="I54" s="52">
        <v>36420</v>
      </c>
      <c r="J54" s="49">
        <v>12.14</v>
      </c>
      <c r="K54" s="49"/>
      <c r="L54" s="49"/>
    </row>
    <row r="55" spans="1:12">
      <c r="A55" s="55">
        <v>42627.666666666664</v>
      </c>
      <c r="B55" s="49" t="s">
        <v>109</v>
      </c>
      <c r="C55" s="49" t="s">
        <v>125</v>
      </c>
      <c r="D55" s="51">
        <v>3000</v>
      </c>
      <c r="E55" s="49" t="s">
        <v>58</v>
      </c>
      <c r="F55" s="49" t="s">
        <v>59</v>
      </c>
      <c r="G55" s="49" t="s">
        <v>103</v>
      </c>
      <c r="H55" s="49">
        <v>10</v>
      </c>
      <c r="I55" s="52">
        <v>-85410</v>
      </c>
      <c r="J55" s="49">
        <v>28.47</v>
      </c>
      <c r="K55" s="49"/>
      <c r="L55" s="49"/>
    </row>
    <row r="56" spans="1:12">
      <c r="A56" s="55">
        <v>42627.666666666664</v>
      </c>
      <c r="B56" s="49" t="s">
        <v>109</v>
      </c>
      <c r="C56" s="49" t="s">
        <v>129</v>
      </c>
      <c r="D56" s="51">
        <v>1000</v>
      </c>
      <c r="E56" s="49" t="s">
        <v>36</v>
      </c>
      <c r="F56" s="49" t="s">
        <v>37</v>
      </c>
      <c r="G56" s="49" t="s">
        <v>103</v>
      </c>
      <c r="H56" s="49">
        <v>10</v>
      </c>
      <c r="I56" s="52">
        <v>25090</v>
      </c>
      <c r="J56" s="49">
        <v>25.09</v>
      </c>
      <c r="K56" s="49"/>
      <c r="L56" s="49"/>
    </row>
    <row r="57" spans="1:12">
      <c r="A57" s="55">
        <v>42633.666666666664</v>
      </c>
      <c r="B57" s="49" t="s">
        <v>109</v>
      </c>
      <c r="C57" s="49" t="s">
        <v>125</v>
      </c>
      <c r="D57" s="51">
        <v>2000</v>
      </c>
      <c r="E57" s="49" t="s">
        <v>42</v>
      </c>
      <c r="F57" s="49" t="s">
        <v>43</v>
      </c>
      <c r="G57" s="49" t="s">
        <v>103</v>
      </c>
      <c r="H57" s="49">
        <v>10</v>
      </c>
      <c r="I57" s="52">
        <v>-165080</v>
      </c>
      <c r="J57" s="49">
        <v>82.54</v>
      </c>
      <c r="K57" s="49"/>
      <c r="L57" s="49"/>
    </row>
    <row r="58" spans="1:12">
      <c r="A58" s="55">
        <v>42634.666666666664</v>
      </c>
      <c r="B58" s="49" t="s">
        <v>109</v>
      </c>
      <c r="C58" s="49" t="s">
        <v>125</v>
      </c>
      <c r="D58" s="51">
        <v>1000</v>
      </c>
      <c r="E58" s="49" t="s">
        <v>48</v>
      </c>
      <c r="F58" s="49" t="s">
        <v>49</v>
      </c>
      <c r="G58" s="49" t="s">
        <v>103</v>
      </c>
      <c r="H58" s="49">
        <v>10</v>
      </c>
      <c r="I58" s="52">
        <v>-17190</v>
      </c>
      <c r="J58" s="49">
        <v>17.190000000000001</v>
      </c>
      <c r="K58" s="49"/>
      <c r="L58" s="49"/>
    </row>
    <row r="59" spans="1:12">
      <c r="A59" s="55">
        <v>42635.666666666664</v>
      </c>
      <c r="B59" s="49" t="s">
        <v>109</v>
      </c>
      <c r="C59" s="49" t="s">
        <v>125</v>
      </c>
      <c r="D59" s="51">
        <v>5000</v>
      </c>
      <c r="E59" s="49" t="s">
        <v>32</v>
      </c>
      <c r="F59" s="49" t="s">
        <v>106</v>
      </c>
      <c r="G59" s="49" t="s">
        <v>103</v>
      </c>
      <c r="H59" s="49">
        <v>10</v>
      </c>
      <c r="I59" s="52">
        <v>-78000</v>
      </c>
      <c r="J59" s="49">
        <v>15.6</v>
      </c>
      <c r="K59" s="49"/>
      <c r="L59" s="49"/>
    </row>
    <row r="60" spans="1:12">
      <c r="A60" s="55">
        <v>42636.666666666664</v>
      </c>
      <c r="B60" s="49" t="s">
        <v>109</v>
      </c>
      <c r="C60" s="49" t="s">
        <v>129</v>
      </c>
      <c r="D60" s="51">
        <v>1000</v>
      </c>
      <c r="E60" s="49" t="s">
        <v>24</v>
      </c>
      <c r="F60" s="49" t="s">
        <v>25</v>
      </c>
      <c r="G60" s="49" t="s">
        <v>103</v>
      </c>
      <c r="H60" s="49">
        <v>10</v>
      </c>
      <c r="I60" s="52">
        <v>814960</v>
      </c>
      <c r="J60" s="49">
        <v>814.96</v>
      </c>
      <c r="K60" s="49"/>
      <c r="L60" s="49"/>
    </row>
    <row r="61" spans="1:12">
      <c r="A61" s="55">
        <v>42639.666666666664</v>
      </c>
      <c r="B61" s="49" t="s">
        <v>109</v>
      </c>
      <c r="C61" s="49" t="s">
        <v>129</v>
      </c>
      <c r="D61" s="51">
        <v>1000</v>
      </c>
      <c r="E61" s="49" t="s">
        <v>66</v>
      </c>
      <c r="F61" s="49" t="s">
        <v>67</v>
      </c>
      <c r="G61" s="49" t="s">
        <v>103</v>
      </c>
      <c r="H61" s="49">
        <v>10</v>
      </c>
      <c r="I61" s="52">
        <v>42290</v>
      </c>
      <c r="J61" s="49">
        <v>42.29</v>
      </c>
      <c r="K61" s="49"/>
      <c r="L61" s="49"/>
    </row>
    <row r="62" spans="1:12">
      <c r="A62" s="55">
        <v>42639.666666666664</v>
      </c>
      <c r="B62" s="49" t="s">
        <v>109</v>
      </c>
      <c r="C62" s="49" t="s">
        <v>129</v>
      </c>
      <c r="D62" s="51">
        <v>1000</v>
      </c>
      <c r="E62" s="49" t="s">
        <v>56</v>
      </c>
      <c r="F62" s="49" t="s">
        <v>57</v>
      </c>
      <c r="G62" s="49" t="s">
        <v>103</v>
      </c>
      <c r="H62" s="49">
        <v>10</v>
      </c>
      <c r="I62" s="52">
        <v>54400</v>
      </c>
      <c r="J62" s="49">
        <v>54.4</v>
      </c>
      <c r="K62" s="49"/>
      <c r="L62" s="49"/>
    </row>
    <row r="63" spans="1:12">
      <c r="A63" s="55">
        <v>42639.666666666664</v>
      </c>
      <c r="B63" s="49" t="s">
        <v>109</v>
      </c>
      <c r="C63" s="49" t="s">
        <v>129</v>
      </c>
      <c r="D63" s="51">
        <v>2000</v>
      </c>
      <c r="E63" s="49" t="s">
        <v>62</v>
      </c>
      <c r="F63" s="49" t="s">
        <v>63</v>
      </c>
      <c r="G63" s="49" t="s">
        <v>103</v>
      </c>
      <c r="H63" s="49">
        <v>10</v>
      </c>
      <c r="I63" s="52">
        <v>108080</v>
      </c>
      <c r="J63" s="49">
        <v>54.04</v>
      </c>
      <c r="K63" s="49"/>
      <c r="L63" s="49"/>
    </row>
    <row r="64" spans="1:12">
      <c r="A64" s="55">
        <v>42639.666666666664</v>
      </c>
      <c r="B64" s="49" t="s">
        <v>109</v>
      </c>
      <c r="C64" s="49" t="s">
        <v>129</v>
      </c>
      <c r="D64" s="51">
        <v>10000</v>
      </c>
      <c r="E64" s="49" t="s">
        <v>54</v>
      </c>
      <c r="F64" s="49" t="s">
        <v>55</v>
      </c>
      <c r="G64" s="49" t="s">
        <v>103</v>
      </c>
      <c r="H64" s="49">
        <v>10</v>
      </c>
      <c r="I64" s="52">
        <v>671500</v>
      </c>
      <c r="J64" s="49">
        <v>67.150000000000006</v>
      </c>
      <c r="K64" s="49"/>
      <c r="L64" s="49"/>
    </row>
    <row r="65" spans="1:12">
      <c r="A65" s="55">
        <v>42640.666666666664</v>
      </c>
      <c r="B65" s="49" t="s">
        <v>109</v>
      </c>
      <c r="C65" s="49" t="s">
        <v>129</v>
      </c>
      <c r="D65" s="51">
        <v>2000</v>
      </c>
      <c r="E65" s="49" t="s">
        <v>40</v>
      </c>
      <c r="F65" s="49" t="s">
        <v>41</v>
      </c>
      <c r="G65" s="49" t="s">
        <v>103</v>
      </c>
      <c r="H65" s="49">
        <v>10</v>
      </c>
      <c r="I65" s="52">
        <v>162860</v>
      </c>
      <c r="J65" s="49">
        <v>81.430000000000007</v>
      </c>
      <c r="K65" s="49"/>
      <c r="L65" s="49"/>
    </row>
    <row r="66" spans="1:12">
      <c r="A66" s="55">
        <v>42640.666666666664</v>
      </c>
      <c r="B66" s="49" t="s">
        <v>109</v>
      </c>
      <c r="C66" s="49" t="s">
        <v>129</v>
      </c>
      <c r="D66" s="51">
        <v>2000</v>
      </c>
      <c r="E66" s="49" t="s">
        <v>28</v>
      </c>
      <c r="F66" s="49" t="s">
        <v>29</v>
      </c>
      <c r="G66" s="49" t="s">
        <v>103</v>
      </c>
      <c r="H66" s="49">
        <v>10</v>
      </c>
      <c r="I66" s="52">
        <v>101120</v>
      </c>
      <c r="J66" s="49">
        <v>50.56</v>
      </c>
      <c r="K66" s="49"/>
      <c r="L66" s="49"/>
    </row>
    <row r="67" spans="1:12">
      <c r="A67" s="55">
        <v>42640.666666666664</v>
      </c>
      <c r="B67" s="49" t="s">
        <v>109</v>
      </c>
      <c r="C67" s="49" t="s">
        <v>129</v>
      </c>
      <c r="D67" s="51">
        <v>5000</v>
      </c>
      <c r="E67" s="49" t="s">
        <v>48</v>
      </c>
      <c r="F67" s="49" t="s">
        <v>49</v>
      </c>
      <c r="G67" s="49" t="s">
        <v>103</v>
      </c>
      <c r="H67" s="49">
        <v>10</v>
      </c>
      <c r="I67" s="52">
        <v>86650</v>
      </c>
      <c r="J67" s="49">
        <v>17.329999999999998</v>
      </c>
      <c r="K67" s="49"/>
      <c r="L67" s="49"/>
    </row>
    <row r="68" spans="1:12">
      <c r="A68" s="55">
        <v>42643.666666666664</v>
      </c>
      <c r="B68" s="49" t="s">
        <v>109</v>
      </c>
      <c r="C68" s="49" t="s">
        <v>125</v>
      </c>
      <c r="D68" s="51">
        <v>5000</v>
      </c>
      <c r="E68" s="49" t="s">
        <v>64</v>
      </c>
      <c r="F68" s="49" t="s">
        <v>65</v>
      </c>
      <c r="G68" s="49" t="s">
        <v>103</v>
      </c>
      <c r="H68" s="49">
        <v>10</v>
      </c>
      <c r="I68" s="52">
        <v>-221400</v>
      </c>
      <c r="J68" s="49">
        <v>44.28</v>
      </c>
      <c r="K68" s="49"/>
      <c r="L68" s="49"/>
    </row>
    <row r="69" spans="1:12">
      <c r="A69" s="55">
        <v>42643.666666666664</v>
      </c>
      <c r="B69" s="49" t="s">
        <v>109</v>
      </c>
      <c r="C69" s="49" t="s">
        <v>125</v>
      </c>
      <c r="D69" s="51">
        <v>2000</v>
      </c>
      <c r="E69" s="49" t="s">
        <v>38</v>
      </c>
      <c r="F69" s="49" t="s">
        <v>39</v>
      </c>
      <c r="G69" s="49" t="s">
        <v>103</v>
      </c>
      <c r="H69" s="49">
        <v>10</v>
      </c>
      <c r="I69" s="52">
        <v>-26180</v>
      </c>
      <c r="J69" s="49">
        <v>13.09</v>
      </c>
      <c r="K69" s="49"/>
      <c r="L69" s="49"/>
    </row>
    <row r="70" spans="1:12">
      <c r="A70" s="55">
        <v>42643.666666666664</v>
      </c>
      <c r="B70" s="49" t="s">
        <v>109</v>
      </c>
      <c r="C70" s="49" t="s">
        <v>129</v>
      </c>
      <c r="D70" s="51">
        <v>5000</v>
      </c>
      <c r="E70" s="49" t="s">
        <v>36</v>
      </c>
      <c r="F70" s="49" t="s">
        <v>37</v>
      </c>
      <c r="G70" s="49" t="s">
        <v>103</v>
      </c>
      <c r="H70" s="49">
        <v>10</v>
      </c>
      <c r="I70" s="52">
        <v>129000</v>
      </c>
      <c r="J70" s="49">
        <v>25.8</v>
      </c>
      <c r="K70" s="49"/>
      <c r="L70" s="49"/>
    </row>
    <row r="71" spans="1:12">
      <c r="A71" s="55">
        <v>42648.666666666664</v>
      </c>
      <c r="B71" s="49" t="s">
        <v>109</v>
      </c>
      <c r="C71" s="49" t="s">
        <v>129</v>
      </c>
      <c r="D71" s="51">
        <v>5000</v>
      </c>
      <c r="E71" s="49" t="s">
        <v>60</v>
      </c>
      <c r="F71" s="49" t="s">
        <v>61</v>
      </c>
      <c r="G71" s="49" t="s">
        <v>103</v>
      </c>
      <c r="H71" s="49">
        <v>10</v>
      </c>
      <c r="I71" s="52">
        <v>20050</v>
      </c>
      <c r="J71" s="49">
        <v>4.01</v>
      </c>
      <c r="K71" s="49"/>
      <c r="L71" s="49"/>
    </row>
    <row r="72" spans="1:12">
      <c r="A72" s="55">
        <v>42648.666666666664</v>
      </c>
      <c r="B72" s="49" t="s">
        <v>109</v>
      </c>
      <c r="C72" s="49" t="s">
        <v>129</v>
      </c>
      <c r="D72" s="51">
        <v>4000</v>
      </c>
      <c r="E72" s="49" t="s">
        <v>52</v>
      </c>
      <c r="F72" s="49" t="s">
        <v>53</v>
      </c>
      <c r="G72" s="49" t="s">
        <v>103</v>
      </c>
      <c r="H72" s="49">
        <v>10</v>
      </c>
      <c r="I72" s="52">
        <v>34440</v>
      </c>
      <c r="J72" s="49">
        <v>8.61</v>
      </c>
      <c r="K72" s="49"/>
      <c r="L72" s="49"/>
    </row>
    <row r="73" spans="1:12">
      <c r="A73" s="55">
        <v>42667.666666666664</v>
      </c>
      <c r="B73" s="49" t="s">
        <v>109</v>
      </c>
      <c r="C73" s="49" t="s">
        <v>129</v>
      </c>
      <c r="D73" s="51">
        <v>5000</v>
      </c>
      <c r="E73" s="49" t="s">
        <v>21</v>
      </c>
      <c r="F73" s="49" t="s">
        <v>22</v>
      </c>
      <c r="G73" s="49" t="s">
        <v>103</v>
      </c>
      <c r="H73" s="49">
        <v>10</v>
      </c>
      <c r="I73" s="52">
        <v>522500</v>
      </c>
      <c r="J73" s="49">
        <v>104.5</v>
      </c>
      <c r="K73" s="49"/>
      <c r="L73" s="49"/>
    </row>
    <row r="74" spans="1:12">
      <c r="A74" s="55">
        <v>42667.666666666664</v>
      </c>
      <c r="B74" s="49" t="s">
        <v>109</v>
      </c>
      <c r="C74" s="49" t="s">
        <v>129</v>
      </c>
      <c r="D74" s="51">
        <v>6000</v>
      </c>
      <c r="E74" s="49" t="s">
        <v>26</v>
      </c>
      <c r="F74" s="49" t="s">
        <v>27</v>
      </c>
      <c r="G74" s="49" t="s">
        <v>103</v>
      </c>
      <c r="H74" s="49">
        <v>10</v>
      </c>
      <c r="I74" s="52">
        <v>5028540</v>
      </c>
      <c r="J74" s="49">
        <v>838.09</v>
      </c>
      <c r="K74" s="49"/>
      <c r="L74" s="49"/>
    </row>
    <row r="75" spans="1:12">
      <c r="A75" s="55">
        <v>42667.666666666664</v>
      </c>
      <c r="B75" s="49" t="s">
        <v>109</v>
      </c>
      <c r="C75" s="49" t="s">
        <v>129</v>
      </c>
      <c r="D75" s="51">
        <v>5000</v>
      </c>
      <c r="E75" s="49" t="s">
        <v>30</v>
      </c>
      <c r="F75" s="49" t="s">
        <v>31</v>
      </c>
      <c r="G75" s="49" t="s">
        <v>103</v>
      </c>
      <c r="H75" s="49">
        <v>10</v>
      </c>
      <c r="I75" s="52">
        <v>588250</v>
      </c>
      <c r="J75" s="49">
        <v>117.65</v>
      </c>
      <c r="K75" s="49"/>
      <c r="L75" s="49"/>
    </row>
    <row r="76" spans="1:12">
      <c r="A76" s="55">
        <v>42669.666666666664</v>
      </c>
      <c r="B76" s="49" t="s">
        <v>109</v>
      </c>
      <c r="C76" s="49" t="s">
        <v>125</v>
      </c>
      <c r="D76" s="51">
        <v>1000</v>
      </c>
      <c r="E76" s="49" t="s">
        <v>17</v>
      </c>
      <c r="F76" s="49" t="s">
        <v>18</v>
      </c>
      <c r="G76" s="49" t="s">
        <v>103</v>
      </c>
      <c r="H76" s="49">
        <v>10</v>
      </c>
      <c r="I76" s="52">
        <v>-33210</v>
      </c>
      <c r="J76" s="49">
        <v>33.21</v>
      </c>
      <c r="K76" s="49"/>
      <c r="L76" s="49"/>
    </row>
    <row r="77" spans="1:12">
      <c r="A77" s="55">
        <v>42669.666666666664</v>
      </c>
      <c r="B77" s="49" t="s">
        <v>109</v>
      </c>
      <c r="C77" s="49" t="s">
        <v>125</v>
      </c>
      <c r="D77" s="51">
        <v>2000</v>
      </c>
      <c r="E77" s="49" t="s">
        <v>62</v>
      </c>
      <c r="F77" s="49" t="s">
        <v>63</v>
      </c>
      <c r="G77" s="49" t="s">
        <v>103</v>
      </c>
      <c r="H77" s="49">
        <v>10</v>
      </c>
      <c r="I77" s="52">
        <v>-107260</v>
      </c>
      <c r="J77" s="49">
        <v>53.63</v>
      </c>
      <c r="K77" s="49"/>
      <c r="L77" s="49"/>
    </row>
    <row r="78" spans="1:12">
      <c r="A78" s="55">
        <v>42669.666666666664</v>
      </c>
      <c r="B78" s="49" t="s">
        <v>109</v>
      </c>
      <c r="C78" s="49" t="s">
        <v>125</v>
      </c>
      <c r="D78" s="51">
        <v>1000</v>
      </c>
      <c r="E78" s="49" t="s">
        <v>66</v>
      </c>
      <c r="F78" s="49" t="s">
        <v>67</v>
      </c>
      <c r="G78" s="49" t="s">
        <v>103</v>
      </c>
      <c r="H78" s="49">
        <v>10</v>
      </c>
      <c r="I78" s="52">
        <v>-42080</v>
      </c>
      <c r="J78" s="49">
        <v>42.08</v>
      </c>
      <c r="K78" s="49"/>
      <c r="L78" s="49"/>
    </row>
    <row r="79" spans="1:12">
      <c r="A79" s="55">
        <v>42669.666666666664</v>
      </c>
      <c r="B79" s="49" t="s">
        <v>109</v>
      </c>
      <c r="C79" s="49" t="s">
        <v>125</v>
      </c>
      <c r="D79" s="51">
        <v>5000</v>
      </c>
      <c r="E79" s="49" t="s">
        <v>52</v>
      </c>
      <c r="F79" s="49" t="s">
        <v>53</v>
      </c>
      <c r="G79" s="49" t="s">
        <v>103</v>
      </c>
      <c r="H79" s="49">
        <v>10</v>
      </c>
      <c r="I79" s="52">
        <v>-48300</v>
      </c>
      <c r="J79" s="49">
        <v>9.66</v>
      </c>
      <c r="K79" s="49"/>
      <c r="L79" s="49"/>
    </row>
    <row r="80" spans="1:12">
      <c r="A80" s="55">
        <v>42670.666666666664</v>
      </c>
      <c r="B80" s="49" t="s">
        <v>109</v>
      </c>
      <c r="C80" s="49" t="s">
        <v>125</v>
      </c>
      <c r="D80" s="51">
        <v>5000</v>
      </c>
      <c r="E80" s="49" t="s">
        <v>48</v>
      </c>
      <c r="F80" s="49" t="s">
        <v>49</v>
      </c>
      <c r="G80" s="49" t="s">
        <v>103</v>
      </c>
      <c r="H80" s="49">
        <v>10</v>
      </c>
      <c r="I80" s="52">
        <v>-86800</v>
      </c>
      <c r="J80" s="49">
        <v>17.36</v>
      </c>
      <c r="K80" s="49"/>
      <c r="L80" s="49"/>
    </row>
    <row r="81" spans="1:12">
      <c r="A81" s="55">
        <v>42670.666666666664</v>
      </c>
      <c r="B81" s="49" t="s">
        <v>109</v>
      </c>
      <c r="C81" s="49" t="s">
        <v>125</v>
      </c>
      <c r="D81" s="51">
        <v>1000</v>
      </c>
      <c r="E81" s="49" t="s">
        <v>21</v>
      </c>
      <c r="F81" s="49" t="s">
        <v>22</v>
      </c>
      <c r="G81" s="49" t="s">
        <v>103</v>
      </c>
      <c r="H81" s="49">
        <v>10</v>
      </c>
      <c r="I81" s="52">
        <v>-102380</v>
      </c>
      <c r="J81" s="49">
        <v>102.38</v>
      </c>
      <c r="K81" s="49"/>
      <c r="L81" s="49"/>
    </row>
    <row r="82" spans="1:12">
      <c r="A82" s="55">
        <v>42674.666666666664</v>
      </c>
      <c r="B82" s="49" t="s">
        <v>109</v>
      </c>
      <c r="C82" s="49" t="s">
        <v>125</v>
      </c>
      <c r="D82" s="51">
        <v>6500</v>
      </c>
      <c r="E82" s="49" t="s">
        <v>26</v>
      </c>
      <c r="F82" s="49" t="s">
        <v>27</v>
      </c>
      <c r="G82" s="49" t="s">
        <v>103</v>
      </c>
      <c r="H82" s="49">
        <v>10</v>
      </c>
      <c r="I82" s="52">
        <v>-5133830</v>
      </c>
      <c r="J82" s="49">
        <v>789.82</v>
      </c>
      <c r="K82" s="49"/>
      <c r="L82" s="49"/>
    </row>
    <row r="83" spans="1:12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</row>
    <row r="84" spans="1:12">
      <c r="A84" s="49" t="s">
        <v>96</v>
      </c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</row>
    <row r="85" spans="1:12">
      <c r="A85" s="49" t="s">
        <v>117</v>
      </c>
      <c r="B85" s="49" t="s">
        <v>127</v>
      </c>
      <c r="C85" s="49" t="s">
        <v>129</v>
      </c>
      <c r="D85" s="49" t="s">
        <v>130</v>
      </c>
      <c r="E85" s="49" t="s">
        <v>125</v>
      </c>
      <c r="F85" s="49" t="s">
        <v>131</v>
      </c>
      <c r="G85" s="49" t="s">
        <v>128</v>
      </c>
      <c r="H85" s="49" t="s">
        <v>94</v>
      </c>
      <c r="I85" s="49"/>
      <c r="J85" s="49"/>
      <c r="K85" s="49"/>
      <c r="L85" s="49"/>
    </row>
    <row r="86" spans="1:12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</row>
    <row r="87" spans="1:12">
      <c r="A87" s="49" t="s">
        <v>132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</row>
    <row r="88" spans="1:12">
      <c r="A88" s="49" t="s">
        <v>16</v>
      </c>
      <c r="B88" s="49" t="s">
        <v>109</v>
      </c>
      <c r="C88" s="49" t="s">
        <v>118</v>
      </c>
      <c r="D88" s="49" t="s">
        <v>72</v>
      </c>
      <c r="E88" s="49" t="s">
        <v>74</v>
      </c>
      <c r="F88" s="49" t="s">
        <v>95</v>
      </c>
      <c r="G88" s="49" t="s">
        <v>96</v>
      </c>
      <c r="H88" s="49" t="s">
        <v>77</v>
      </c>
      <c r="I88" s="49" t="s">
        <v>133</v>
      </c>
      <c r="J88" s="49"/>
      <c r="K88" s="49"/>
      <c r="L88" s="49"/>
    </row>
    <row r="89" spans="1:12">
      <c r="A89" s="55">
        <v>42614</v>
      </c>
      <c r="B89" s="49" t="s">
        <v>109</v>
      </c>
      <c r="C89" s="49" t="s">
        <v>134</v>
      </c>
      <c r="D89" s="49" t="s">
        <v>109</v>
      </c>
      <c r="E89" s="49" t="s">
        <v>109</v>
      </c>
      <c r="F89" s="49" t="s">
        <v>109</v>
      </c>
      <c r="G89" s="49" t="s">
        <v>103</v>
      </c>
      <c r="H89" s="52">
        <v>1000000</v>
      </c>
      <c r="I89" s="49" t="s">
        <v>109</v>
      </c>
      <c r="J89" s="49"/>
      <c r="K89" s="49"/>
      <c r="L89" s="49"/>
    </row>
    <row r="90" spans="1:12">
      <c r="A90" s="55">
        <v>42614</v>
      </c>
      <c r="B90" s="49" t="s">
        <v>109</v>
      </c>
      <c r="C90" s="49" t="s">
        <v>134</v>
      </c>
      <c r="D90" s="49" t="s">
        <v>109</v>
      </c>
      <c r="E90" s="49" t="s">
        <v>109</v>
      </c>
      <c r="F90" s="49" t="s">
        <v>109</v>
      </c>
      <c r="G90" s="49" t="s">
        <v>103</v>
      </c>
      <c r="H90" s="52">
        <v>1000000</v>
      </c>
      <c r="I90" s="49" t="s">
        <v>109</v>
      </c>
      <c r="J90" s="49"/>
      <c r="K90" s="49"/>
      <c r="L90" s="49"/>
    </row>
    <row r="91" spans="1:12">
      <c r="A91" s="55">
        <v>42614</v>
      </c>
      <c r="B91" s="49" t="s">
        <v>109</v>
      </c>
      <c r="C91" s="49" t="s">
        <v>134</v>
      </c>
      <c r="D91" s="49" t="s">
        <v>109</v>
      </c>
      <c r="E91" s="49" t="s">
        <v>109</v>
      </c>
      <c r="F91" s="49" t="s">
        <v>109</v>
      </c>
      <c r="G91" s="49" t="s">
        <v>103</v>
      </c>
      <c r="H91" s="52">
        <v>1000000</v>
      </c>
      <c r="I91" s="49" t="s">
        <v>109</v>
      </c>
      <c r="J91" s="49"/>
      <c r="K91" s="49"/>
      <c r="L91" s="49"/>
    </row>
    <row r="92" spans="1:12">
      <c r="A92" s="55">
        <v>42614</v>
      </c>
      <c r="B92" s="49" t="s">
        <v>109</v>
      </c>
      <c r="C92" s="49" t="s">
        <v>134</v>
      </c>
      <c r="D92" s="49" t="s">
        <v>109</v>
      </c>
      <c r="E92" s="49" t="s">
        <v>109</v>
      </c>
      <c r="F92" s="49" t="s">
        <v>109</v>
      </c>
      <c r="G92" s="49" t="s">
        <v>103</v>
      </c>
      <c r="H92" s="52">
        <v>1000000</v>
      </c>
      <c r="I92" s="49" t="s">
        <v>109</v>
      </c>
      <c r="J92" s="49"/>
      <c r="K92" s="49"/>
      <c r="L92" s="49"/>
    </row>
    <row r="93" spans="1:12">
      <c r="A93" s="55">
        <v>42643.999305555553</v>
      </c>
      <c r="B93" s="49" t="s">
        <v>109</v>
      </c>
      <c r="C93" s="49" t="s">
        <v>135</v>
      </c>
      <c r="D93" s="49" t="s">
        <v>109</v>
      </c>
      <c r="E93" s="49" t="s">
        <v>109</v>
      </c>
      <c r="F93" s="49" t="s">
        <v>147</v>
      </c>
      <c r="G93" s="49" t="s">
        <v>103</v>
      </c>
      <c r="H93" s="52">
        <v>1353.58</v>
      </c>
      <c r="I93" s="49" t="s">
        <v>109</v>
      </c>
      <c r="J93" s="49"/>
      <c r="K93" s="49"/>
      <c r="L93" s="49"/>
    </row>
    <row r="94" spans="1:12">
      <c r="A94" s="55">
        <v>42668.645833333336</v>
      </c>
      <c r="B94" s="49" t="s">
        <v>109</v>
      </c>
      <c r="C94" s="49" t="s">
        <v>137</v>
      </c>
      <c r="D94" s="51">
        <v>1000</v>
      </c>
      <c r="E94" s="49" t="s">
        <v>46</v>
      </c>
      <c r="F94" s="49" t="s">
        <v>47</v>
      </c>
      <c r="G94" s="49" t="s">
        <v>103</v>
      </c>
      <c r="H94" s="49">
        <v>230</v>
      </c>
      <c r="I94" s="49">
        <v>0.23</v>
      </c>
      <c r="J94" s="49"/>
      <c r="K94" s="49"/>
      <c r="L94" s="49"/>
    </row>
    <row r="95" spans="1:12">
      <c r="A95" s="55">
        <v>42674.645833333336</v>
      </c>
      <c r="B95" s="49" t="s">
        <v>109</v>
      </c>
      <c r="C95" s="49" t="s">
        <v>137</v>
      </c>
      <c r="D95" s="51">
        <v>-2000</v>
      </c>
      <c r="E95" s="49" t="s">
        <v>50</v>
      </c>
      <c r="F95" s="49" t="s">
        <v>105</v>
      </c>
      <c r="G95" s="49" t="s">
        <v>103</v>
      </c>
      <c r="H95" s="49">
        <v>-960</v>
      </c>
      <c r="I95" s="49">
        <v>0.48</v>
      </c>
      <c r="J95" s="49"/>
      <c r="K95" s="49"/>
      <c r="L95" s="49"/>
    </row>
    <row r="96" spans="1:12">
      <c r="A96" s="55">
        <v>42674.999305555553</v>
      </c>
      <c r="B96" s="49" t="s">
        <v>109</v>
      </c>
      <c r="C96" s="49" t="s">
        <v>135</v>
      </c>
      <c r="D96" s="49" t="s">
        <v>109</v>
      </c>
      <c r="E96" s="49" t="s">
        <v>109</v>
      </c>
      <c r="F96" s="49" t="s">
        <v>136</v>
      </c>
      <c r="G96" s="49" t="s">
        <v>103</v>
      </c>
      <c r="H96" s="49">
        <v>584.41</v>
      </c>
      <c r="I96" s="49" t="s">
        <v>109</v>
      </c>
      <c r="J96" s="49"/>
      <c r="K96" s="49"/>
      <c r="L96" s="49"/>
    </row>
    <row r="97" spans="1:12">
      <c r="A97" s="55">
        <v>42674.999305555553</v>
      </c>
      <c r="B97" s="49" t="s">
        <v>109</v>
      </c>
      <c r="C97" s="49" t="s">
        <v>138</v>
      </c>
      <c r="D97" s="49" t="s">
        <v>109</v>
      </c>
      <c r="E97" s="49" t="s">
        <v>109</v>
      </c>
      <c r="F97" s="49" t="s">
        <v>149</v>
      </c>
      <c r="G97" s="49" t="s">
        <v>103</v>
      </c>
      <c r="H97" s="52">
        <v>-1938.03</v>
      </c>
      <c r="I97" s="49" t="s">
        <v>109</v>
      </c>
      <c r="J97" s="49"/>
      <c r="K97" s="49"/>
      <c r="L97" s="49"/>
    </row>
    <row r="98" spans="1:12">
      <c r="A98" s="55">
        <v>42674.999305555553</v>
      </c>
      <c r="B98" s="49" t="s">
        <v>109</v>
      </c>
      <c r="C98" s="49" t="s">
        <v>139</v>
      </c>
      <c r="D98" s="49" t="s">
        <v>109</v>
      </c>
      <c r="E98" s="49" t="s">
        <v>109</v>
      </c>
      <c r="F98" s="49" t="s">
        <v>140</v>
      </c>
      <c r="G98" s="49" t="s">
        <v>103</v>
      </c>
      <c r="H98" s="52">
        <v>-2403.61</v>
      </c>
      <c r="I98" s="49" t="s">
        <v>109</v>
      </c>
      <c r="J98" s="49"/>
      <c r="K98" s="49"/>
      <c r="L98" s="49"/>
    </row>
    <row r="99" spans="1:12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</row>
    <row r="100" spans="1:12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</row>
    <row r="101" spans="1:12">
      <c r="A101" s="49" t="s">
        <v>141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</row>
    <row r="102" spans="1:12">
      <c r="A102" s="49" t="s">
        <v>142</v>
      </c>
      <c r="B102" s="49" t="s">
        <v>143</v>
      </c>
      <c r="C102" s="49" t="s">
        <v>144</v>
      </c>
      <c r="D102" s="49" t="s">
        <v>145</v>
      </c>
      <c r="E102" s="49" t="s">
        <v>123</v>
      </c>
      <c r="F102" s="49"/>
      <c r="G102" s="49"/>
      <c r="H102" s="49"/>
      <c r="I102" s="49"/>
      <c r="J102" s="49"/>
      <c r="K102" s="49"/>
      <c r="L102" s="49"/>
    </row>
    <row r="103" spans="1:12">
      <c r="A103" s="55">
        <v>42667.677777777775</v>
      </c>
      <c r="B103" s="55">
        <v>42676.677777777775</v>
      </c>
      <c r="C103" s="49">
        <v>0</v>
      </c>
      <c r="D103" s="55">
        <v>42674.678472222222</v>
      </c>
      <c r="E103" s="49" t="s">
        <v>146</v>
      </c>
      <c r="F103" s="49"/>
      <c r="G103" s="49"/>
      <c r="H103" s="49"/>
      <c r="I103" s="49"/>
      <c r="J103" s="49"/>
      <c r="K103" s="49"/>
      <c r="L103" s="49"/>
    </row>
  </sheetData>
  <phoneticPr fontId="1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Stewardship</vt:lpstr>
      <vt:lpstr>Transaction</vt:lpstr>
      <vt:lpstr>Income</vt:lpstr>
      <vt:lpstr>Management Report</vt:lpstr>
      <vt:lpstr>Data</vt:lpstr>
      <vt:lpstr>Portfolio</vt:lpstr>
      <vt:lpstr>Managed UISES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林砰砰 林</dc:creator>
  <cp:lastModifiedBy>Zhao suisse</cp:lastModifiedBy>
  <dcterms:created xsi:type="dcterms:W3CDTF">2016-11-05T07:27:19Z</dcterms:created>
  <dcterms:modified xsi:type="dcterms:W3CDTF">2016-11-06T20:30:45Z</dcterms:modified>
</cp:coreProperties>
</file>