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gif" ContentType="image/gif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8C4F1C90-05EB-6A55-5F09-09C24B55AC0B}"/>
  <workbookPr codeName="ThisWorkbook" autoCompressPictures="0"/>
  <bookViews>
    <workbookView xWindow="0" yWindow="0" windowWidth="25600" windowHeight="16060" tabRatio="894" activeTab="6"/>
  </bookViews>
  <sheets>
    <sheet name="Title" sheetId="19" r:id="rId1"/>
    <sheet name="Stewardship" sheetId="18" r:id="rId2"/>
    <sheet name="EquityT" sheetId="17" r:id="rId3"/>
    <sheet name="CurrencyT" sheetId="15" r:id="rId4"/>
    <sheet name="Dividends" sheetId="16" r:id="rId5"/>
    <sheet name="Cash" sheetId="20" r:id="rId6"/>
    <sheet name="Management Report" sheetId="38" r:id="rId7"/>
    <sheet name="Data" sheetId="14" r:id="rId8"/>
    <sheet name="Portfolio11611315317.csv" sheetId="41" r:id="rId9"/>
    <sheet name="Managed UISES" sheetId="40" r:id="rId10"/>
  </sheets>
  <externalReferences>
    <externalReference r:id="rId11"/>
    <externalReference r:id="rId12"/>
    <externalReference r:id="rId13"/>
    <externalReference r:id="rId14"/>
  </externalReferences>
  <definedNames>
    <definedName name="CIQWBGuid" hidden="1">"22db9fa1-ceae-437c-8438-0f4ae87d6eb1"</definedName>
    <definedName name="Company">Title!$B$4</definedName>
    <definedName name="Data">[1]Portfolio112918190!$A$3:$D$19</definedName>
    <definedName name="Date">Title!$B$4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42304.544525463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_xlnm.Print_Area" localSheetId="5">Cash!$A$1:$M$34</definedName>
    <definedName name="_xlnm.Print_Titles" localSheetId="5">Cash!$1:$2</definedName>
    <definedName name="_xlnm.Print_Titles" localSheetId="3">CurrencyT!$1:$2</definedName>
    <definedName name="_xlnm.Print_Titles" localSheetId="4">Dividends!$1:$2</definedName>
    <definedName name="_xlnm.Print_Titles" localSheetId="2">EquityT!$1:$2</definedName>
    <definedName name="_xlnm.Print_Titles" localSheetId="1">Stewardship!$1:$2</definedName>
    <definedName name="ReportDate">Title!$B$4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7" i="15" l="1"/>
  <c r="R3" i="15"/>
  <c r="N39" i="18"/>
  <c r="A60" i="18"/>
  <c r="H60" i="18"/>
  <c r="I60" i="18"/>
  <c r="I61" i="18"/>
  <c r="I63" i="18"/>
  <c r="N59" i="18"/>
  <c r="N63" i="18"/>
  <c r="K8" i="20"/>
  <c r="K17" i="20"/>
  <c r="E64" i="18"/>
  <c r="I64" i="18"/>
  <c r="N64" i="18"/>
  <c r="I65" i="18"/>
  <c r="N65" i="18"/>
  <c r="N66" i="18"/>
  <c r="I40" i="18"/>
  <c r="I41" i="18"/>
  <c r="I43" i="18"/>
  <c r="N43" i="18"/>
  <c r="I44" i="18"/>
  <c r="N44" i="18"/>
  <c r="N45" i="18"/>
  <c r="N46" i="18"/>
  <c r="I71" i="18"/>
  <c r="I72" i="18"/>
  <c r="I74" i="18"/>
  <c r="N70" i="18"/>
  <c r="N74" i="18"/>
  <c r="I75" i="18"/>
  <c r="N75" i="18"/>
  <c r="N76" i="18"/>
  <c r="N77" i="18"/>
  <c r="I29" i="18"/>
  <c r="I30" i="18"/>
  <c r="I31" i="18"/>
  <c r="I33" i="18"/>
  <c r="N28" i="18"/>
  <c r="N33" i="18"/>
  <c r="I34" i="18"/>
  <c r="N34" i="18"/>
  <c r="I35" i="18"/>
  <c r="N35" i="18"/>
  <c r="N36" i="18"/>
  <c r="I50" i="18"/>
  <c r="I51" i="18"/>
  <c r="I53" i="18"/>
  <c r="N49" i="18"/>
  <c r="N53" i="18"/>
  <c r="I54" i="18"/>
  <c r="N54" i="18"/>
  <c r="N55" i="18"/>
  <c r="N56" i="18"/>
  <c r="H5" i="18"/>
  <c r="I5" i="18"/>
  <c r="H6" i="18"/>
  <c r="I6" i="18"/>
  <c r="H7" i="18"/>
  <c r="I7" i="18"/>
  <c r="H8" i="18"/>
  <c r="I8" i="18"/>
  <c r="H9" i="18"/>
  <c r="I9" i="18"/>
  <c r="H10" i="18"/>
  <c r="I10" i="18"/>
  <c r="H11" i="18"/>
  <c r="I11" i="18"/>
  <c r="H12" i="18"/>
  <c r="I12" i="18"/>
  <c r="H13" i="18"/>
  <c r="I13" i="18"/>
  <c r="H14" i="18"/>
  <c r="I14" i="18"/>
  <c r="H15" i="18"/>
  <c r="I15" i="18"/>
  <c r="H16" i="18"/>
  <c r="I16" i="18"/>
  <c r="H17" i="18"/>
  <c r="I17" i="18"/>
  <c r="H18" i="18"/>
  <c r="I18" i="18"/>
  <c r="H19" i="18"/>
  <c r="I19" i="18"/>
  <c r="H20" i="18"/>
  <c r="I20" i="18"/>
  <c r="I22" i="18"/>
  <c r="N4" i="18"/>
  <c r="N22" i="18"/>
  <c r="C14" i="20"/>
  <c r="C17" i="20"/>
  <c r="E23" i="18"/>
  <c r="I23" i="18"/>
  <c r="N23" i="18"/>
  <c r="N24" i="18"/>
  <c r="N25" i="18"/>
  <c r="N80" i="18"/>
  <c r="B28" i="38"/>
  <c r="D28" i="38"/>
  <c r="B30" i="38"/>
  <c r="C30" i="38"/>
  <c r="D30" i="38"/>
  <c r="B31" i="38"/>
  <c r="C31" i="38"/>
  <c r="D31" i="38"/>
  <c r="B32" i="38"/>
  <c r="C32" i="38"/>
  <c r="D32" i="38"/>
  <c r="B33" i="38"/>
  <c r="C33" i="38"/>
  <c r="D33" i="38"/>
  <c r="B34" i="38"/>
  <c r="C34" i="38"/>
  <c r="D34" i="38"/>
  <c r="B35" i="38"/>
  <c r="C35" i="38"/>
  <c r="D35" i="38"/>
  <c r="D36" i="38"/>
  <c r="G82" i="17"/>
  <c r="G68" i="17"/>
  <c r="G60" i="17"/>
  <c r="G51" i="17"/>
  <c r="G3" i="17"/>
  <c r="C3" i="18"/>
  <c r="K23" i="20"/>
  <c r="K22" i="20"/>
  <c r="K28" i="20"/>
  <c r="C26" i="20"/>
  <c r="C28" i="20"/>
  <c r="I28" i="40"/>
  <c r="D24" i="38"/>
  <c r="K20" i="16"/>
  <c r="I20" i="16"/>
  <c r="C20" i="16"/>
  <c r="C21" i="16"/>
  <c r="C19" i="16"/>
  <c r="I19" i="16"/>
  <c r="I15" i="16"/>
  <c r="I24" i="18"/>
  <c r="C5" i="20"/>
  <c r="C6" i="20"/>
  <c r="C7" i="20"/>
  <c r="C8" i="20"/>
  <c r="C11" i="20"/>
  <c r="C12" i="20"/>
  <c r="C13" i="20"/>
  <c r="I25" i="18"/>
  <c r="B20" i="38"/>
  <c r="C20" i="38"/>
  <c r="I23" i="40"/>
  <c r="I25" i="40"/>
  <c r="D20" i="38"/>
  <c r="E20" i="38"/>
  <c r="P27" i="15"/>
  <c r="H28" i="40"/>
  <c r="D16" i="38"/>
  <c r="D13" i="38"/>
  <c r="H23" i="40"/>
  <c r="H25" i="40"/>
  <c r="D12" i="38"/>
  <c r="H107" i="40"/>
  <c r="H49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I87" i="40"/>
  <c r="K7" i="17"/>
  <c r="K8" i="17"/>
  <c r="I7" i="17"/>
  <c r="J7" i="17"/>
  <c r="G8" i="17"/>
  <c r="I8" i="17"/>
  <c r="J8" i="17"/>
  <c r="I9" i="17"/>
  <c r="J9" i="17"/>
  <c r="K9" i="17"/>
  <c r="E5" i="18"/>
  <c r="A5" i="18"/>
  <c r="K5" i="18"/>
  <c r="I10" i="17"/>
  <c r="J10" i="17"/>
  <c r="K10" i="17"/>
  <c r="E6" i="18"/>
  <c r="A6" i="18"/>
  <c r="K6" i="18"/>
  <c r="I14" i="17"/>
  <c r="J14" i="17"/>
  <c r="K14" i="17"/>
  <c r="E7" i="18"/>
  <c r="A7" i="18"/>
  <c r="K7" i="18"/>
  <c r="K15" i="17"/>
  <c r="K16" i="17"/>
  <c r="I15" i="17"/>
  <c r="J15" i="17"/>
  <c r="I16" i="17"/>
  <c r="J16" i="17"/>
  <c r="G17" i="17"/>
  <c r="I17" i="17"/>
  <c r="J17" i="17"/>
  <c r="K17" i="17"/>
  <c r="E8" i="18"/>
  <c r="A8" i="18"/>
  <c r="K8" i="18"/>
  <c r="K18" i="17"/>
  <c r="I18" i="17"/>
  <c r="I19" i="17"/>
  <c r="J19" i="17"/>
  <c r="K19" i="17"/>
  <c r="E9" i="18"/>
  <c r="A9" i="18"/>
  <c r="K9" i="18"/>
  <c r="K22" i="17"/>
  <c r="I22" i="17"/>
  <c r="J22" i="17"/>
  <c r="G23" i="17"/>
  <c r="I23" i="17"/>
  <c r="J23" i="17"/>
  <c r="K23" i="17"/>
  <c r="E10" i="18"/>
  <c r="A10" i="18"/>
  <c r="K10" i="18"/>
  <c r="I24" i="17"/>
  <c r="J24" i="17"/>
  <c r="K24" i="17"/>
  <c r="E11" i="18"/>
  <c r="A11" i="18"/>
  <c r="K11" i="18"/>
  <c r="I25" i="17"/>
  <c r="J25" i="17"/>
  <c r="K25" i="17"/>
  <c r="E12" i="18"/>
  <c r="A12" i="18"/>
  <c r="K12" i="18"/>
  <c r="I26" i="17"/>
  <c r="J26" i="17"/>
  <c r="K26" i="17"/>
  <c r="E13" i="18"/>
  <c r="A13" i="18"/>
  <c r="K13" i="18"/>
  <c r="I27" i="17"/>
  <c r="J27" i="17"/>
  <c r="K27" i="17"/>
  <c r="E14" i="18"/>
  <c r="A14" i="18"/>
  <c r="K14" i="18"/>
  <c r="I28" i="17"/>
  <c r="J28" i="17"/>
  <c r="K28" i="17"/>
  <c r="E15" i="18"/>
  <c r="A15" i="18"/>
  <c r="K15" i="18"/>
  <c r="I33" i="17"/>
  <c r="J33" i="17"/>
  <c r="K33" i="17"/>
  <c r="E16" i="18"/>
  <c r="A16" i="18"/>
  <c r="K16" i="18"/>
  <c r="I39" i="17"/>
  <c r="J39" i="17"/>
  <c r="K39" i="17"/>
  <c r="E17" i="18"/>
  <c r="A17" i="18"/>
  <c r="K17" i="18"/>
  <c r="I40" i="17"/>
  <c r="J40" i="17"/>
  <c r="K40" i="17"/>
  <c r="E18" i="18"/>
  <c r="A18" i="18"/>
  <c r="K18" i="18"/>
  <c r="K41" i="17"/>
  <c r="I41" i="17"/>
  <c r="I42" i="17"/>
  <c r="J42" i="17"/>
  <c r="K42" i="17"/>
  <c r="E19" i="18"/>
  <c r="A19" i="18"/>
  <c r="K19" i="18"/>
  <c r="K45" i="17"/>
  <c r="I45" i="17"/>
  <c r="I46" i="17"/>
  <c r="J46" i="17"/>
  <c r="K46" i="17"/>
  <c r="E20" i="18"/>
  <c r="A20" i="18"/>
  <c r="K20" i="18"/>
  <c r="K22" i="18"/>
  <c r="E22" i="18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C22" i="20"/>
  <c r="K19" i="16"/>
  <c r="K21" i="16"/>
  <c r="H21" i="16"/>
  <c r="H20" i="16"/>
  <c r="H19" i="16"/>
  <c r="C17" i="16"/>
  <c r="K15" i="16"/>
  <c r="K6" i="16"/>
  <c r="K7" i="16"/>
  <c r="K8" i="16"/>
  <c r="K9" i="16"/>
  <c r="K10" i="16"/>
  <c r="K11" i="16"/>
  <c r="K12" i="16"/>
  <c r="K5" i="16"/>
  <c r="I6" i="16"/>
  <c r="I7" i="16"/>
  <c r="I8" i="16"/>
  <c r="I9" i="16"/>
  <c r="I10" i="16"/>
  <c r="I11" i="16"/>
  <c r="I12" i="16"/>
  <c r="I5" i="16"/>
  <c r="D8" i="38"/>
  <c r="D5" i="38"/>
  <c r="D6" i="38"/>
  <c r="D4" i="38"/>
  <c r="B88" i="18"/>
  <c r="B87" i="18"/>
  <c r="E71" i="18"/>
  <c r="E72" i="18"/>
  <c r="E74" i="18"/>
  <c r="M30" i="20"/>
  <c r="M17" i="20"/>
  <c r="E75" i="18"/>
  <c r="E77" i="18"/>
  <c r="M32" i="20"/>
  <c r="K11" i="20"/>
  <c r="K12" i="20"/>
  <c r="G79" i="17"/>
  <c r="K5" i="20"/>
  <c r="K6" i="20"/>
  <c r="H79" i="17"/>
  <c r="K7" i="20"/>
  <c r="K14" i="20"/>
  <c r="I79" i="17"/>
  <c r="J79" i="17"/>
  <c r="K79" i="17"/>
  <c r="E60" i="18"/>
  <c r="E61" i="18"/>
  <c r="E63" i="18"/>
  <c r="E66" i="18"/>
  <c r="K32" i="20"/>
  <c r="E50" i="18"/>
  <c r="E51" i="18"/>
  <c r="E53" i="18"/>
  <c r="I30" i="20"/>
  <c r="I17" i="20"/>
  <c r="E54" i="18"/>
  <c r="E56" i="18"/>
  <c r="I32" i="20"/>
  <c r="G17" i="20"/>
  <c r="E44" i="18"/>
  <c r="E40" i="18"/>
  <c r="E41" i="18"/>
  <c r="E43" i="18"/>
  <c r="E46" i="18"/>
  <c r="G32" i="20"/>
  <c r="G30" i="20"/>
  <c r="E29" i="18"/>
  <c r="E30" i="18"/>
  <c r="E31" i="18"/>
  <c r="E32" i="18"/>
  <c r="E33" i="18"/>
  <c r="E30" i="20"/>
  <c r="E17" i="20"/>
  <c r="E34" i="18"/>
  <c r="E36" i="18"/>
  <c r="E32" i="20"/>
  <c r="W4" i="15"/>
  <c r="W17" i="15"/>
  <c r="G5" i="17"/>
  <c r="G7" i="17"/>
  <c r="G10" i="17"/>
  <c r="G11" i="17"/>
  <c r="G6" i="17"/>
  <c r="G9" i="17"/>
  <c r="G12" i="17"/>
  <c r="G13" i="17"/>
  <c r="G14" i="17"/>
  <c r="G15" i="17"/>
  <c r="G16" i="17"/>
  <c r="G18" i="17"/>
  <c r="G19" i="17"/>
  <c r="G20" i="17"/>
  <c r="G21" i="17"/>
  <c r="G22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E25" i="18"/>
  <c r="C32" i="20"/>
  <c r="C30" i="20"/>
  <c r="C69" i="18"/>
  <c r="C27" i="18"/>
  <c r="C38" i="18"/>
  <c r="C48" i="18"/>
  <c r="C58" i="18"/>
  <c r="N61" i="18"/>
  <c r="N60" i="18"/>
  <c r="G61" i="18"/>
  <c r="B61" i="18"/>
  <c r="B60" i="18"/>
  <c r="A61" i="18"/>
  <c r="A51" i="18"/>
  <c r="A52" i="18"/>
  <c r="A50" i="18"/>
  <c r="B50" i="18"/>
  <c r="B51" i="18"/>
  <c r="B52" i="18"/>
  <c r="E42" i="18"/>
  <c r="B41" i="18"/>
  <c r="B40" i="18"/>
  <c r="A41" i="18"/>
  <c r="A40" i="18"/>
  <c r="K30" i="20"/>
  <c r="K26" i="20"/>
  <c r="P17" i="15"/>
  <c r="K25" i="20"/>
  <c r="H80" i="17"/>
  <c r="K24" i="20"/>
  <c r="C25" i="20"/>
  <c r="C24" i="20"/>
  <c r="L6" i="17"/>
  <c r="L9" i="17"/>
  <c r="L13" i="17"/>
  <c r="L16" i="17"/>
  <c r="L19" i="17"/>
  <c r="L21" i="17"/>
  <c r="L30" i="17"/>
  <c r="L32" i="17"/>
  <c r="L36" i="17"/>
  <c r="L38" i="17"/>
  <c r="L42" i="17"/>
  <c r="L44" i="17"/>
  <c r="L46" i="17"/>
  <c r="L48" i="17"/>
  <c r="L49" i="17"/>
  <c r="C23" i="20"/>
  <c r="J35" i="20"/>
  <c r="H35" i="20"/>
  <c r="F35" i="20"/>
  <c r="D35" i="20"/>
  <c r="C21" i="20"/>
  <c r="B35" i="20"/>
  <c r="L34" i="20"/>
  <c r="J34" i="20"/>
  <c r="H34" i="20"/>
  <c r="F34" i="20"/>
  <c r="D34" i="20"/>
  <c r="B34" i="20"/>
  <c r="M31" i="20"/>
  <c r="J33" i="20"/>
  <c r="I31" i="20"/>
  <c r="H33" i="20"/>
  <c r="G31" i="20"/>
  <c r="F33" i="20"/>
  <c r="E31" i="20"/>
  <c r="D33" i="20"/>
  <c r="C31" i="20"/>
  <c r="B33" i="20"/>
  <c r="K31" i="20"/>
  <c r="M3" i="20"/>
  <c r="M20" i="20"/>
  <c r="K3" i="20"/>
  <c r="K20" i="20"/>
  <c r="I3" i="20"/>
  <c r="I20" i="20"/>
  <c r="G3" i="20"/>
  <c r="G20" i="20"/>
  <c r="E3" i="20"/>
  <c r="E20" i="20"/>
  <c r="C3" i="20"/>
  <c r="C20" i="20"/>
  <c r="M18" i="20"/>
  <c r="K18" i="20"/>
  <c r="I18" i="20"/>
  <c r="G18" i="20"/>
  <c r="E18" i="20"/>
  <c r="I2" i="20"/>
  <c r="I45" i="18"/>
  <c r="I55" i="18"/>
  <c r="I76" i="18"/>
  <c r="E88" i="18"/>
  <c r="B5" i="18"/>
  <c r="E85" i="18"/>
  <c r="H88" i="18"/>
  <c r="G88" i="18"/>
  <c r="H87" i="18"/>
  <c r="G87" i="18"/>
  <c r="H86" i="18"/>
  <c r="G86" i="18"/>
  <c r="B86" i="18"/>
  <c r="I77" i="18"/>
  <c r="N78" i="18"/>
  <c r="K71" i="18"/>
  <c r="K72" i="18"/>
  <c r="K74" i="18"/>
  <c r="K75" i="18"/>
  <c r="L74" i="18"/>
  <c r="J74" i="18"/>
  <c r="N73" i="18"/>
  <c r="N72" i="18"/>
  <c r="L72" i="18"/>
  <c r="H72" i="18"/>
  <c r="G72" i="18"/>
  <c r="B72" i="18"/>
  <c r="A72" i="18"/>
  <c r="N71" i="18"/>
  <c r="L71" i="18"/>
  <c r="H71" i="18"/>
  <c r="G71" i="18"/>
  <c r="B71" i="18"/>
  <c r="A71" i="18"/>
  <c r="I66" i="18"/>
  <c r="N67" i="18"/>
  <c r="K60" i="18"/>
  <c r="K61" i="18"/>
  <c r="K63" i="18"/>
  <c r="K64" i="18"/>
  <c r="L63" i="18"/>
  <c r="L61" i="18"/>
  <c r="H61" i="18"/>
  <c r="L60" i="18"/>
  <c r="G60" i="18"/>
  <c r="I56" i="18"/>
  <c r="N57" i="18"/>
  <c r="K50" i="18"/>
  <c r="K51" i="18"/>
  <c r="K53" i="18"/>
  <c r="K54" i="18"/>
  <c r="L53" i="18"/>
  <c r="N51" i="18"/>
  <c r="L51" i="18"/>
  <c r="H51" i="18"/>
  <c r="N50" i="18"/>
  <c r="L50" i="18"/>
  <c r="H50" i="18"/>
  <c r="G50" i="18"/>
  <c r="I46" i="18"/>
  <c r="N47" i="18"/>
  <c r="K40" i="18"/>
  <c r="K41" i="18"/>
  <c r="K43" i="18"/>
  <c r="K44" i="18"/>
  <c r="L43" i="18"/>
  <c r="N41" i="18"/>
  <c r="L41" i="18"/>
  <c r="H41" i="18"/>
  <c r="N40" i="18"/>
  <c r="L40" i="18"/>
  <c r="H40" i="18"/>
  <c r="G40" i="18"/>
  <c r="I36" i="18"/>
  <c r="N37" i="18"/>
  <c r="K29" i="18"/>
  <c r="K30" i="18"/>
  <c r="K31" i="18"/>
  <c r="K33" i="18"/>
  <c r="K34" i="18"/>
  <c r="L33" i="18"/>
  <c r="N31" i="18"/>
  <c r="L31" i="18"/>
  <c r="H31" i="18"/>
  <c r="G31" i="18"/>
  <c r="B31" i="18"/>
  <c r="A31" i="18"/>
  <c r="N30" i="18"/>
  <c r="L30" i="18"/>
  <c r="H30" i="18"/>
  <c r="G30" i="18"/>
  <c r="B30" i="18"/>
  <c r="A30" i="18"/>
  <c r="N29" i="18"/>
  <c r="L29" i="18"/>
  <c r="H29" i="18"/>
  <c r="G29" i="18"/>
  <c r="B29" i="18"/>
  <c r="A29" i="18"/>
  <c r="N26" i="18"/>
  <c r="K23" i="18"/>
  <c r="L22" i="18"/>
  <c r="N5" i="18"/>
  <c r="L5" i="18"/>
  <c r="G5" i="18"/>
  <c r="L2" i="18"/>
  <c r="I28" i="41"/>
  <c r="I30" i="41"/>
  <c r="H28" i="41"/>
  <c r="H30" i="41"/>
  <c r="I9" i="41"/>
  <c r="I11" i="41"/>
  <c r="H9" i="41"/>
  <c r="H11" i="41"/>
  <c r="L80" i="17"/>
  <c r="K80" i="17"/>
  <c r="G80" i="17"/>
  <c r="J81" i="17"/>
  <c r="I11" i="17"/>
  <c r="I12" i="17"/>
  <c r="I13" i="17"/>
  <c r="G49" i="17"/>
  <c r="A14" i="17"/>
  <c r="A15" i="17"/>
  <c r="A9" i="17"/>
  <c r="A10" i="17"/>
  <c r="A11" i="17"/>
  <c r="A12" i="17"/>
  <c r="A13" i="17"/>
  <c r="I47" i="17"/>
  <c r="I48" i="17"/>
  <c r="J48" i="17"/>
  <c r="K48" i="17"/>
  <c r="I5" i="17"/>
  <c r="I6" i="17"/>
  <c r="J6" i="17"/>
  <c r="K6" i="17"/>
  <c r="K12" i="17"/>
  <c r="J13" i="17"/>
  <c r="K13" i="17"/>
  <c r="K20" i="17"/>
  <c r="I20" i="17"/>
  <c r="I21" i="17"/>
  <c r="J21" i="17"/>
  <c r="K21" i="17"/>
  <c r="K29" i="17"/>
  <c r="K30" i="17"/>
  <c r="K31" i="17"/>
  <c r="I29" i="17"/>
  <c r="I30" i="17"/>
  <c r="I31" i="17"/>
  <c r="I32" i="17"/>
  <c r="J32" i="17"/>
  <c r="K32" i="17"/>
  <c r="K34" i="17"/>
  <c r="K35" i="17"/>
  <c r="I34" i="17"/>
  <c r="I35" i="17"/>
  <c r="I36" i="17"/>
  <c r="J36" i="17"/>
  <c r="K36" i="17"/>
  <c r="K37" i="17"/>
  <c r="I37" i="17"/>
  <c r="I38" i="17"/>
  <c r="J38" i="17"/>
  <c r="K38" i="17"/>
  <c r="K43" i="17"/>
  <c r="I43" i="17"/>
  <c r="I44" i="17"/>
  <c r="J44" i="17"/>
  <c r="K44" i="17"/>
  <c r="K47" i="17"/>
  <c r="J29" i="17"/>
  <c r="J30" i="17"/>
  <c r="J31" i="17"/>
  <c r="J34" i="17"/>
  <c r="J35" i="17"/>
  <c r="J37" i="17"/>
  <c r="J41" i="17"/>
  <c r="J43" i="17"/>
  <c r="J45" i="17"/>
  <c r="J47" i="17"/>
  <c r="J12" i="17"/>
  <c r="J18" i="17"/>
  <c r="J20" i="17"/>
  <c r="J5" i="17"/>
  <c r="W5" i="15"/>
  <c r="W6" i="15"/>
  <c r="W7" i="15"/>
  <c r="W8" i="15"/>
  <c r="W9" i="15"/>
  <c r="W10" i="15"/>
  <c r="W11" i="15"/>
  <c r="W12" i="15"/>
  <c r="W13" i="15"/>
  <c r="W14" i="15"/>
  <c r="W15" i="15"/>
  <c r="W16" i="15"/>
  <c r="U4" i="15"/>
  <c r="O3" i="15"/>
  <c r="O22" i="15"/>
  <c r="C3" i="15"/>
  <c r="C22" i="15"/>
  <c r="L58" i="17"/>
  <c r="K54" i="17"/>
  <c r="K55" i="17"/>
  <c r="K56" i="17"/>
  <c r="K57" i="17"/>
  <c r="K58" i="17"/>
  <c r="H54" i="17"/>
  <c r="H55" i="17"/>
  <c r="H56" i="17"/>
  <c r="H57" i="17"/>
  <c r="H58" i="17"/>
  <c r="G54" i="17"/>
  <c r="G55" i="17"/>
  <c r="G56" i="17"/>
  <c r="G57" i="17"/>
  <c r="G58" i="17"/>
  <c r="L66" i="17"/>
  <c r="K62" i="17"/>
  <c r="K63" i="17"/>
  <c r="I64" i="17"/>
  <c r="J64" i="17"/>
  <c r="K64" i="17"/>
  <c r="K66" i="17"/>
  <c r="H62" i="17"/>
  <c r="H63" i="17"/>
  <c r="H64" i="17"/>
  <c r="H66" i="17"/>
  <c r="G62" i="17"/>
  <c r="G63" i="17"/>
  <c r="G64" i="17"/>
  <c r="G66" i="17"/>
  <c r="J62" i="17"/>
  <c r="J63" i="17"/>
  <c r="I62" i="17"/>
  <c r="I63" i="17"/>
  <c r="G65" i="17"/>
  <c r="L87" i="17"/>
  <c r="K84" i="17"/>
  <c r="K85" i="17"/>
  <c r="K87" i="17"/>
  <c r="H84" i="17"/>
  <c r="H85" i="17"/>
  <c r="H87" i="17"/>
  <c r="G84" i="17"/>
  <c r="G85" i="17"/>
  <c r="G87" i="17"/>
  <c r="A87" i="17"/>
  <c r="J85" i="17"/>
  <c r="I85" i="17"/>
  <c r="A85" i="17"/>
  <c r="J84" i="17"/>
  <c r="I84" i="17"/>
  <c r="A84" i="17"/>
  <c r="K78" i="17"/>
  <c r="J78" i="17"/>
  <c r="I78" i="17"/>
  <c r="H78" i="17"/>
  <c r="G78" i="17"/>
  <c r="A78" i="17"/>
  <c r="K77" i="17"/>
  <c r="J77" i="17"/>
  <c r="I77" i="17"/>
  <c r="H77" i="17"/>
  <c r="G77" i="17"/>
  <c r="A77" i="17"/>
  <c r="L73" i="17"/>
  <c r="K70" i="17"/>
  <c r="K71" i="17"/>
  <c r="K72" i="17"/>
  <c r="K73" i="17"/>
  <c r="G70" i="17"/>
  <c r="G71" i="17"/>
  <c r="G72" i="17"/>
  <c r="G73" i="17"/>
  <c r="J74" i="17"/>
  <c r="H70" i="17"/>
  <c r="H71" i="17"/>
  <c r="H72" i="17"/>
  <c r="H73" i="17"/>
  <c r="J72" i="17"/>
  <c r="I72" i="17"/>
  <c r="A72" i="17"/>
  <c r="J71" i="17"/>
  <c r="I71" i="17"/>
  <c r="A71" i="17"/>
  <c r="J70" i="17"/>
  <c r="I70" i="17"/>
  <c r="A70" i="17"/>
  <c r="J67" i="17"/>
  <c r="K65" i="17"/>
  <c r="J65" i="17"/>
  <c r="I65" i="17"/>
  <c r="H65" i="17"/>
  <c r="A65" i="17"/>
  <c r="A64" i="17"/>
  <c r="J59" i="17"/>
  <c r="J57" i="17"/>
  <c r="I57" i="17"/>
  <c r="A57" i="17"/>
  <c r="J56" i="17"/>
  <c r="I56" i="17"/>
  <c r="A56" i="17"/>
  <c r="J55" i="17"/>
  <c r="I55" i="17"/>
  <c r="A55" i="17"/>
  <c r="J54" i="17"/>
  <c r="I54" i="17"/>
  <c r="A54" i="17"/>
  <c r="A79" i="17"/>
  <c r="J17" i="15"/>
  <c r="L3" i="15"/>
  <c r="I3" i="15"/>
  <c r="F3" i="15"/>
  <c r="K5" i="17"/>
  <c r="K49" i="17"/>
  <c r="J50" i="17"/>
  <c r="A48" i="17"/>
  <c r="A47" i="17"/>
  <c r="A44" i="17"/>
  <c r="A43" i="17"/>
  <c r="A36" i="17"/>
  <c r="A35" i="17"/>
  <c r="A34" i="17"/>
  <c r="A6" i="17"/>
  <c r="A5" i="17"/>
  <c r="A32" i="17"/>
  <c r="A31" i="17"/>
  <c r="A30" i="17"/>
  <c r="A29" i="17"/>
  <c r="H5" i="17"/>
  <c r="H6" i="17"/>
  <c r="A26" i="17"/>
  <c r="A46" i="17"/>
  <c r="A45" i="17"/>
  <c r="A42" i="17"/>
  <c r="A41" i="17"/>
  <c r="A40" i="17"/>
  <c r="A39" i="17"/>
  <c r="A38" i="17"/>
  <c r="A37" i="17"/>
  <c r="A33" i="17"/>
  <c r="A28" i="17"/>
  <c r="A27" i="17"/>
  <c r="A25" i="17"/>
  <c r="A24" i="17"/>
  <c r="A23" i="17"/>
  <c r="A22" i="17"/>
  <c r="A21" i="17"/>
  <c r="A20" i="17"/>
  <c r="A19" i="17"/>
  <c r="A18" i="17"/>
  <c r="A8" i="17"/>
  <c r="A7" i="17"/>
  <c r="A17" i="17"/>
  <c r="A16" i="17"/>
  <c r="O4" i="15"/>
  <c r="O5" i="15"/>
  <c r="O6" i="15"/>
  <c r="C5" i="15"/>
  <c r="U6" i="15"/>
  <c r="V6" i="15"/>
  <c r="U7" i="15"/>
  <c r="V7" i="15"/>
  <c r="U8" i="15"/>
  <c r="U9" i="15"/>
  <c r="U10" i="15"/>
  <c r="U11" i="15"/>
  <c r="U12" i="15"/>
  <c r="U13" i="15"/>
  <c r="U14" i="15"/>
  <c r="U15" i="15"/>
  <c r="V8" i="15"/>
  <c r="V9" i="15"/>
  <c r="V10" i="15"/>
  <c r="V11" i="15"/>
  <c r="V12" i="15"/>
  <c r="V13" i="15"/>
  <c r="V14" i="15"/>
  <c r="V15" i="15"/>
  <c r="V16" i="15"/>
  <c r="U5" i="15"/>
  <c r="V5" i="15"/>
  <c r="V4" i="15"/>
  <c r="A8" i="38"/>
  <c r="A16" i="38"/>
  <c r="A24" i="38"/>
  <c r="A9" i="38"/>
  <c r="A17" i="38"/>
  <c r="A7" i="38"/>
  <c r="A15" i="38"/>
  <c r="A6" i="38"/>
  <c r="A14" i="38"/>
  <c r="A5" i="38"/>
  <c r="A13" i="38"/>
  <c r="A4" i="38"/>
  <c r="A28" i="38"/>
  <c r="A1" i="38"/>
  <c r="A12" i="38"/>
  <c r="K2" i="17"/>
  <c r="S2" i="15"/>
  <c r="F22" i="15"/>
  <c r="I22" i="15"/>
  <c r="L22" i="15"/>
  <c r="R22" i="15"/>
  <c r="C4" i="15"/>
  <c r="F4" i="15"/>
  <c r="L4" i="15"/>
  <c r="R4" i="15"/>
  <c r="F5" i="15"/>
  <c r="I5" i="15"/>
  <c r="L5" i="15"/>
  <c r="R5" i="15"/>
  <c r="C6" i="15"/>
  <c r="F6" i="15"/>
  <c r="I6" i="15"/>
  <c r="L6" i="15"/>
  <c r="R6" i="15"/>
  <c r="C7" i="15"/>
  <c r="F7" i="15"/>
  <c r="I7" i="15"/>
  <c r="L7" i="15"/>
  <c r="R7" i="15"/>
  <c r="C8" i="15"/>
  <c r="F8" i="15"/>
  <c r="I8" i="15"/>
  <c r="L8" i="15"/>
  <c r="R8" i="15"/>
  <c r="C9" i="15"/>
  <c r="F9" i="15"/>
  <c r="I9" i="15"/>
  <c r="L9" i="15"/>
  <c r="R9" i="15"/>
  <c r="C10" i="15"/>
  <c r="F10" i="15"/>
  <c r="I10" i="15"/>
  <c r="L10" i="15"/>
  <c r="R10" i="15"/>
  <c r="C11" i="15"/>
  <c r="F11" i="15"/>
  <c r="I11" i="15"/>
  <c r="L11" i="15"/>
  <c r="R11" i="15"/>
  <c r="C12" i="15"/>
  <c r="I12" i="15"/>
  <c r="C13" i="15"/>
  <c r="I13" i="15"/>
  <c r="C14" i="15"/>
  <c r="I14" i="15"/>
  <c r="L14" i="15"/>
  <c r="C15" i="15"/>
  <c r="I15" i="15"/>
  <c r="C16" i="15"/>
  <c r="F16" i="15"/>
  <c r="I16" i="15"/>
  <c r="L16" i="15"/>
  <c r="U16" i="15"/>
  <c r="D17" i="15"/>
  <c r="G17" i="15"/>
  <c r="M17" i="15"/>
  <c r="S17" i="15"/>
  <c r="G27" i="15"/>
  <c r="J27" i="15"/>
  <c r="M27" i="15"/>
  <c r="S27" i="15"/>
  <c r="C24" i="38"/>
  <c r="C22" i="38"/>
  <c r="C23" i="38"/>
  <c r="C25" i="38"/>
  <c r="B5" i="38"/>
  <c r="B7" i="38"/>
  <c r="B8" i="38"/>
  <c r="B9" i="38"/>
  <c r="E9" i="38"/>
  <c r="E8" i="38"/>
  <c r="F8" i="38"/>
  <c r="B6" i="38"/>
  <c r="E6" i="38"/>
  <c r="B4" i="38"/>
  <c r="E4" i="38"/>
  <c r="C21" i="38"/>
  <c r="F7" i="38"/>
  <c r="E7" i="38"/>
  <c r="F5" i="38"/>
  <c r="E5" i="38"/>
  <c r="F9" i="38"/>
  <c r="F6" i="38"/>
  <c r="F4" i="38"/>
  <c r="B24" i="38"/>
  <c r="F24" i="38"/>
  <c r="E24" i="38"/>
  <c r="B16" i="38"/>
  <c r="B21" i="38"/>
  <c r="E16" i="38"/>
  <c r="F16" i="38"/>
  <c r="E21" i="38"/>
  <c r="F21" i="38"/>
  <c r="B13" i="38"/>
  <c r="E13" i="38"/>
  <c r="F13" i="38"/>
  <c r="B14" i="38"/>
  <c r="F14" i="38"/>
  <c r="B22" i="38"/>
  <c r="F22" i="38"/>
  <c r="E14" i="38"/>
  <c r="B15" i="38"/>
  <c r="E15" i="38"/>
  <c r="E22" i="38"/>
  <c r="B23" i="38"/>
  <c r="F23" i="38"/>
  <c r="F15" i="38"/>
  <c r="B17" i="38"/>
  <c r="E17" i="38"/>
  <c r="E23" i="38"/>
  <c r="B25" i="38"/>
  <c r="F25" i="38"/>
  <c r="E25" i="38"/>
  <c r="F17" i="38"/>
  <c r="B12" i="38"/>
  <c r="E12" i="38"/>
  <c r="F20" i="38"/>
  <c r="F12" i="38"/>
  <c r="G36" i="38"/>
  <c r="F36" i="38"/>
  <c r="E36" i="38"/>
</calcChain>
</file>

<file path=xl/comments1.xml><?xml version="1.0" encoding="utf-8"?>
<comments xmlns="http://schemas.openxmlformats.org/spreadsheetml/2006/main">
  <authors>
    <author>Elisabeth Oltheten</author>
  </authors>
  <commentList>
    <comment ref="D5" authorId="0">
      <text>
        <r>
          <rPr>
            <b/>
            <sz val="8"/>
            <color indexed="81"/>
            <rFont val="Tahoma"/>
            <family val="2"/>
          </rPr>
          <t>Note that the issues are in Alphabetical order by company name, not by ticker symbol. We do this because clients look for Bank One unde B for Bank rather than under O for 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Note that accrued income is added to market value NOT book value. When this income is received it will be booked as income and added to cash</t>
        </r>
      </text>
    </comment>
    <comment ref="A37" authorId="0">
      <text>
        <r>
          <rPr>
            <b/>
            <sz val="8"/>
            <color indexed="81"/>
            <rFont val="Tahoma"/>
            <family val="2"/>
          </rPr>
          <t xml:space="preserve">Note:  </t>
        </r>
        <r>
          <rPr>
            <sz val="8"/>
            <color indexed="81"/>
            <rFont val="Tahoma"/>
            <family val="2"/>
          </rPr>
          <t xml:space="preserve">A page break was inserted here to avoid a page break in the middle of a section that should be presented as a whole.
</t>
        </r>
      </text>
    </comment>
  </commentList>
</comments>
</file>

<file path=xl/comments2.xml><?xml version="1.0" encoding="utf-8"?>
<comments xmlns="http://schemas.openxmlformats.org/spreadsheetml/2006/main">
  <authors>
    <author>Elisabeth Oltheten</author>
  </authors>
  <commentList>
    <comment ref="A74" authorId="0">
      <text>
        <r>
          <rPr>
            <b/>
            <sz val="8"/>
            <color indexed="81"/>
            <rFont val="Tahoma"/>
            <family val="2"/>
          </rPr>
          <t>Note hidden rows 24 through 30 (Pounds Sterling) and rows 38through 43 (Yen)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Elisabeth Oltheten</author>
  </authors>
  <commentList>
    <comment ref="B5" authorId="0">
      <text>
        <r>
          <rPr>
            <b/>
            <sz val="8"/>
            <color indexed="81"/>
            <rFont val="Tahoma"/>
            <family val="2"/>
          </rPr>
          <t>Check the dividend amount, ex-date, and paydate with the UISES Company Information Applet as well as with Yahoo!Finance.
Failure to include accrued dividends is still failure.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5" authorId="0">
      <text>
        <r>
          <rPr>
            <b/>
            <sz val="8"/>
            <color indexed="81"/>
            <rFont val="Tahoma"/>
            <family val="2"/>
          </rPr>
          <t>An Invalid Dividend Flag means that you have entered an ex-date after the date on the report. You cannot earn a dividend that has not yet gone ex.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<sst xmlns="http://schemas.openxmlformats.org/spreadsheetml/2006/main" count="1658" uniqueCount="260">
  <si>
    <t>Stewardship Report</t>
  </si>
  <si>
    <t>Portfolio Assets</t>
  </si>
  <si>
    <t>Performance</t>
  </si>
  <si>
    <t>Shares</t>
  </si>
  <si>
    <t>Issue</t>
  </si>
  <si>
    <t>Ticker</t>
  </si>
  <si>
    <t>Book Value</t>
  </si>
  <si>
    <t>Market Value</t>
  </si>
  <si>
    <t>Unrealized Gain</t>
  </si>
  <si>
    <t>% Return</t>
  </si>
  <si>
    <t>Total Equity</t>
  </si>
  <si>
    <t>Cash balance</t>
  </si>
  <si>
    <t>Accrued Income</t>
  </si>
  <si>
    <t>Total</t>
  </si>
  <si>
    <t>Book Value  Reconciliation</t>
  </si>
  <si>
    <t>open</t>
  </si>
  <si>
    <t xml:space="preserve">  Capital Gain</t>
  </si>
  <si>
    <t xml:space="preserve">  Commission</t>
  </si>
  <si>
    <t>Asset</t>
  </si>
  <si>
    <t>SecurityTransactions</t>
  </si>
  <si>
    <t>Date</t>
  </si>
  <si>
    <t>Price</t>
  </si>
  <si>
    <t>Value</t>
  </si>
  <si>
    <t>Commission</t>
  </si>
  <si>
    <t>Position</t>
  </si>
  <si>
    <t>BVS</t>
  </si>
  <si>
    <t>Capital Gain</t>
  </si>
  <si>
    <t>Deposit</t>
  </si>
  <si>
    <t xml:space="preserve">  Total Buy Value</t>
  </si>
  <si>
    <t xml:space="preserve">  Total Sell Value</t>
  </si>
  <si>
    <t>Current Cash Balance</t>
  </si>
  <si>
    <t>Dividends</t>
  </si>
  <si>
    <t>Ex-date</t>
  </si>
  <si>
    <t>Pay-Date</t>
  </si>
  <si>
    <t>Amount</t>
  </si>
  <si>
    <t>Accrued</t>
  </si>
  <si>
    <t>Received</t>
  </si>
  <si>
    <t>Name</t>
  </si>
  <si>
    <t>Company</t>
  </si>
  <si>
    <t>Market</t>
  </si>
  <si>
    <t>*</t>
  </si>
  <si>
    <t>This sheet is used to manage the account but is not included in the stewardship report you hand to the client.</t>
  </si>
  <si>
    <t>Balance</t>
  </si>
  <si>
    <t>UISES</t>
  </si>
  <si>
    <t>Report</t>
  </si>
  <si>
    <t>USD</t>
  </si>
  <si>
    <t>EUR</t>
  </si>
  <si>
    <t>GBP</t>
  </si>
  <si>
    <t>CAD</t>
  </si>
  <si>
    <t>US Dollars</t>
  </si>
  <si>
    <t>Euros</t>
  </si>
  <si>
    <t>Pounds Sterling</t>
  </si>
  <si>
    <t>Canadian Dollars</t>
  </si>
  <si>
    <t>Currency</t>
  </si>
  <si>
    <t>Market Price</t>
  </si>
  <si>
    <t>Cross Rate</t>
  </si>
  <si>
    <t xml:space="preserve">  Dividends</t>
  </si>
  <si>
    <t xml:space="preserve">  Interest on Cash balances</t>
  </si>
  <si>
    <t>Market Values</t>
  </si>
  <si>
    <t xml:space="preserve">  Interest</t>
  </si>
  <si>
    <t xml:space="preserve">  Net Currency Transactions</t>
  </si>
  <si>
    <t>Cash Balances</t>
  </si>
  <si>
    <t>Interest on Cash Balances</t>
  </si>
  <si>
    <t>Cross Currency Table</t>
  </si>
  <si>
    <t>In US Dollars</t>
  </si>
  <si>
    <t>@</t>
  </si>
  <si>
    <t>Investment Performance Summary</t>
  </si>
  <si>
    <t>Rate of Return</t>
  </si>
  <si>
    <t>Monthly</t>
  </si>
  <si>
    <t>Year to Date</t>
  </si>
  <si>
    <t xml:space="preserve">  Equity</t>
  </si>
  <si>
    <t xml:space="preserve">  Cash Balance</t>
  </si>
  <si>
    <t>CASH BALANCES</t>
  </si>
  <si>
    <t>Dividend Statement</t>
  </si>
  <si>
    <t>Equity Transaction Record</t>
  </si>
  <si>
    <t>Currency Transaction Record</t>
  </si>
  <si>
    <t>MARKET VALUE</t>
  </si>
  <si>
    <t>MANAGEMENT REPORT</t>
  </si>
  <si>
    <t>Accruals:</t>
  </si>
  <si>
    <t>UISES Statement Attached</t>
  </si>
  <si>
    <t>JPY</t>
  </si>
  <si>
    <t>Japanese Yen</t>
  </si>
  <si>
    <t>TOTAL MARKET VALUE</t>
  </si>
  <si>
    <t>Accruals</t>
  </si>
  <si>
    <t>.</t>
  </si>
  <si>
    <t>Euro</t>
  </si>
  <si>
    <t>prepared by:</t>
  </si>
  <si>
    <t>audited by:</t>
  </si>
  <si>
    <t>proofread by:</t>
  </si>
  <si>
    <t>date:</t>
  </si>
  <si>
    <t>ZZZ</t>
  </si>
  <si>
    <t>$</t>
  </si>
  <si>
    <t>Pay</t>
  </si>
  <si>
    <t>Ex</t>
  </si>
  <si>
    <t>Dividend Information</t>
  </si>
  <si>
    <t>EXCH</t>
  </si>
  <si>
    <t>Book</t>
  </si>
  <si>
    <t>First</t>
  </si>
  <si>
    <t>Transaction</t>
  </si>
  <si>
    <t>TOTAL BOOK VALUE</t>
  </si>
  <si>
    <t>Total Market Value:</t>
  </si>
  <si>
    <t>END OF FILE</t>
  </si>
  <si>
    <t>Chinese Yuan</t>
  </si>
  <si>
    <t>CHN</t>
  </si>
  <si>
    <t>Fee</t>
  </si>
  <si>
    <t>########## ##3</t>
  </si>
  <si>
    <t>Pay Date</t>
  </si>
  <si>
    <t>Exchange</t>
  </si>
  <si>
    <t>NYSE</t>
  </si>
  <si>
    <t>NASDAQ</t>
  </si>
  <si>
    <t>Company Pays No Cash Dividends</t>
  </si>
  <si>
    <t>AMOUNT</t>
  </si>
  <si>
    <t>Declared</t>
  </si>
  <si>
    <t>Ex-Dividned</t>
  </si>
  <si>
    <t>Record Date</t>
  </si>
  <si>
    <t>Reason</t>
  </si>
  <si>
    <t>Resolved</t>
  </si>
  <si>
    <t>Thaw</t>
  </si>
  <si>
    <t>Expiration Date</t>
  </si>
  <si>
    <t>Issue Date</t>
  </si>
  <si>
    <t>Warnings</t>
  </si>
  <si>
    <t>Interest paid on cash balance</t>
  </si>
  <si>
    <t>Interest on cash</t>
  </si>
  <si>
    <t>Cash dividend</t>
  </si>
  <si>
    <t>Insert company</t>
  </si>
  <si>
    <t>Dividend</t>
  </si>
  <si>
    <t>Description</t>
  </si>
  <si>
    <t>Action</t>
  </si>
  <si>
    <t>Income</t>
  </si>
  <si>
    <t>Sell Amount</t>
  </si>
  <si>
    <t>Sell</t>
  </si>
  <si>
    <t>Buy Amount</t>
  </si>
  <si>
    <t>Buy</t>
  </si>
  <si>
    <t>Execution Date</t>
  </si>
  <si>
    <t>Status</t>
  </si>
  <si>
    <t>Transactions</t>
  </si>
  <si>
    <t>Expiration</t>
  </si>
  <si>
    <t>Stop Price</t>
  </si>
  <si>
    <t>Limit Price</t>
  </si>
  <si>
    <t>Order Type</t>
  </si>
  <si>
    <t>Order Date</t>
  </si>
  <si>
    <t>Orders</t>
  </si>
  <si>
    <t>1 USD =   0.8736 EUR =   1.2552 CAD =   0.6845 GBP = 106.3603 JPY =   7.7571 HKD =  66.3967 INR =  65.6814 RUB =  32.2789 TWD = 145.4754 KRW =   3.4358 BRL =   6.4737 CNY</t>
  </si>
  <si>
    <t>Totals</t>
  </si>
  <si>
    <t>US Dollar</t>
  </si>
  <si>
    <t>Cash</t>
  </si>
  <si>
    <t>Liability</t>
  </si>
  <si>
    <t>Stock</t>
  </si>
  <si>
    <t>Change</t>
  </si>
  <si>
    <t>Bookvalue</t>
  </si>
  <si>
    <t>Category</t>
  </si>
  <si>
    <t>Portfolio</t>
  </si>
  <si>
    <t>Market data is based on the most current closing prices available as of the statement date.</t>
  </si>
  <si>
    <t>Interest charged on broker loan</t>
  </si>
  <si>
    <t>Interest charged on loan</t>
  </si>
  <si>
    <t>U.S. Equity</t>
  </si>
  <si>
    <t>Total U.S.</t>
  </si>
  <si>
    <t>JOBS</t>
  </si>
  <si>
    <t>51JOB</t>
  </si>
  <si>
    <t>BABA</t>
  </si>
  <si>
    <t>ALIBABA GROUP</t>
  </si>
  <si>
    <t>GOOGL</t>
  </si>
  <si>
    <t>Alphabet Inc. Class A</t>
  </si>
  <si>
    <t>AMZN</t>
  </si>
  <si>
    <t>Amazon.com, Inc.</t>
  </si>
  <si>
    <t>AEE</t>
  </si>
  <si>
    <t>AMEREN</t>
  </si>
  <si>
    <t>AAPL</t>
  </si>
  <si>
    <t>Apple Inc.</t>
  </si>
  <si>
    <t>BAC</t>
  </si>
  <si>
    <t>BANK OF AMERICA</t>
  </si>
  <si>
    <t>BCS</t>
  </si>
  <si>
    <t>BARCLAYS</t>
  </si>
  <si>
    <t>COG</t>
  </si>
  <si>
    <t>CABOT OIL &amp; GAS A</t>
  </si>
  <si>
    <t>DB</t>
  </si>
  <si>
    <t>DEUTSCHE BANK</t>
  </si>
  <si>
    <t>DUK</t>
  </si>
  <si>
    <t>DUKE ENERGY</t>
  </si>
  <si>
    <t>XOM</t>
  </si>
  <si>
    <t>Exxon Mobil Corporation</t>
  </si>
  <si>
    <t>F</t>
  </si>
  <si>
    <t>Ford Motor Co.</t>
  </si>
  <si>
    <t>GE</t>
  </si>
  <si>
    <t>GENERAL ELECTRIC CO</t>
  </si>
  <si>
    <t>JBLU</t>
  </si>
  <si>
    <t>JETBLUE AIRWAYS</t>
  </si>
  <si>
    <t>JPM</t>
  </si>
  <si>
    <t>J P MORGAN CHASE &amp; CO</t>
  </si>
  <si>
    <t>LFL</t>
  </si>
  <si>
    <t>LAN AIRLINES</t>
  </si>
  <si>
    <t>MAR</t>
  </si>
  <si>
    <t>MARRIOTT INTL A</t>
  </si>
  <si>
    <t>NKE</t>
  </si>
  <si>
    <t>NIKE INC B</t>
  </si>
  <si>
    <t>SENEA</t>
  </si>
  <si>
    <t>SENECA FOODS CORP A</t>
  </si>
  <si>
    <t>SORL</t>
  </si>
  <si>
    <t>SORL AUTO PARTS</t>
  </si>
  <si>
    <t>SBUX</t>
  </si>
  <si>
    <t>Starbucks Corporation</t>
  </si>
  <si>
    <t>WFC</t>
  </si>
  <si>
    <t>WELLS FARGO &amp; CO</t>
  </si>
  <si>
    <t>YHOO</t>
  </si>
  <si>
    <t>YAHOO</t>
  </si>
  <si>
    <t>600030.SS</t>
  </si>
  <si>
    <t>CITIC Securities Co., Ltd.</t>
  </si>
  <si>
    <t>CNY</t>
  </si>
  <si>
    <t>SHANGHAI</t>
  </si>
  <si>
    <t>Survival - Portfolio Statement</t>
  </si>
  <si>
    <t>As of 11-30-2016.</t>
  </si>
  <si>
    <t>Bank of America Corporation</t>
  </si>
  <si>
    <t>J P Morgan Chase &amp; Co.</t>
  </si>
  <si>
    <t>Canceled</t>
  </si>
  <si>
    <t>Interest charged on overdraft</t>
  </si>
  <si>
    <t>Interest penalty on overdraft</t>
  </si>
  <si>
    <t>Warning Overdraft</t>
  </si>
  <si>
    <t>Total Yuan</t>
  </si>
  <si>
    <t>Company pays no cash dividends</t>
  </si>
  <si>
    <t>In Range</t>
  </si>
  <si>
    <t xml:space="preserve"> £0.8009</t>
  </si>
  <si>
    <t xml:space="preserve"> C$1.3428</t>
  </si>
  <si>
    <t xml:space="preserve"> ¥ 6.8906</t>
  </si>
  <si>
    <t xml:space="preserve"> ¥ 114.3201</t>
  </si>
  <si>
    <t xml:space="preserve"> £0.8475</t>
  </si>
  <si>
    <t xml:space="preserve"> C$1.4207</t>
  </si>
  <si>
    <t xml:space="preserve"> ¥ 7.2908</t>
  </si>
  <si>
    <t xml:space="preserve"> ¥ 120.9602</t>
  </si>
  <si>
    <t xml:space="preserve"> £1.0000</t>
  </si>
  <si>
    <t xml:space="preserve"> C$1.6765</t>
  </si>
  <si>
    <t xml:space="preserve"> ¥ 8.6031</t>
  </si>
  <si>
    <t xml:space="preserve"> ¥ 142.7324</t>
  </si>
  <si>
    <t xml:space="preserve"> £0.5965</t>
  </si>
  <si>
    <t xml:space="preserve"> C$1.0000</t>
  </si>
  <si>
    <t xml:space="preserve"> ¥ 5.1317</t>
  </si>
  <si>
    <t xml:space="preserve"> ¥ 85.1384</t>
  </si>
  <si>
    <t xml:space="preserve"> £0.1162</t>
  </si>
  <si>
    <t xml:space="preserve"> C$0.1949</t>
  </si>
  <si>
    <t xml:space="preserve"> ¥ 1.0000</t>
  </si>
  <si>
    <t xml:space="preserve"> ¥ 16.5908</t>
  </si>
  <si>
    <t xml:space="preserve"> £0.0070</t>
  </si>
  <si>
    <t xml:space="preserve"> C$0.0117</t>
  </si>
  <si>
    <t xml:space="preserve"> ¥ 0.0603</t>
  </si>
  <si>
    <t xml:space="preserve"> </t>
  </si>
  <si>
    <t>Total CNY Equities</t>
    <phoneticPr fontId="68" type="noConversion"/>
  </si>
  <si>
    <t>Total CNY Position</t>
    <phoneticPr fontId="68" type="noConversion"/>
  </si>
  <si>
    <t>Asset</t>
    <phoneticPr fontId="68" type="noConversion"/>
  </si>
  <si>
    <t>Total USD Equities</t>
    <phoneticPr fontId="68" type="noConversion"/>
  </si>
  <si>
    <t>Total USD Position</t>
    <phoneticPr fontId="68" type="noConversion"/>
  </si>
  <si>
    <t>Survival</t>
  </si>
  <si>
    <t xml:space="preserve"> Amount </t>
  </si>
  <si>
    <t xml:space="preserve"> Accrued </t>
  </si>
  <si>
    <t>Cabot Oil &amp; Gas A</t>
  </si>
  <si>
    <t>Duke Energy</t>
  </si>
  <si>
    <t>General Electric Co</t>
  </si>
  <si>
    <t>J P Morgan Chase &amp; Co</t>
  </si>
  <si>
    <t>Wells Fargo &amp; Co</t>
  </si>
  <si>
    <t xml:space="preserve">  </t>
  </si>
  <si>
    <t xml:space="preserve">  Interest charged on overdraft</t>
  </si>
  <si>
    <t>Currency Rates:1 USD =   0.9437 EUR =   1.3434 CAD =   0.7995 GBP = 114.4427 JPY =   7.7559 HKD =  68.5589 INR =  63.8529 RUB =  31.8878 TWD = 176.4706 KRW =   3.3889 BRL =   6.8913 CNY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</si>
</sst>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7">
    <numFmt numFmtId="44" formatCode="_-&quot;$&quot;* #,##0.00_-;\-&quot;$&quot;* #,##0.00_-;_-&quot;$&quot;* &quot;-&quot;??_-;_-@_-"/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_);_(* \(#,##0\);_(* &quot;-&quot;??_);_(@_)"/>
    <numFmt numFmtId="169" formatCode="_(* #,##0.000_);_(* \(#,##0.000\);_(* &quot;-&quot;??_);_(@_)"/>
    <numFmt numFmtId="170" formatCode="_(* #,##0.0000_);_(* \(#,##0.0000\);_(* &quot;-&quot;??_);_(@_)"/>
    <numFmt numFmtId="171" formatCode="_(* #,##0.00000000_);_(* \(#,##0.00000000\);_(* &quot;-&quot;??_);_(@_)"/>
    <numFmt numFmtId="172" formatCode="_(&quot;$&quot;* #,##0.000_);_(&quot;$&quot;* \(#,##0.000\);_(&quot;$&quot;* &quot;-&quot;??_);_(@_)"/>
    <numFmt numFmtId="173" formatCode="_(&quot;$&quot;* #,##0.0000_);_(&quot;$&quot;* \(#,##0.0000\);_(&quot;$&quot;* &quot;-&quot;??_);_(@_)"/>
    <numFmt numFmtId="174" formatCode="mmmm\ d\,\ yyyy"/>
    <numFmt numFmtId="175" formatCode="mm/dd/yy"/>
    <numFmt numFmtId="176" formatCode="[$€-2]\ #,##0.0000"/>
    <numFmt numFmtId="177" formatCode="&quot;$&quot;\ #,##0.0000"/>
    <numFmt numFmtId="178" formatCode="[$€-2]\ #,##0.000"/>
    <numFmt numFmtId="179" formatCode="[$€-2]\ #,##0.00"/>
    <numFmt numFmtId="180" formatCode="_([$€-2]\ * #,##0.00_);_([$€-2]\ * \(#,##0.00\);_([$€-2]\ * &quot;-&quot;??_);_(@_)"/>
    <numFmt numFmtId="181" formatCode="_([$C$]* #,##0.00_);_([$C$]* \(#,##0.00\);_([$C$]* &quot;-&quot;??_);_(@_)"/>
    <numFmt numFmtId="182" formatCode="_([$£-809]* #,##0.00_);_([$£-809]* \(#,##0.00\);_([$£-809]* &quot;-&quot;??_);_(@_)"/>
    <numFmt numFmtId="183" formatCode="_([$C$]* #,##0.0000_);_([$C$]* \(#,##0.0000\);_([$C$]* &quot;-&quot;??_);_(@_)"/>
    <numFmt numFmtId="184" formatCode="_([$£-809]* #,##0.0000_);_([$£-809]* \(#,##0.0000\);_([$£-809]* &quot;-&quot;??_);_(@_)"/>
    <numFmt numFmtId="185" formatCode="_([$€-2]\ * #,##0.0000_);_([$€-2]\ * \(#,##0.0000\);_([$€-2]\ * &quot;-&quot;??_);_(@_)"/>
    <numFmt numFmtId="186" formatCode="_([$¥]* #,##0.00_);_([$¥]* \(#,##0.00\);_([$¥]* &quot;-&quot;??_);_(@_)"/>
    <numFmt numFmtId="187" formatCode="_(&quot;$&quot;* #,##0_);_(&quot;$&quot;* \(#,##0\);_(&quot;$&quot;* &quot;-&quot;??_);_(@_)"/>
    <numFmt numFmtId="188" formatCode="_([$¥]* #,##0_);_([$¥]* \(#,##0\);_([$¥]* &quot;-&quot;??_);_(@_)"/>
    <numFmt numFmtId="189" formatCode="_(&quot;$&quot;* #,##0.00000000_);_(&quot;$&quot;* \(#,##0.00000000\);_(&quot;$&quot;* &quot;-&quot;??_);_(@_)"/>
    <numFmt numFmtId="190" formatCode="_(&quot;$&quot;* #,##0.000000_);_(&quot;$&quot;* \(#,##0.000000\);_(&quot;$&quot;* &quot;-&quot;??_);_(@_)"/>
    <numFmt numFmtId="191" formatCode="0.0000"/>
    <numFmt numFmtId="192" formatCode="_([$€-2]\ * #,##0.00_);_([$€-2]\ * \(#,##0.00\)"/>
    <numFmt numFmtId="193" formatCode="_([$£-2]\ * #,##0.00_);_([$£-2]\ * \(#,##0.00\)"/>
    <numFmt numFmtId="194" formatCode="_([$¥-2]\ * #,##0.00_);_([$¥-2]\ * \(#,##0.00\)"/>
    <numFmt numFmtId="195" formatCode="_([$$-2]\ * #,##0.00_);_([$$-2]\ * \(#,##0.00\)"/>
    <numFmt numFmtId="196" formatCode="_([$C$-2]\ * #,##0.00_);_([$C$-2]\ * \(#,##0.00\)"/>
    <numFmt numFmtId="197" formatCode="\ #,##0.00_);\(#,##0.00\)"/>
    <numFmt numFmtId="198" formatCode="\ #,##0.0000_);\(#,##0.0000\)"/>
    <numFmt numFmtId="199" formatCode="mm/dd/yy;@"/>
    <numFmt numFmtId="200" formatCode="_(* #,##0.00000_);_(* \(#,##0.00000\);_(* &quot;-&quot;??_);_(@_)"/>
    <numFmt numFmtId="201" formatCode="0.000%"/>
    <numFmt numFmtId="202" formatCode="_([$€-2]\ * #,##0.0000_);_([$€-2]\ * \(#,##0.0000\)"/>
    <numFmt numFmtId="203" formatCode="_([$¥-2]\ * #,##0.0000_);_([$¥-2]\ * \(#,##0.0000\)"/>
    <numFmt numFmtId="204" formatCode="0.000"/>
    <numFmt numFmtId="205" formatCode="&quot;$&quot;#,##0.00"/>
    <numFmt numFmtId="206" formatCode="&quot;$&quot;#,##0.000"/>
    <numFmt numFmtId="207" formatCode="_-[$¥-804]* #,##0.00_ ;_-[$¥-804]* \-#,##0.00\ ;_-[$¥-804]* &quot;-&quot;??_ ;_-@_ "/>
    <numFmt numFmtId="208" formatCode="_(* #,##0.000000_);_(* \(#,##0.000000\);_(* &quot;-&quot;??_);_(@_)"/>
    <numFmt numFmtId="209" formatCode="_-[$¥-411]* #,##0.00_-;\-[$¥-411]* #,##0.00_-;_-[$¥-411]* &quot;-&quot;??_-;_-@_-"/>
  </numFmts>
  <fonts count="105" x14ac:knownFonts="1">
    <font>
      <sz val="10"/>
      <name val="Arial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mbria"/>
      <family val="2"/>
    </font>
    <font>
      <sz val="10"/>
      <color theme="1"/>
      <name val="Cambria"/>
      <family val="2"/>
    </font>
    <font>
      <sz val="10"/>
      <color theme="1"/>
      <name val="Cambria"/>
      <family val="2"/>
    </font>
    <font>
      <sz val="10"/>
      <color theme="1"/>
      <name val="Cambria"/>
      <family val="2"/>
    </font>
    <font>
      <sz val="10"/>
      <color theme="1"/>
      <name val="Cambria"/>
      <family val="2"/>
    </font>
    <font>
      <sz val="10"/>
      <color theme="1"/>
      <name val="Cambria"/>
      <family val="2"/>
    </font>
    <font>
      <sz val="10"/>
      <color theme="1"/>
      <name val="Cambria"/>
      <family val="2"/>
    </font>
    <font>
      <sz val="10"/>
      <color theme="1"/>
      <name val="Cambria"/>
      <family val="2"/>
    </font>
    <font>
      <sz val="10"/>
      <color theme="1"/>
      <name val="Cambria"/>
      <family val="2"/>
    </font>
    <font>
      <sz val="10"/>
      <color theme="1"/>
      <name val="Calibri"/>
      <family val="2"/>
    </font>
    <font>
      <sz val="10"/>
      <color theme="1"/>
      <name val="Trebuchet MS"/>
      <family val="2"/>
    </font>
    <font>
      <sz val="10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Trebuchet MS"/>
      <family val="2"/>
    </font>
    <font>
      <sz val="10"/>
      <color theme="1"/>
      <name val="Trebuchet MS"/>
      <family val="2"/>
    </font>
    <font>
      <sz val="10"/>
      <color theme="1"/>
      <name val="Trebuchet MS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9"/>
      <color theme="1"/>
      <name val="Arial Narrow"/>
      <family val="2"/>
    </font>
    <font>
      <sz val="10"/>
      <name val="Arial"/>
      <family val="2"/>
    </font>
    <font>
      <sz val="10"/>
      <name val="Arial Narrow"/>
      <family val="2"/>
    </font>
    <font>
      <sz val="10"/>
      <name val="Arial"/>
      <family val="2"/>
    </font>
    <font>
      <b/>
      <sz val="10"/>
      <name val="Arial Narrow"/>
      <family val="2"/>
    </font>
    <font>
      <sz val="8"/>
      <name val="Verdana"/>
      <family val="2"/>
    </font>
    <font>
      <b/>
      <sz val="8"/>
      <name val="Verdana"/>
      <family val="2"/>
    </font>
    <font>
      <i/>
      <sz val="14"/>
      <name val="Times New Roman"/>
      <family val="1"/>
    </font>
    <font>
      <b/>
      <i/>
      <sz val="28"/>
      <color indexed="62"/>
      <name val="Times New Roman"/>
      <family val="1"/>
    </font>
    <font>
      <b/>
      <i/>
      <sz val="14"/>
      <name val="Times New Roman"/>
      <family val="1"/>
    </font>
    <font>
      <b/>
      <sz val="8"/>
      <color indexed="81"/>
      <name val="Tahoma"/>
      <family val="2"/>
    </font>
    <font>
      <b/>
      <sz val="8"/>
      <color indexed="9"/>
      <name val="Verdana"/>
      <family val="2"/>
    </font>
    <font>
      <sz val="8"/>
      <name val="Wingdings 2"/>
      <family val="1"/>
      <charset val="2"/>
    </font>
    <font>
      <b/>
      <sz val="20"/>
      <name val="EaglefeatherFormalRegular"/>
    </font>
    <font>
      <b/>
      <sz val="8"/>
      <name val="Wingdings 2"/>
      <family val="1"/>
      <charset val="2"/>
    </font>
    <font>
      <sz val="20"/>
      <name val="Verdana"/>
      <family val="2"/>
    </font>
    <font>
      <sz val="9"/>
      <name val="Arial Narrow"/>
      <family val="2"/>
    </font>
    <font>
      <b/>
      <sz val="9"/>
      <name val="Arial Narrow"/>
      <family val="2"/>
    </font>
    <font>
      <b/>
      <sz val="8"/>
      <color indexed="16"/>
      <name val="Verdana"/>
      <family val="2"/>
    </font>
    <font>
      <b/>
      <sz val="10"/>
      <name val="Arial"/>
      <family val="2"/>
    </font>
    <font>
      <sz val="8"/>
      <color indexed="12"/>
      <name val="Verdana"/>
      <family val="2"/>
    </font>
    <font>
      <sz val="11"/>
      <color theme="1"/>
      <name val="Calibri"/>
      <family val="2"/>
      <scheme val="minor"/>
    </font>
    <font>
      <sz val="10"/>
      <name val="Verdana"/>
      <family val="2"/>
    </font>
    <font>
      <sz val="8"/>
      <color theme="1"/>
      <name val="Verdana"/>
      <family val="2"/>
    </font>
    <font>
      <sz val="8"/>
      <color indexed="10"/>
      <name val="Verdana"/>
      <family val="2"/>
    </font>
    <font>
      <sz val="10"/>
      <color indexed="12"/>
      <name val="Arial Narrow"/>
      <family val="2"/>
    </font>
    <font>
      <b/>
      <i/>
      <sz val="12"/>
      <name val="Times New Roman"/>
      <family val="1"/>
    </font>
    <font>
      <b/>
      <i/>
      <sz val="16"/>
      <name val="Times New Roman"/>
      <family val="1"/>
    </font>
    <font>
      <sz val="8"/>
      <color indexed="81"/>
      <name val="Tahoma"/>
      <family val="2"/>
    </font>
    <font>
      <i/>
      <sz val="10"/>
      <name val="Times New Roman"/>
      <family val="1"/>
    </font>
    <font>
      <b/>
      <i/>
      <sz val="24"/>
      <name val="Times New Roman"/>
      <family val="1"/>
    </font>
    <font>
      <b/>
      <i/>
      <sz val="48"/>
      <name val="Times New Roman"/>
      <family val="1"/>
    </font>
    <font>
      <b/>
      <i/>
      <sz val="20"/>
      <name val="Times New Roman"/>
      <family val="1"/>
    </font>
    <font>
      <sz val="10"/>
      <color indexed="12"/>
      <name val="Trebuchet MS"/>
      <family val="2"/>
    </font>
    <font>
      <sz val="10"/>
      <name val="Trebuchet MS"/>
      <family val="2"/>
    </font>
    <font>
      <sz val="10"/>
      <name val="Arial"/>
      <family val="2"/>
    </font>
    <font>
      <b/>
      <i/>
      <sz val="10"/>
      <name val="Times New Roman"/>
      <family val="1"/>
    </font>
    <font>
      <sz val="10"/>
      <color indexed="12"/>
      <name val="Cambria"/>
      <family val="1"/>
      <scheme val="major"/>
    </font>
    <font>
      <sz val="10"/>
      <color indexed="12"/>
      <name val="Cambria"/>
      <family val="2"/>
    </font>
    <font>
      <sz val="10"/>
      <name val="Arial"/>
      <family val="2"/>
    </font>
    <font>
      <sz val="8"/>
      <color rgb="FF0000FF"/>
      <name val="Verdana"/>
      <family val="2"/>
    </font>
    <font>
      <sz val="11"/>
      <color indexed="12"/>
      <name val="Calibri"/>
      <family val="2"/>
      <scheme val="minor"/>
    </font>
    <font>
      <sz val="8"/>
      <color indexed="17"/>
      <name val="Verdana"/>
      <family val="2"/>
    </font>
    <font>
      <sz val="8"/>
      <name val="Arial"/>
    </font>
    <font>
      <u/>
      <sz val="10"/>
      <color theme="10"/>
      <name val="Arial"/>
    </font>
    <font>
      <u/>
      <sz val="10"/>
      <color theme="11"/>
      <name val="Arial"/>
    </font>
    <font>
      <sz val="12"/>
      <color rgb="FF0000FF"/>
      <name val="Calibri"/>
      <scheme val="minor"/>
    </font>
    <font>
      <sz val="12"/>
      <color rgb="FF3366FF"/>
      <name val="Calibri"/>
      <scheme val="minor"/>
    </font>
    <font>
      <b/>
      <sz val="8"/>
      <color rgb="FF0000FF"/>
      <name val="Verdana"/>
      <family val="2"/>
    </font>
    <font>
      <sz val="10"/>
      <color rgb="FF0000FF"/>
      <name val="Calibri"/>
      <family val="2"/>
    </font>
    <font>
      <sz val="10"/>
      <color rgb="FF008000"/>
      <name val="Trebuchet MS"/>
      <family val="2"/>
    </font>
    <font>
      <b/>
      <i/>
      <sz val="28"/>
      <color rgb="FF333399"/>
      <name val="Times New Roman"/>
      <family val="1"/>
    </font>
    <font>
      <i/>
      <sz val="10"/>
      <color rgb="FFFF0000"/>
      <name val="Times New Roman"/>
      <family val="1"/>
    </font>
    <font>
      <sz val="9"/>
      <color rgb="FF000000"/>
      <name val="Arial Narrow"/>
      <family val="2"/>
    </font>
    <font>
      <sz val="8"/>
      <color theme="6" tint="-0.249977111117893"/>
      <name val="Verdana"/>
    </font>
    <font>
      <sz val="8"/>
      <color rgb="FF008000"/>
      <name val="Verdana"/>
    </font>
    <font>
      <sz val="10"/>
      <name val="Times New Roman"/>
    </font>
    <font>
      <b/>
      <sz val="10"/>
      <name val="Times New Roman"/>
    </font>
    <font>
      <b/>
      <sz val="10"/>
      <color indexed="9"/>
      <name val="Times New Roman"/>
    </font>
    <font>
      <sz val="10"/>
      <color indexed="9"/>
      <name val="Times New Roman"/>
    </font>
    <font>
      <b/>
      <sz val="10"/>
      <color indexed="10"/>
      <name val="Times New Roman"/>
    </font>
    <font>
      <b/>
      <sz val="10"/>
      <color theme="0"/>
      <name val="Times New Roman"/>
    </font>
    <font>
      <sz val="10"/>
      <color indexed="12"/>
      <name val="Times New Roman"/>
    </font>
    <font>
      <sz val="10"/>
      <color rgb="FF3366FF"/>
      <name val="Times New Roman"/>
    </font>
    <font>
      <b/>
      <i/>
      <sz val="10"/>
      <color indexed="62"/>
      <name val="Times New Roman"/>
    </font>
    <font>
      <sz val="10"/>
      <color rgb="FF0000FF"/>
      <name val="Times New Roman"/>
    </font>
    <font>
      <sz val="10"/>
      <color theme="0"/>
      <name val="Times New Roman"/>
    </font>
    <font>
      <b/>
      <sz val="10"/>
      <color rgb="FFFF0000"/>
      <name val="Times New Roman"/>
    </font>
    <font>
      <b/>
      <sz val="10"/>
      <color rgb="FFFFFFFF"/>
      <name val="Times New Roman"/>
    </font>
    <font>
      <sz val="10"/>
      <color rgb="FFFFFFFF"/>
      <name val="Times New Roman"/>
    </font>
    <font>
      <sz val="9"/>
      <name val="Times New Roman"/>
    </font>
    <font>
      <sz val="10"/>
      <color rgb="FF008000"/>
      <name val="Times New Roman"/>
    </font>
    <font>
      <b/>
      <sz val="10"/>
      <color rgb="FF3366FF"/>
      <name val="Times New Roman"/>
    </font>
    <font>
      <sz val="10"/>
      <color indexed="17"/>
      <name val="Times New Roman"/>
    </font>
    <font>
      <b/>
      <sz val="10"/>
      <color rgb="FF00349C"/>
      <name val="Times New Roman"/>
    </font>
    <font>
      <b/>
      <sz val="10"/>
      <color theme="1"/>
      <name val="Times New Roman"/>
    </font>
    <font>
      <sz val="10"/>
      <color theme="1"/>
      <name val="Times New Roman"/>
    </font>
    <font>
      <sz val="10"/>
      <color theme="1"/>
      <name val="Calibri"/>
      <family val="2"/>
      <scheme val="minor"/>
    </font>
    <font>
      <sz val="11"/>
      <color rgb="FF3366FF"/>
      <name val="Calibri"/>
      <scheme val="minor"/>
    </font>
    <font>
      <sz val="8"/>
      <color rgb="FF3366FF"/>
      <name val="Verdana"/>
    </font>
  </fonts>
  <fills count="21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4F6228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rgb="FF31869B"/>
        <bgColor rgb="FF000000"/>
      </patternFill>
    </fill>
    <fill>
      <patternFill patternType="solid">
        <fgColor rgb="FF632523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rgb="FFE26B0A"/>
        <bgColor rgb="FF000000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</borders>
  <cellStyleXfs count="178">
    <xf numFmtId="0" fontId="0" fillId="0" borderId="0"/>
    <xf numFmtId="167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0" fontId="47" fillId="0" borderId="0"/>
    <xf numFmtId="0" fontId="28" fillId="0" borderId="0"/>
    <xf numFmtId="0" fontId="48" fillId="0" borderId="0"/>
    <xf numFmtId="0" fontId="48" fillId="0" borderId="0"/>
    <xf numFmtId="9" fontId="28" fillId="0" borderId="0" applyFont="0" applyFill="0" applyBorder="0" applyAlignment="0" applyProtection="0"/>
    <xf numFmtId="0" fontId="30" fillId="0" borderId="0"/>
    <xf numFmtId="0" fontId="30" fillId="0" borderId="0"/>
    <xf numFmtId="0" fontId="30" fillId="0" borderId="0"/>
    <xf numFmtId="167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0" fontId="26" fillId="0" borderId="0"/>
    <xf numFmtId="167" fontId="4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46" fillId="0" borderId="0"/>
    <xf numFmtId="0" fontId="26" fillId="0" borderId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7" fontId="26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19" fillId="0" borderId="0"/>
    <xf numFmtId="166" fontId="46" fillId="0" borderId="0" applyFont="0" applyFill="0" applyBorder="0" applyAlignment="0" applyProtection="0"/>
    <xf numFmtId="0" fontId="19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167" fontId="60" fillId="0" borderId="0" applyFont="0" applyFill="0" applyBorder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9" fontId="64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1" fillId="0" borderId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44" fontId="26" fillId="0" borderId="0" applyFon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</cellStyleXfs>
  <cellXfs count="724">
    <xf numFmtId="0" fontId="0" fillId="0" borderId="0" xfId="0"/>
    <xf numFmtId="0" fontId="30" fillId="0" borderId="0" xfId="4" applyFont="1"/>
    <xf numFmtId="0" fontId="37" fillId="0" borderId="0" xfId="4" applyFont="1"/>
    <xf numFmtId="166" fontId="30" fillId="0" borderId="0" xfId="2" applyFont="1" applyFill="1" applyBorder="1"/>
    <xf numFmtId="166" fontId="30" fillId="0" borderId="0" xfId="2" applyFont="1"/>
    <xf numFmtId="0" fontId="31" fillId="0" borderId="0" xfId="4" applyFont="1"/>
    <xf numFmtId="166" fontId="30" fillId="0" borderId="1" xfId="2" applyFont="1" applyFill="1" applyBorder="1"/>
    <xf numFmtId="166" fontId="30" fillId="0" borderId="1" xfId="2" applyFont="1" applyBorder="1"/>
    <xf numFmtId="0" fontId="30" fillId="0" borderId="0" xfId="4" applyFont="1" applyAlignment="1">
      <alignment horizontal="right"/>
    </xf>
    <xf numFmtId="166" fontId="30" fillId="0" borderId="8" xfId="2" applyFont="1" applyFill="1" applyBorder="1"/>
    <xf numFmtId="166" fontId="30" fillId="0" borderId="8" xfId="2" applyFont="1" applyBorder="1"/>
    <xf numFmtId="4" fontId="30" fillId="0" borderId="0" xfId="8" applyNumberFormat="1"/>
    <xf numFmtId="166" fontId="30" fillId="0" borderId="0" xfId="4" applyNumberFormat="1" applyFont="1" applyFill="1" applyBorder="1"/>
    <xf numFmtId="0" fontId="37" fillId="0" borderId="0" xfId="4" applyFont="1" applyFill="1" applyBorder="1"/>
    <xf numFmtId="189" fontId="30" fillId="0" borderId="0" xfId="2" applyNumberFormat="1" applyFont="1"/>
    <xf numFmtId="166" fontId="30" fillId="3" borderId="13" xfId="4" applyNumberFormat="1" applyFont="1" applyFill="1" applyBorder="1"/>
    <xf numFmtId="0" fontId="37" fillId="3" borderId="10" xfId="4" applyFont="1" applyFill="1" applyBorder="1"/>
    <xf numFmtId="166" fontId="30" fillId="0" borderId="10" xfId="2" applyFont="1" applyFill="1" applyBorder="1"/>
    <xf numFmtId="189" fontId="30" fillId="3" borderId="10" xfId="2" applyNumberFormat="1" applyFont="1" applyFill="1" applyBorder="1"/>
    <xf numFmtId="166" fontId="30" fillId="3" borderId="10" xfId="2" applyFont="1" applyFill="1" applyBorder="1"/>
    <xf numFmtId="0" fontId="31" fillId="3" borderId="16" xfId="4" applyFont="1" applyFill="1" applyBorder="1"/>
    <xf numFmtId="180" fontId="30" fillId="3" borderId="11" xfId="2" applyNumberFormat="1" applyFont="1" applyFill="1" applyBorder="1"/>
    <xf numFmtId="0" fontId="37" fillId="3" borderId="0" xfId="4" applyFont="1" applyFill="1" applyBorder="1"/>
    <xf numFmtId="189" fontId="30" fillId="3" borderId="0" xfId="2" applyNumberFormat="1" applyFont="1" applyFill="1" applyBorder="1"/>
    <xf numFmtId="186" fontId="30" fillId="3" borderId="0" xfId="2" applyNumberFormat="1" applyFont="1" applyFill="1" applyBorder="1"/>
    <xf numFmtId="0" fontId="31" fillId="3" borderId="15" xfId="4" applyFont="1" applyFill="1" applyBorder="1"/>
    <xf numFmtId="166" fontId="30" fillId="3" borderId="11" xfId="4" applyNumberFormat="1" applyFont="1" applyFill="1" applyBorder="1"/>
    <xf numFmtId="181" fontId="30" fillId="3" borderId="0" xfId="2" applyNumberFormat="1" applyFont="1" applyFill="1" applyBorder="1"/>
    <xf numFmtId="182" fontId="30" fillId="3" borderId="0" xfId="4" applyNumberFormat="1" applyFont="1" applyFill="1" applyBorder="1"/>
    <xf numFmtId="166" fontId="30" fillId="3" borderId="0" xfId="2" applyFont="1" applyFill="1" applyBorder="1"/>
    <xf numFmtId="0" fontId="45" fillId="0" borderId="0" xfId="4" applyFont="1" applyFill="1" applyBorder="1"/>
    <xf numFmtId="0" fontId="31" fillId="3" borderId="15" xfId="4" applyFont="1" applyFill="1" applyBorder="1" applyAlignment="1">
      <alignment horizontal="right"/>
    </xf>
    <xf numFmtId="0" fontId="43" fillId="0" borderId="0" xfId="4" applyFont="1" applyBorder="1" applyAlignment="1">
      <alignment horizontal="right"/>
    </xf>
    <xf numFmtId="166" fontId="30" fillId="3" borderId="18" xfId="4" applyNumberFormat="1" applyFont="1" applyFill="1" applyBorder="1"/>
    <xf numFmtId="0" fontId="37" fillId="3" borderId="17" xfId="4" applyFont="1" applyFill="1" applyBorder="1"/>
    <xf numFmtId="166" fontId="30" fillId="3" borderId="17" xfId="2" applyFont="1" applyFill="1" applyBorder="1"/>
    <xf numFmtId="0" fontId="31" fillId="3" borderId="19" xfId="4" applyFont="1" applyFill="1" applyBorder="1"/>
    <xf numFmtId="0" fontId="31" fillId="4" borderId="18" xfId="4" applyFont="1" applyFill="1" applyBorder="1" applyAlignment="1">
      <alignment horizontal="center"/>
    </xf>
    <xf numFmtId="0" fontId="39" fillId="4" borderId="17" xfId="4" applyFont="1" applyFill="1" applyBorder="1" applyAlignment="1">
      <alignment horizontal="center"/>
    </xf>
    <xf numFmtId="0" fontId="31" fillId="4" borderId="17" xfId="4" applyFont="1" applyFill="1" applyBorder="1" applyAlignment="1">
      <alignment horizontal="center"/>
    </xf>
    <xf numFmtId="0" fontId="31" fillId="4" borderId="19" xfId="4" applyFont="1" applyFill="1" applyBorder="1" applyAlignment="1">
      <alignment horizontal="center"/>
    </xf>
    <xf numFmtId="0" fontId="43" fillId="0" borderId="0" xfId="9" applyFont="1" applyBorder="1" applyAlignment="1">
      <alignment horizontal="right"/>
    </xf>
    <xf numFmtId="194" fontId="30" fillId="0" borderId="0" xfId="2" applyNumberFormat="1" applyFont="1" applyFill="1" applyBorder="1"/>
    <xf numFmtId="194" fontId="30" fillId="0" borderId="0" xfId="2" applyNumberFormat="1" applyFont="1" applyBorder="1"/>
    <xf numFmtId="0" fontId="31" fillId="0" borderId="0" xfId="4" applyFont="1" applyFill="1" applyBorder="1"/>
    <xf numFmtId="194" fontId="30" fillId="3" borderId="10" xfId="1" applyNumberFormat="1" applyFont="1" applyFill="1" applyBorder="1"/>
    <xf numFmtId="194" fontId="30" fillId="3" borderId="10" xfId="2" applyNumberFormat="1" applyFont="1" applyFill="1" applyBorder="1"/>
    <xf numFmtId="196" fontId="30" fillId="3" borderId="0" xfId="1" applyNumberFormat="1" applyFont="1" applyFill="1" applyBorder="1"/>
    <xf numFmtId="196" fontId="30" fillId="3" borderId="0" xfId="2" applyNumberFormat="1" applyFont="1" applyFill="1" applyBorder="1"/>
    <xf numFmtId="193" fontId="30" fillId="3" borderId="0" xfId="1" applyNumberFormat="1" applyFont="1" applyFill="1" applyBorder="1"/>
    <xf numFmtId="193" fontId="30" fillId="3" borderId="0" xfId="4" applyNumberFormat="1" applyFont="1" applyFill="1" applyBorder="1"/>
    <xf numFmtId="192" fontId="30" fillId="3" borderId="0" xfId="1" applyNumberFormat="1" applyFont="1" applyFill="1" applyBorder="1"/>
    <xf numFmtId="192" fontId="30" fillId="3" borderId="0" xfId="2" applyNumberFormat="1" applyFont="1" applyFill="1" applyBorder="1"/>
    <xf numFmtId="195" fontId="30" fillId="3" borderId="17" xfId="1" applyNumberFormat="1" applyFont="1" applyFill="1" applyBorder="1"/>
    <xf numFmtId="195" fontId="30" fillId="3" borderId="17" xfId="2" applyNumberFormat="1" applyFont="1" applyFill="1" applyBorder="1"/>
    <xf numFmtId="0" fontId="31" fillId="4" borderId="22" xfId="4" applyFont="1" applyFill="1" applyBorder="1" applyAlignment="1">
      <alignment horizontal="center"/>
    </xf>
    <xf numFmtId="0" fontId="37" fillId="4" borderId="21" xfId="4" applyFont="1" applyFill="1" applyBorder="1"/>
    <xf numFmtId="0" fontId="31" fillId="4" borderId="21" xfId="4" applyFont="1" applyFill="1" applyBorder="1" applyAlignment="1">
      <alignment horizontal="center"/>
    </xf>
    <xf numFmtId="189" fontId="31" fillId="4" borderId="21" xfId="4" applyNumberFormat="1" applyFont="1" applyFill="1" applyBorder="1" applyAlignment="1">
      <alignment horizontal="center"/>
    </xf>
    <xf numFmtId="0" fontId="31" fillId="4" borderId="20" xfId="4" applyFont="1" applyFill="1" applyBorder="1" applyAlignment="1">
      <alignment horizontal="center"/>
    </xf>
    <xf numFmtId="4" fontId="43" fillId="0" borderId="0" xfId="10" applyNumberFormat="1" applyFont="1" applyBorder="1" applyAlignment="1">
      <alignment horizontal="right"/>
    </xf>
    <xf numFmtId="195" fontId="30" fillId="3" borderId="0" xfId="2" applyNumberFormat="1" applyFont="1" applyFill="1" applyBorder="1"/>
    <xf numFmtId="0" fontId="30" fillId="0" borderId="0" xfId="4" applyFont="1" applyBorder="1"/>
    <xf numFmtId="0" fontId="39" fillId="4" borderId="21" xfId="4" applyFont="1" applyFill="1" applyBorder="1" applyAlignment="1">
      <alignment horizontal="center"/>
    </xf>
    <xf numFmtId="0" fontId="36" fillId="5" borderId="19" xfId="4" applyFont="1" applyFill="1" applyBorder="1"/>
    <xf numFmtId="0" fontId="40" fillId="0" borderId="0" xfId="4" applyFont="1"/>
    <xf numFmtId="174" fontId="38" fillId="0" borderId="0" xfId="2" applyNumberFormat="1" applyFont="1" applyAlignment="1">
      <alignment horizontal="right"/>
    </xf>
    <xf numFmtId="13" fontId="30" fillId="0" borderId="0" xfId="2" applyNumberFormat="1" applyFont="1"/>
    <xf numFmtId="0" fontId="31" fillId="0" borderId="0" xfId="4" applyFont="1" applyFill="1"/>
    <xf numFmtId="0" fontId="30" fillId="2" borderId="0" xfId="4" applyFont="1" applyFill="1"/>
    <xf numFmtId="0" fontId="27" fillId="0" borderId="0" xfId="4" applyFont="1"/>
    <xf numFmtId="13" fontId="27" fillId="0" borderId="0" xfId="4" applyNumberFormat="1" applyFont="1"/>
    <xf numFmtId="167" fontId="27" fillId="0" borderId="0" xfId="1" applyFont="1"/>
    <xf numFmtId="166" fontId="27" fillId="0" borderId="0" xfId="2" applyFont="1"/>
    <xf numFmtId="168" fontId="27" fillId="0" borderId="0" xfId="1" applyNumberFormat="1" applyFont="1" applyBorder="1"/>
    <xf numFmtId="10" fontId="50" fillId="0" borderId="0" xfId="4" applyNumberFormat="1" applyFont="1" applyFill="1"/>
    <xf numFmtId="181" fontId="27" fillId="0" borderId="0" xfId="2" applyNumberFormat="1" applyFont="1" applyBorder="1"/>
    <xf numFmtId="182" fontId="27" fillId="0" borderId="0" xfId="4" applyNumberFormat="1" applyFont="1"/>
    <xf numFmtId="0" fontId="27" fillId="0" borderId="0" xfId="4" applyFont="1" applyBorder="1"/>
    <xf numFmtId="14" fontId="27" fillId="0" borderId="0" xfId="4" applyNumberFormat="1" applyFont="1"/>
    <xf numFmtId="0" fontId="41" fillId="0" borderId="0" xfId="4" applyFont="1"/>
    <xf numFmtId="166" fontId="41" fillId="0" borderId="0" xfId="2" applyFont="1"/>
    <xf numFmtId="0" fontId="41" fillId="0" borderId="0" xfId="4" applyFont="1" applyFill="1"/>
    <xf numFmtId="0" fontId="28" fillId="0" borderId="0" xfId="4"/>
    <xf numFmtId="166" fontId="41" fillId="0" borderId="0" xfId="4" applyNumberFormat="1" applyFont="1"/>
    <xf numFmtId="0" fontId="29" fillId="0" borderId="0" xfId="4" applyFont="1" applyBorder="1"/>
    <xf numFmtId="166" fontId="33" fillId="0" borderId="0" xfId="2" quotePrefix="1" applyFont="1" applyAlignment="1">
      <alignment horizontal="left"/>
    </xf>
    <xf numFmtId="0" fontId="28" fillId="0" borderId="0" xfId="4" applyFont="1" applyBorder="1" applyAlignment="1">
      <alignment horizontal="left"/>
    </xf>
    <xf numFmtId="13" fontId="44" fillId="0" borderId="1" xfId="4" applyNumberFormat="1" applyFont="1" applyBorder="1"/>
    <xf numFmtId="0" fontId="44" fillId="0" borderId="1" xfId="4" applyFont="1" applyBorder="1"/>
    <xf numFmtId="0" fontId="29" fillId="0" borderId="1" xfId="4" applyFont="1" applyBorder="1"/>
    <xf numFmtId="0" fontId="52" fillId="0" borderId="1" xfId="4" applyFont="1" applyBorder="1" applyAlignment="1">
      <alignment horizontal="left"/>
    </xf>
    <xf numFmtId="166" fontId="32" fillId="0" borderId="0" xfId="2" quotePrefix="1" applyFont="1" applyAlignment="1">
      <alignment horizontal="right"/>
    </xf>
    <xf numFmtId="167" fontId="41" fillId="0" borderId="0" xfId="4" applyNumberFormat="1" applyFont="1"/>
    <xf numFmtId="174" fontId="55" fillId="0" borderId="0" xfId="2" applyNumberFormat="1" applyFont="1" applyAlignment="1">
      <alignment horizontal="right"/>
    </xf>
    <xf numFmtId="166" fontId="55" fillId="0" borderId="0" xfId="2" applyFont="1" applyAlignment="1">
      <alignment horizontal="right"/>
    </xf>
    <xf numFmtId="166" fontId="56" fillId="0" borderId="0" xfId="2" applyFont="1" applyAlignment="1">
      <alignment horizontal="right"/>
    </xf>
    <xf numFmtId="194" fontId="45" fillId="0" borderId="0" xfId="2" applyNumberFormat="1" applyFont="1" applyFill="1" applyBorder="1"/>
    <xf numFmtId="0" fontId="58" fillId="0" borderId="0" xfId="34" applyFont="1" applyFill="1"/>
    <xf numFmtId="165" fontId="59" fillId="0" borderId="0" xfId="34" applyNumberFormat="1" applyFont="1" applyFill="1" applyBorder="1"/>
    <xf numFmtId="167" fontId="58" fillId="0" borderId="0" xfId="34" applyNumberFormat="1" applyFont="1" applyFill="1"/>
    <xf numFmtId="166" fontId="30" fillId="3" borderId="17" xfId="2" applyNumberFormat="1" applyFont="1" applyFill="1" applyBorder="1"/>
    <xf numFmtId="0" fontId="27" fillId="0" borderId="0" xfId="4" applyFont="1" applyFill="1"/>
    <xf numFmtId="195" fontId="27" fillId="0" borderId="0" xfId="4" applyNumberFormat="1" applyFont="1"/>
    <xf numFmtId="193" fontId="30" fillId="3" borderId="11" xfId="2" applyNumberFormat="1" applyFont="1" applyFill="1" applyBorder="1"/>
    <xf numFmtId="192" fontId="30" fillId="3" borderId="11" xfId="2" applyNumberFormat="1" applyFont="1" applyFill="1" applyBorder="1"/>
    <xf numFmtId="195" fontId="30" fillId="3" borderId="11" xfId="4" applyNumberFormat="1" applyFont="1" applyFill="1" applyBorder="1"/>
    <xf numFmtId="196" fontId="30" fillId="3" borderId="11" xfId="4" applyNumberFormat="1" applyFont="1" applyFill="1" applyBorder="1"/>
    <xf numFmtId="194" fontId="30" fillId="3" borderId="13" xfId="4" applyNumberFormat="1" applyFont="1" applyFill="1" applyBorder="1"/>
    <xf numFmtId="0" fontId="62" fillId="0" borderId="0" xfId="0" applyFont="1" applyFill="1"/>
    <xf numFmtId="4" fontId="62" fillId="0" borderId="0" xfId="0" applyNumberFormat="1" applyFont="1" applyFill="1"/>
    <xf numFmtId="166" fontId="41" fillId="0" borderId="0" xfId="24" applyFont="1"/>
    <xf numFmtId="166" fontId="27" fillId="0" borderId="0" xfId="24" applyFont="1"/>
    <xf numFmtId="167" fontId="40" fillId="0" borderId="0" xfId="40" applyFont="1"/>
    <xf numFmtId="167" fontId="40" fillId="0" borderId="0" xfId="40" applyFont="1" applyProtection="1">
      <protection locked="0"/>
    </xf>
    <xf numFmtId="167" fontId="30" fillId="0" borderId="0" xfId="40" applyFont="1"/>
    <xf numFmtId="167" fontId="30" fillId="0" borderId="0" xfId="40" applyFont="1" applyProtection="1">
      <protection locked="0"/>
    </xf>
    <xf numFmtId="0" fontId="63" fillId="0" borderId="0" xfId="44" applyFont="1" applyFill="1"/>
    <xf numFmtId="201" fontId="27" fillId="0" borderId="0" xfId="46" applyNumberFormat="1" applyFont="1" applyBorder="1"/>
    <xf numFmtId="0" fontId="30" fillId="0" borderId="0" xfId="0" applyFont="1"/>
    <xf numFmtId="166" fontId="33" fillId="0" borderId="0" xfId="2" quotePrefix="1" applyFont="1" applyAlignment="1">
      <alignment horizontal="left"/>
    </xf>
    <xf numFmtId="194" fontId="30" fillId="3" borderId="0" xfId="2" applyNumberFormat="1" applyFont="1" applyFill="1" applyBorder="1"/>
    <xf numFmtId="194" fontId="30" fillId="3" borderId="0" xfId="1" applyNumberFormat="1" applyFont="1" applyFill="1" applyBorder="1"/>
    <xf numFmtId="194" fontId="30" fillId="3" borderId="11" xfId="4" applyNumberFormat="1" applyFont="1" applyFill="1" applyBorder="1"/>
    <xf numFmtId="0" fontId="41" fillId="0" borderId="0" xfId="2" applyNumberFormat="1" applyFont="1"/>
    <xf numFmtId="14" fontId="41" fillId="0" borderId="0" xfId="4" applyNumberFormat="1" applyFont="1"/>
    <xf numFmtId="37" fontId="41" fillId="0" borderId="0" xfId="4" applyNumberFormat="1" applyFont="1"/>
    <xf numFmtId="173" fontId="41" fillId="0" borderId="0" xfId="4" applyNumberFormat="1" applyFont="1"/>
    <xf numFmtId="168" fontId="41" fillId="0" borderId="0" xfId="4" applyNumberFormat="1" applyFont="1"/>
    <xf numFmtId="171" fontId="41" fillId="0" borderId="0" xfId="4" applyNumberFormat="1" applyFont="1"/>
    <xf numFmtId="22" fontId="41" fillId="0" borderId="0" xfId="2" applyNumberFormat="1" applyFont="1"/>
    <xf numFmtId="3" fontId="41" fillId="0" borderId="0" xfId="4" applyNumberFormat="1" applyFont="1"/>
    <xf numFmtId="4" fontId="41" fillId="0" borderId="0" xfId="4" applyNumberFormat="1" applyFont="1"/>
    <xf numFmtId="22" fontId="41" fillId="0" borderId="0" xfId="4" applyNumberFormat="1" applyFont="1"/>
    <xf numFmtId="0" fontId="66" fillId="0" borderId="0" xfId="53" applyFont="1" applyFill="1"/>
    <xf numFmtId="195" fontId="67" fillId="0" borderId="0" xfId="2" applyNumberFormat="1" applyFont="1" applyFill="1" applyBorder="1" applyProtection="1">
      <protection locked="0"/>
    </xf>
    <xf numFmtId="195" fontId="67" fillId="0" borderId="17" xfId="2" applyNumberFormat="1" applyFont="1" applyFill="1" applyBorder="1" applyProtection="1">
      <protection locked="0"/>
    </xf>
    <xf numFmtId="166" fontId="67" fillId="0" borderId="0" xfId="2" applyFont="1" applyFill="1" applyBorder="1" applyProtection="1">
      <protection locked="0"/>
    </xf>
    <xf numFmtId="4" fontId="67" fillId="0" borderId="0" xfId="47" applyNumberFormat="1" applyFont="1" applyFill="1"/>
    <xf numFmtId="0" fontId="1" fillId="0" borderId="0" xfId="70"/>
    <xf numFmtId="4" fontId="71" fillId="0" borderId="0" xfId="0" applyNumberFormat="1" applyFont="1"/>
    <xf numFmtId="0" fontId="72" fillId="0" borderId="0" xfId="70" applyFont="1"/>
    <xf numFmtId="0" fontId="31" fillId="0" borderId="0" xfId="0" applyFont="1"/>
    <xf numFmtId="0" fontId="65" fillId="0" borderId="0" xfId="0" applyFont="1"/>
    <xf numFmtId="199" fontId="65" fillId="0" borderId="0" xfId="0" applyNumberFormat="1" applyFont="1"/>
    <xf numFmtId="169" fontId="65" fillId="0" borderId="0" xfId="0" applyNumberFormat="1" applyFont="1"/>
    <xf numFmtId="13" fontId="30" fillId="0" borderId="0" xfId="0" applyNumberFormat="1" applyFont="1"/>
    <xf numFmtId="0" fontId="73" fillId="0" borderId="0" xfId="0" applyFont="1"/>
    <xf numFmtId="193" fontId="65" fillId="0" borderId="0" xfId="0" applyNumberFormat="1" applyFont="1"/>
    <xf numFmtId="0" fontId="74" fillId="0" borderId="0" xfId="0" applyFont="1"/>
    <xf numFmtId="195" fontId="74" fillId="0" borderId="0" xfId="0" applyNumberFormat="1" applyFont="1"/>
    <xf numFmtId="192" fontId="74" fillId="0" borderId="0" xfId="0" applyNumberFormat="1" applyFont="1"/>
    <xf numFmtId="191" fontId="75" fillId="0" borderId="0" xfId="0" applyNumberFormat="1" applyFont="1"/>
    <xf numFmtId="0" fontId="27" fillId="0" borderId="0" xfId="23" applyFont="1"/>
    <xf numFmtId="167" fontId="27" fillId="0" borderId="0" xfId="26" applyFont="1"/>
    <xf numFmtId="168" fontId="27" fillId="0" borderId="0" xfId="26" applyNumberFormat="1" applyFont="1" applyBorder="1"/>
    <xf numFmtId="0" fontId="26" fillId="0" borderId="0" xfId="23" applyFont="1" applyBorder="1" applyAlignment="1">
      <alignment horizontal="left"/>
    </xf>
    <xf numFmtId="0" fontId="41" fillId="0" borderId="0" xfId="23" applyFont="1"/>
    <xf numFmtId="166" fontId="41" fillId="0" borderId="0" xfId="23" applyNumberFormat="1" applyFont="1"/>
    <xf numFmtId="169" fontId="27" fillId="0" borderId="0" xfId="26" applyNumberFormat="1" applyFont="1"/>
    <xf numFmtId="166" fontId="27" fillId="0" borderId="0" xfId="24" applyFont="1" applyBorder="1"/>
    <xf numFmtId="169" fontId="41" fillId="0" borderId="0" xfId="26" applyNumberFormat="1" applyFont="1"/>
    <xf numFmtId="0" fontId="42" fillId="0" borderId="0" xfId="23" applyFont="1"/>
    <xf numFmtId="0" fontId="41" fillId="0" borderId="0" xfId="23" applyFont="1" applyFill="1"/>
    <xf numFmtId="165" fontId="41" fillId="0" borderId="0" xfId="23" applyNumberFormat="1" applyFont="1" applyFill="1"/>
    <xf numFmtId="197" fontId="41" fillId="0" borderId="0" xfId="23" applyNumberFormat="1" applyFont="1"/>
    <xf numFmtId="167" fontId="41" fillId="0" borderId="0" xfId="23" applyNumberFormat="1" applyFont="1"/>
    <xf numFmtId="191" fontId="41" fillId="0" borderId="0" xfId="23" applyNumberFormat="1" applyFont="1" applyFill="1"/>
    <xf numFmtId="13" fontId="27" fillId="0" borderId="0" xfId="23" applyNumberFormat="1" applyFont="1"/>
    <xf numFmtId="0" fontId="27" fillId="0" borderId="0" xfId="23" applyFont="1" applyBorder="1"/>
    <xf numFmtId="167" fontId="27" fillId="0" borderId="0" xfId="23" applyNumberFormat="1" applyFont="1"/>
    <xf numFmtId="194" fontId="27" fillId="0" borderId="0" xfId="23" applyNumberFormat="1" applyFont="1"/>
    <xf numFmtId="0" fontId="0" fillId="0" borderId="0" xfId="0" applyAlignment="1">
      <alignment horizontal="left"/>
    </xf>
    <xf numFmtId="0" fontId="27" fillId="0" borderId="0" xfId="0" applyFont="1"/>
    <xf numFmtId="166" fontId="27" fillId="0" borderId="0" xfId="0" applyNumberFormat="1" applyFont="1"/>
    <xf numFmtId="0" fontId="32" fillId="0" borderId="0" xfId="0" applyFont="1" applyAlignment="1">
      <alignment horizontal="right"/>
    </xf>
    <xf numFmtId="15" fontId="27" fillId="0" borderId="0" xfId="0" applyNumberFormat="1" applyFont="1"/>
    <xf numFmtId="0" fontId="54" fillId="0" borderId="0" xfId="0" applyFont="1"/>
    <xf numFmtId="167" fontId="54" fillId="0" borderId="0" xfId="0" applyNumberFormat="1" applyFont="1"/>
    <xf numFmtId="167" fontId="77" fillId="0" borderId="0" xfId="0" applyNumberFormat="1" applyFont="1"/>
    <xf numFmtId="174" fontId="34" fillId="0" borderId="0" xfId="0" applyNumberFormat="1" applyFont="1" applyAlignment="1">
      <alignment horizontal="right"/>
    </xf>
    <xf numFmtId="0" fontId="41" fillId="0" borderId="0" xfId="0" applyFont="1"/>
    <xf numFmtId="0" fontId="78" fillId="0" borderId="0" xfId="0" applyFont="1"/>
    <xf numFmtId="169" fontId="41" fillId="0" borderId="0" xfId="0" applyNumberFormat="1" applyFont="1"/>
    <xf numFmtId="166" fontId="41" fillId="0" borderId="0" xfId="0" applyNumberFormat="1" applyFont="1"/>
    <xf numFmtId="168" fontId="27" fillId="0" borderId="0" xfId="0" applyNumberFormat="1" applyFont="1"/>
    <xf numFmtId="15" fontId="41" fillId="0" borderId="0" xfId="0" applyNumberFormat="1" applyFont="1"/>
    <xf numFmtId="194" fontId="79" fillId="0" borderId="0" xfId="2" applyNumberFormat="1" applyFont="1" applyFill="1" applyBorder="1" applyProtection="1">
      <protection locked="0"/>
    </xf>
    <xf numFmtId="180" fontId="30" fillId="3" borderId="0" xfId="24" applyNumberFormat="1" applyFont="1" applyFill="1" applyBorder="1"/>
    <xf numFmtId="194" fontId="80" fillId="0" borderId="0" xfId="4" applyNumberFormat="1" applyFont="1" applyFill="1" applyBorder="1" applyProtection="1">
      <protection locked="0"/>
    </xf>
    <xf numFmtId="0" fontId="81" fillId="0" borderId="0" xfId="0" applyFont="1"/>
    <xf numFmtId="0" fontId="81" fillId="0" borderId="0" xfId="23" applyFont="1" applyAlignment="1"/>
    <xf numFmtId="0" fontId="81" fillId="0" borderId="0" xfId="23" applyFont="1"/>
    <xf numFmtId="0" fontId="82" fillId="6" borderId="30" xfId="23" applyFont="1" applyFill="1" applyBorder="1"/>
    <xf numFmtId="0" fontId="82" fillId="6" borderId="5" xfId="23" applyFont="1" applyFill="1" applyBorder="1"/>
    <xf numFmtId="14" fontId="83" fillId="6" borderId="5" xfId="23" applyNumberFormat="1" applyFont="1" applyFill="1" applyBorder="1" applyAlignment="1">
      <alignment horizontal="centerContinuous"/>
    </xf>
    <xf numFmtId="0" fontId="83" fillId="6" borderId="5" xfId="23" applyFont="1" applyFill="1" applyBorder="1"/>
    <xf numFmtId="0" fontId="82" fillId="6" borderId="6" xfId="23" applyFont="1" applyFill="1" applyBorder="1"/>
    <xf numFmtId="0" fontId="82" fillId="0" borderId="5" xfId="23" applyFont="1" applyFill="1" applyBorder="1"/>
    <xf numFmtId="0" fontId="82" fillId="0" borderId="5" xfId="23" applyFont="1" applyFill="1" applyBorder="1" applyAlignment="1">
      <alignment horizontal="left"/>
    </xf>
    <xf numFmtId="167" fontId="82" fillId="0" borderId="5" xfId="26" applyFont="1" applyFill="1" applyBorder="1" applyAlignment="1">
      <alignment horizontal="right"/>
    </xf>
    <xf numFmtId="175" fontId="82" fillId="0" borderId="5" xfId="23" applyNumberFormat="1" applyFont="1" applyFill="1" applyBorder="1" applyAlignment="1">
      <alignment horizontal="right"/>
    </xf>
    <xf numFmtId="14" fontId="82" fillId="0" borderId="5" xfId="23" applyNumberFormat="1" applyFont="1" applyFill="1" applyBorder="1" applyAlignment="1">
      <alignment horizontal="right"/>
    </xf>
    <xf numFmtId="0" fontId="82" fillId="0" borderId="5" xfId="23" applyFont="1" applyFill="1" applyBorder="1" applyAlignment="1">
      <alignment horizontal="right"/>
    </xf>
    <xf numFmtId="0" fontId="81" fillId="0" borderId="5" xfId="23" applyFont="1" applyFill="1" applyBorder="1"/>
    <xf numFmtId="173" fontId="82" fillId="0" borderId="5" xfId="24" applyNumberFormat="1" applyFont="1" applyFill="1" applyBorder="1"/>
    <xf numFmtId="168" fontId="81" fillId="0" borderId="0" xfId="26" applyNumberFormat="1" applyFont="1"/>
    <xf numFmtId="197" fontId="81" fillId="0" borderId="0" xfId="24" applyNumberFormat="1" applyFont="1" applyFill="1" applyBorder="1"/>
    <xf numFmtId="9" fontId="81" fillId="0" borderId="0" xfId="25" applyNumberFormat="1" applyFont="1" applyFill="1" applyBorder="1" applyAlignment="1">
      <alignment horizontal="right"/>
    </xf>
    <xf numFmtId="167" fontId="81" fillId="0" borderId="0" xfId="14" applyFont="1" applyFill="1" applyAlignment="1">
      <alignment horizontal="right"/>
    </xf>
    <xf numFmtId="169" fontId="81" fillId="0" borderId="0" xfId="26" applyNumberFormat="1" applyFont="1" applyBorder="1"/>
    <xf numFmtId="197" fontId="81" fillId="0" borderId="0" xfId="24" applyNumberFormat="1" applyFont="1" applyFill="1"/>
    <xf numFmtId="14" fontId="81" fillId="0" borderId="0" xfId="23" applyNumberFormat="1" applyFont="1" applyFill="1" applyAlignment="1">
      <alignment horizontal="right"/>
    </xf>
    <xf numFmtId="197" fontId="81" fillId="0" borderId="0" xfId="23" applyNumberFormat="1" applyFont="1" applyFill="1" applyAlignment="1">
      <alignment horizontal="right"/>
    </xf>
    <xf numFmtId="10" fontId="81" fillId="0" borderId="0" xfId="25" applyNumberFormat="1" applyFont="1" applyFill="1" applyAlignment="1">
      <alignment horizontal="right"/>
    </xf>
    <xf numFmtId="0" fontId="81" fillId="0" borderId="0" xfId="23" applyFont="1" applyFill="1"/>
    <xf numFmtId="197" fontId="81" fillId="0" borderId="0" xfId="23" applyNumberFormat="1" applyFont="1" applyFill="1"/>
    <xf numFmtId="0" fontId="81" fillId="0" borderId="0" xfId="23" applyFont="1" applyFill="1" applyAlignment="1">
      <alignment horizontal="left"/>
    </xf>
    <xf numFmtId="166" fontId="81" fillId="0" borderId="0" xfId="24" applyFont="1" applyBorder="1"/>
    <xf numFmtId="9" fontId="81" fillId="0" borderId="0" xfId="25" applyNumberFormat="1" applyFont="1" applyFill="1" applyAlignment="1">
      <alignment horizontal="right"/>
    </xf>
    <xf numFmtId="195" fontId="81" fillId="0" borderId="0" xfId="24" applyNumberFormat="1" applyFont="1" applyFill="1" applyAlignment="1">
      <alignment horizontal="right"/>
    </xf>
    <xf numFmtId="195" fontId="81" fillId="0" borderId="0" xfId="24" applyNumberFormat="1" applyFont="1" applyFill="1"/>
    <xf numFmtId="166" fontId="81" fillId="0" borderId="0" xfId="23" applyNumberFormat="1" applyFont="1" applyFill="1" applyAlignment="1">
      <alignment horizontal="right"/>
    </xf>
    <xf numFmtId="10" fontId="81" fillId="0" borderId="0" xfId="25" applyNumberFormat="1" applyFont="1" applyFill="1" applyBorder="1" applyAlignment="1">
      <alignment horizontal="right"/>
    </xf>
    <xf numFmtId="166" fontId="84" fillId="0" borderId="0" xfId="23" applyNumberFormat="1" applyFont="1" applyFill="1" applyBorder="1"/>
    <xf numFmtId="167" fontId="81" fillId="0" borderId="0" xfId="23" applyNumberFormat="1" applyFont="1" applyAlignment="1">
      <alignment horizontal="right"/>
    </xf>
    <xf numFmtId="195" fontId="81" fillId="0" borderId="8" xfId="24" applyNumberFormat="1" applyFont="1" applyBorder="1"/>
    <xf numFmtId="9" fontId="81" fillId="0" borderId="0" xfId="25" applyFont="1" applyFill="1" applyBorder="1"/>
    <xf numFmtId="9" fontId="81" fillId="0" borderId="0" xfId="25" applyFont="1"/>
    <xf numFmtId="195" fontId="81" fillId="0" borderId="0" xfId="23" applyNumberFormat="1" applyFont="1" applyFill="1"/>
    <xf numFmtId="10" fontId="81" fillId="0" borderId="8" xfId="25" applyNumberFormat="1" applyFont="1" applyFill="1" applyBorder="1" applyAlignment="1">
      <alignment horizontal="right"/>
    </xf>
    <xf numFmtId="0" fontId="81" fillId="0" borderId="8" xfId="23" applyFont="1" applyBorder="1"/>
    <xf numFmtId="195" fontId="81" fillId="0" borderId="8" xfId="23" applyNumberFormat="1" applyFont="1" applyFill="1" applyBorder="1"/>
    <xf numFmtId="0" fontId="81" fillId="0" borderId="0" xfId="23" applyFont="1" applyAlignment="1">
      <alignment horizontal="right"/>
    </xf>
    <xf numFmtId="195" fontId="81" fillId="0" borderId="0" xfId="24" applyNumberFormat="1" applyFont="1"/>
    <xf numFmtId="195" fontId="81" fillId="0" borderId="0" xfId="23" applyNumberFormat="1" applyFont="1"/>
    <xf numFmtId="195" fontId="81" fillId="0" borderId="0" xfId="24" applyNumberFormat="1" applyFont="1" applyBorder="1"/>
    <xf numFmtId="195" fontId="81" fillId="0" borderId="14" xfId="24" applyNumberFormat="1" applyFont="1" applyBorder="1"/>
    <xf numFmtId="195" fontId="81" fillId="0" borderId="0" xfId="23" applyNumberFormat="1" applyFont="1" applyAlignment="1">
      <alignment horizontal="right"/>
    </xf>
    <xf numFmtId="195" fontId="81" fillId="0" borderId="14" xfId="23" applyNumberFormat="1" applyFont="1" applyFill="1" applyBorder="1"/>
    <xf numFmtId="0" fontId="85" fillId="0" borderId="23" xfId="23" applyFont="1" applyBorder="1"/>
    <xf numFmtId="0" fontId="86" fillId="10" borderId="30" xfId="23" applyFont="1" applyFill="1" applyBorder="1"/>
    <xf numFmtId="0" fontId="86" fillId="10" borderId="5" xfId="23" applyFont="1" applyFill="1" applyBorder="1"/>
    <xf numFmtId="0" fontId="86" fillId="10" borderId="5" xfId="23" applyFont="1" applyFill="1" applyBorder="1"/>
    <xf numFmtId="14" fontId="86" fillId="10" borderId="5" xfId="23" applyNumberFormat="1" applyFont="1" applyFill="1" applyBorder="1" applyAlignment="1">
      <alignment horizontal="centerContinuous"/>
    </xf>
    <xf numFmtId="0" fontId="86" fillId="10" borderId="6" xfId="23" applyFont="1" applyFill="1" applyBorder="1"/>
    <xf numFmtId="0" fontId="87" fillId="0" borderId="0" xfId="23" applyFont="1" applyFill="1"/>
    <xf numFmtId="167" fontId="81" fillId="0" borderId="0" xfId="26" applyFont="1" applyBorder="1"/>
    <xf numFmtId="167" fontId="81" fillId="0" borderId="0" xfId="26" applyFont="1" applyFill="1"/>
    <xf numFmtId="178" fontId="81" fillId="0" borderId="0" xfId="24" applyNumberFormat="1" applyFont="1" applyBorder="1"/>
    <xf numFmtId="179" fontId="81" fillId="0" borderId="0" xfId="24" applyNumberFormat="1" applyFont="1" applyBorder="1"/>
    <xf numFmtId="192" fontId="81" fillId="0" borderId="0" xfId="23" applyNumberFormat="1" applyFont="1" applyFill="1" applyBorder="1" applyAlignment="1">
      <alignment horizontal="right"/>
    </xf>
    <xf numFmtId="0" fontId="81" fillId="0" borderId="0" xfId="23" applyFont="1" applyFill="1" applyBorder="1"/>
    <xf numFmtId="192" fontId="81" fillId="0" borderId="8" xfId="24" applyNumberFormat="1" applyFont="1" applyBorder="1"/>
    <xf numFmtId="13" fontId="81" fillId="0" borderId="0" xfId="23" applyNumberFormat="1" applyFont="1" applyFill="1"/>
    <xf numFmtId="166" fontId="81" fillId="0" borderId="8" xfId="23" applyNumberFormat="1" applyFont="1" applyFill="1" applyBorder="1"/>
    <xf numFmtId="192" fontId="81" fillId="0" borderId="0" xfId="24" applyNumberFormat="1" applyFont="1" applyBorder="1"/>
    <xf numFmtId="166" fontId="81" fillId="0" borderId="0" xfId="23" applyNumberFormat="1" applyFont="1" applyFill="1"/>
    <xf numFmtId="192" fontId="81" fillId="0" borderId="14" xfId="24" applyNumberFormat="1" applyFont="1" applyBorder="1"/>
    <xf numFmtId="166" fontId="81" fillId="0" borderId="14" xfId="23" applyNumberFormat="1" applyFont="1" applyFill="1" applyBorder="1"/>
    <xf numFmtId="179" fontId="85" fillId="0" borderId="0" xfId="24" applyNumberFormat="1" applyFont="1" applyFill="1" applyBorder="1"/>
    <xf numFmtId="0" fontId="86" fillId="9" borderId="30" xfId="23" applyFont="1" applyFill="1" applyBorder="1"/>
    <xf numFmtId="0" fontId="86" fillId="9" borderId="5" xfId="23" applyFont="1" applyFill="1" applyBorder="1"/>
    <xf numFmtId="14" fontId="86" fillId="9" borderId="5" xfId="23" applyNumberFormat="1" applyFont="1" applyFill="1" applyBorder="1" applyAlignment="1">
      <alignment horizontal="centerContinuous"/>
    </xf>
    <xf numFmtId="0" fontId="86" fillId="9" borderId="6" xfId="23" applyFont="1" applyFill="1" applyBorder="1"/>
    <xf numFmtId="0" fontId="81" fillId="0" borderId="5" xfId="23" applyFont="1" applyBorder="1"/>
    <xf numFmtId="173" fontId="82" fillId="0" borderId="5" xfId="24" applyNumberFormat="1" applyFont="1" applyBorder="1"/>
    <xf numFmtId="167" fontId="81" fillId="0" borderId="0" xfId="26" applyFont="1"/>
    <xf numFmtId="182" fontId="81" fillId="0" borderId="0" xfId="23" applyNumberFormat="1" applyFont="1"/>
    <xf numFmtId="182" fontId="81" fillId="0" borderId="1" xfId="23" applyNumberFormat="1" applyFont="1" applyBorder="1"/>
    <xf numFmtId="10" fontId="81" fillId="0" borderId="1" xfId="25" applyNumberFormat="1" applyFont="1" applyFill="1" applyBorder="1" applyAlignment="1">
      <alignment horizontal="right"/>
    </xf>
    <xf numFmtId="0" fontId="81" fillId="0" borderId="1" xfId="23" applyFont="1" applyBorder="1"/>
    <xf numFmtId="166" fontId="81" fillId="0" borderId="1" xfId="23" applyNumberFormat="1" applyFont="1" applyFill="1" applyBorder="1"/>
    <xf numFmtId="172" fontId="81" fillId="0" borderId="0" xfId="24" applyNumberFormat="1" applyFont="1" applyFill="1" applyAlignment="1">
      <alignment horizontal="right"/>
    </xf>
    <xf numFmtId="179" fontId="81" fillId="0" borderId="1" xfId="24" applyNumberFormat="1" applyFont="1" applyBorder="1"/>
    <xf numFmtId="166" fontId="81" fillId="0" borderId="1" xfId="23" applyNumberFormat="1" applyFont="1" applyFill="1" applyBorder="1" applyAlignment="1">
      <alignment horizontal="right"/>
    </xf>
    <xf numFmtId="166" fontId="81" fillId="0" borderId="0" xfId="24" applyFont="1"/>
    <xf numFmtId="182" fontId="81" fillId="0" borderId="14" xfId="23" applyNumberFormat="1" applyFont="1" applyBorder="1"/>
    <xf numFmtId="182" fontId="81" fillId="0" borderId="0" xfId="23" applyNumberFormat="1" applyFont="1" applyBorder="1"/>
    <xf numFmtId="0" fontId="86" fillId="8" borderId="5" xfId="23" applyFont="1" applyFill="1" applyBorder="1"/>
    <xf numFmtId="14" fontId="86" fillId="8" borderId="5" xfId="23" applyNumberFormat="1" applyFont="1" applyFill="1" applyBorder="1" applyAlignment="1">
      <alignment horizontal="centerContinuous"/>
    </xf>
    <xf numFmtId="181" fontId="81" fillId="0" borderId="0" xfId="24" applyNumberFormat="1" applyFont="1"/>
    <xf numFmtId="196" fontId="81" fillId="0" borderId="0" xfId="24" applyNumberFormat="1" applyFont="1" applyBorder="1"/>
    <xf numFmtId="181" fontId="81" fillId="0" borderId="1" xfId="24" applyNumberFormat="1" applyFont="1" applyBorder="1"/>
    <xf numFmtId="166" fontId="81" fillId="0" borderId="1" xfId="24" applyFont="1" applyFill="1" applyBorder="1"/>
    <xf numFmtId="181" fontId="81" fillId="0" borderId="14" xfId="24" applyNumberFormat="1" applyFont="1" applyBorder="1"/>
    <xf numFmtId="0" fontId="86" fillId="11" borderId="5" xfId="23" applyFont="1" applyFill="1" applyBorder="1"/>
    <xf numFmtId="14" fontId="86" fillId="11" borderId="5" xfId="23" applyNumberFormat="1" applyFont="1" applyFill="1" applyBorder="1" applyAlignment="1">
      <alignment horizontal="centerContinuous"/>
    </xf>
    <xf numFmtId="0" fontId="88" fillId="0" borderId="0" xfId="0" applyFont="1"/>
    <xf numFmtId="197" fontId="81" fillId="0" borderId="0" xfId="25" applyNumberFormat="1" applyFont="1" applyFill="1" applyBorder="1" applyAlignment="1">
      <alignment horizontal="right"/>
    </xf>
    <xf numFmtId="197" fontId="81" fillId="0" borderId="0" xfId="14" applyNumberFormat="1" applyFont="1" applyFill="1" applyAlignment="1">
      <alignment horizontal="right"/>
    </xf>
    <xf numFmtId="197" fontId="81" fillId="0" borderId="0" xfId="24" applyNumberFormat="1" applyFont="1" applyBorder="1"/>
    <xf numFmtId="194" fontId="81" fillId="0" borderId="8" xfId="24" applyNumberFormat="1" applyFont="1" applyFill="1" applyBorder="1"/>
    <xf numFmtId="166" fontId="81" fillId="0" borderId="0" xfId="24" applyNumberFormat="1" applyFont="1"/>
    <xf numFmtId="186" fontId="81" fillId="0" borderId="0" xfId="24" applyNumberFormat="1" applyFont="1" applyFill="1" applyBorder="1"/>
    <xf numFmtId="188" fontId="81" fillId="0" borderId="1" xfId="24" applyNumberFormat="1" applyFont="1" applyFill="1" applyBorder="1"/>
    <xf numFmtId="186" fontId="81" fillId="0" borderId="14" xfId="24" applyNumberFormat="1" applyFont="1" applyFill="1" applyBorder="1"/>
    <xf numFmtId="0" fontId="85" fillId="0" borderId="0" xfId="23" applyFont="1" applyBorder="1"/>
    <xf numFmtId="0" fontId="86" fillId="7" borderId="5" xfId="23" applyFont="1" applyFill="1" applyBorder="1"/>
    <xf numFmtId="14" fontId="86" fillId="7" borderId="5" xfId="23" applyNumberFormat="1" applyFont="1" applyFill="1" applyBorder="1" applyAlignment="1">
      <alignment horizontal="centerContinuous"/>
    </xf>
    <xf numFmtId="197" fontId="81" fillId="0" borderId="0" xfId="25" applyNumberFormat="1" applyFont="1" applyFill="1" applyAlignment="1">
      <alignment horizontal="right"/>
    </xf>
    <xf numFmtId="187" fontId="81" fillId="0" borderId="1" xfId="23" applyNumberFormat="1" applyFont="1" applyFill="1" applyBorder="1"/>
    <xf numFmtId="0" fontId="82" fillId="0" borderId="0" xfId="23" applyFont="1"/>
    <xf numFmtId="166" fontId="81" fillId="0" borderId="0" xfId="23" applyNumberFormat="1" applyFont="1" applyBorder="1"/>
    <xf numFmtId="166" fontId="81" fillId="0" borderId="14" xfId="23" applyNumberFormat="1" applyFont="1" applyBorder="1"/>
    <xf numFmtId="0" fontId="85" fillId="0" borderId="0" xfId="23" applyFont="1"/>
    <xf numFmtId="0" fontId="82" fillId="0" borderId="0" xfId="23" applyFont="1" applyAlignment="1">
      <alignment horizontal="center"/>
    </xf>
    <xf numFmtId="174" fontId="81" fillId="0" borderId="0" xfId="23" applyNumberFormat="1" applyFont="1" applyAlignment="1">
      <alignment horizontal="right"/>
    </xf>
    <xf numFmtId="166" fontId="81" fillId="0" borderId="0" xfId="24" applyFont="1" applyFill="1" applyBorder="1"/>
    <xf numFmtId="166" fontId="81" fillId="0" borderId="0" xfId="23" applyNumberFormat="1" applyFont="1"/>
    <xf numFmtId="174" fontId="81" fillId="0" borderId="0" xfId="23" applyNumberFormat="1" applyFont="1" applyFill="1" applyBorder="1" applyAlignment="1">
      <alignment horizontal="right"/>
    </xf>
    <xf numFmtId="166" fontId="88" fillId="0" borderId="0" xfId="24" applyFont="1" applyFill="1"/>
    <xf numFmtId="166" fontId="87" fillId="0" borderId="0" xfId="24" applyFont="1" applyFill="1"/>
    <xf numFmtId="10" fontId="81" fillId="0" borderId="0" xfId="25" applyNumberFormat="1" applyFont="1"/>
    <xf numFmtId="166" fontId="89" fillId="0" borderId="0" xfId="24" applyFont="1" applyAlignment="1">
      <alignment horizontal="left"/>
    </xf>
    <xf numFmtId="0" fontId="54" fillId="0" borderId="0" xfId="23" applyFont="1" applyAlignment="1">
      <alignment horizontal="right"/>
    </xf>
    <xf numFmtId="166" fontId="89" fillId="0" borderId="0" xfId="24" applyFont="1" applyBorder="1" applyAlignment="1">
      <alignment horizontal="left"/>
    </xf>
    <xf numFmtId="166" fontId="89" fillId="0" borderId="0" xfId="24" applyFont="1" applyFill="1" applyBorder="1" applyAlignment="1">
      <alignment horizontal="left"/>
    </xf>
    <xf numFmtId="0" fontId="90" fillId="0" borderId="0" xfId="0" applyFont="1"/>
    <xf numFmtId="0" fontId="82" fillId="6" borderId="5" xfId="4" applyFont="1" applyFill="1" applyBorder="1"/>
    <xf numFmtId="0" fontId="84" fillId="6" borderId="5" xfId="4" applyFont="1" applyFill="1" applyBorder="1"/>
    <xf numFmtId="0" fontId="82" fillId="6" borderId="5" xfId="4" applyFont="1" applyFill="1" applyBorder="1"/>
    <xf numFmtId="0" fontId="82" fillId="0" borderId="5" xfId="4" applyFont="1" applyBorder="1" applyAlignment="1">
      <alignment horizontal="left"/>
    </xf>
    <xf numFmtId="0" fontId="86" fillId="0" borderId="5" xfId="4" applyFont="1" applyBorder="1" applyAlignment="1">
      <alignment horizontal="right"/>
    </xf>
    <xf numFmtId="0" fontId="82" fillId="0" borderId="5" xfId="4" applyFont="1" applyBorder="1" applyAlignment="1">
      <alignment horizontal="right"/>
    </xf>
    <xf numFmtId="168" fontId="82" fillId="0" borderId="5" xfId="1" applyNumberFormat="1" applyFont="1" applyBorder="1" applyAlignment="1">
      <alignment horizontal="right"/>
    </xf>
    <xf numFmtId="166" fontId="82" fillId="0" borderId="5" xfId="2" applyFont="1" applyBorder="1" applyAlignment="1">
      <alignment horizontal="right"/>
    </xf>
    <xf numFmtId="167" fontId="82" fillId="0" borderId="5" xfId="1" applyFont="1" applyBorder="1" applyAlignment="1">
      <alignment horizontal="right"/>
    </xf>
    <xf numFmtId="13" fontId="82" fillId="0" borderId="5" xfId="4" applyNumberFormat="1" applyFont="1" applyBorder="1" applyAlignment="1">
      <alignment horizontal="center"/>
    </xf>
    <xf numFmtId="166" fontId="82" fillId="0" borderId="5" xfId="2" applyFont="1" applyFill="1" applyBorder="1" applyAlignment="1">
      <alignment horizontal="right"/>
    </xf>
    <xf numFmtId="0" fontId="81" fillId="0" borderId="0" xfId="4" applyFont="1"/>
    <xf numFmtId="167" fontId="81" fillId="0" borderId="0" xfId="1" applyFont="1" applyFill="1" applyBorder="1"/>
    <xf numFmtId="167" fontId="81" fillId="0" borderId="0" xfId="1" applyNumberFormat="1" applyFont="1" applyFill="1" applyBorder="1"/>
    <xf numFmtId="168" fontId="81" fillId="0" borderId="0" xfId="4" applyNumberFormat="1" applyFont="1" applyFill="1" applyBorder="1"/>
    <xf numFmtId="171" fontId="81" fillId="0" borderId="0" xfId="1" applyNumberFormat="1" applyFont="1" applyFill="1" applyBorder="1"/>
    <xf numFmtId="168" fontId="81" fillId="0" borderId="0" xfId="1" applyNumberFormat="1" applyFont="1" applyBorder="1"/>
    <xf numFmtId="12" fontId="81" fillId="0" borderId="0" xfId="4" applyNumberFormat="1" applyFont="1"/>
    <xf numFmtId="195" fontId="81" fillId="0" borderId="5" xfId="2" applyNumberFormat="1" applyFont="1" applyBorder="1"/>
    <xf numFmtId="195" fontId="82" fillId="0" borderId="0" xfId="4" applyNumberFormat="1" applyFont="1" applyAlignment="1">
      <alignment horizontal="left"/>
    </xf>
    <xf numFmtId="195" fontId="81" fillId="0" borderId="0" xfId="2" applyNumberFormat="1" applyFont="1"/>
    <xf numFmtId="166" fontId="81" fillId="0" borderId="5" xfId="2" applyNumberFormat="1" applyFont="1" applyBorder="1"/>
    <xf numFmtId="166" fontId="81" fillId="0" borderId="0" xfId="2" applyFont="1" applyBorder="1"/>
    <xf numFmtId="0" fontId="81" fillId="0" borderId="0" xfId="4" applyFont="1" applyAlignment="1">
      <alignment horizontal="right"/>
    </xf>
    <xf numFmtId="0" fontId="91" fillId="10" borderId="5" xfId="23" applyFont="1" applyFill="1" applyBorder="1"/>
    <xf numFmtId="0" fontId="82" fillId="0" borderId="5" xfId="23" applyFont="1" applyBorder="1" applyAlignment="1">
      <alignment horizontal="left"/>
    </xf>
    <xf numFmtId="0" fontId="82" fillId="0" borderId="5" xfId="23" applyFont="1" applyBorder="1"/>
    <xf numFmtId="14" fontId="87" fillId="0" borderId="0" xfId="23" applyNumberFormat="1" applyFont="1" applyFill="1"/>
    <xf numFmtId="168" fontId="87" fillId="0" borderId="0" xfId="26" applyNumberFormat="1" applyFont="1" applyFill="1" applyBorder="1"/>
    <xf numFmtId="170" fontId="87" fillId="0" borderId="0" xfId="26" applyNumberFormat="1" applyFont="1" applyFill="1" applyBorder="1"/>
    <xf numFmtId="167" fontId="81" fillId="0" borderId="0" xfId="26" applyNumberFormat="1" applyFont="1" applyFill="1" applyBorder="1"/>
    <xf numFmtId="168" fontId="81" fillId="0" borderId="0" xfId="23" applyNumberFormat="1" applyFont="1"/>
    <xf numFmtId="171" fontId="81" fillId="0" borderId="0" xfId="26" applyNumberFormat="1" applyFont="1"/>
    <xf numFmtId="167" fontId="81" fillId="0" borderId="0" xfId="26" applyFont="1" applyFill="1" applyBorder="1"/>
    <xf numFmtId="176" fontId="81" fillId="0" borderId="0" xfId="24" applyNumberFormat="1" applyFont="1" applyBorder="1"/>
    <xf numFmtId="168" fontId="81" fillId="0" borderId="0" xfId="26" applyNumberFormat="1" applyFont="1" applyBorder="1"/>
    <xf numFmtId="170" fontId="81" fillId="0" borderId="0" xfId="23" applyNumberFormat="1" applyFont="1"/>
    <xf numFmtId="192" fontId="81" fillId="0" borderId="5" xfId="24" applyNumberFormat="1" applyFont="1" applyBorder="1"/>
    <xf numFmtId="13" fontId="81" fillId="0" borderId="0" xfId="23" applyNumberFormat="1" applyFont="1" applyAlignment="1">
      <alignment horizontal="right"/>
    </xf>
    <xf numFmtId="0" fontId="91" fillId="9" borderId="5" xfId="23" applyFont="1" applyFill="1" applyBorder="1"/>
    <xf numFmtId="170" fontId="86" fillId="9" borderId="5" xfId="23" applyNumberFormat="1" applyFont="1" applyFill="1" applyBorder="1"/>
    <xf numFmtId="0" fontId="86" fillId="9" borderId="1" xfId="23" applyFont="1" applyFill="1" applyBorder="1"/>
    <xf numFmtId="0" fontId="86" fillId="9" borderId="31" xfId="23" applyFont="1" applyFill="1" applyBorder="1"/>
    <xf numFmtId="170" fontId="82" fillId="0" borderId="5" xfId="23" applyNumberFormat="1" applyFont="1" applyBorder="1" applyAlignment="1">
      <alignment horizontal="left"/>
    </xf>
    <xf numFmtId="193" fontId="81" fillId="0" borderId="5" xfId="23" applyNumberFormat="1" applyFont="1" applyBorder="1"/>
    <xf numFmtId="0" fontId="86" fillId="8" borderId="30" xfId="23" applyFont="1" applyFill="1" applyBorder="1"/>
    <xf numFmtId="0" fontId="91" fillId="8" borderId="5" xfId="23" applyFont="1" applyFill="1" applyBorder="1"/>
    <xf numFmtId="170" fontId="86" fillId="8" borderId="5" xfId="23" applyNumberFormat="1" applyFont="1" applyFill="1" applyBorder="1"/>
    <xf numFmtId="0" fontId="86" fillId="8" borderId="6" xfId="23" applyFont="1" applyFill="1" applyBorder="1"/>
    <xf numFmtId="196" fontId="81" fillId="0" borderId="5" xfId="24" applyNumberFormat="1" applyFont="1" applyBorder="1"/>
    <xf numFmtId="166" fontId="81" fillId="0" borderId="0" xfId="24" applyFont="1" applyAlignment="1">
      <alignment horizontal="right"/>
    </xf>
    <xf numFmtId="0" fontId="86" fillId="11" borderId="30" xfId="23" applyFont="1" applyFill="1" applyBorder="1"/>
    <xf numFmtId="0" fontId="91" fillId="11" borderId="5" xfId="23" applyFont="1" applyFill="1" applyBorder="1"/>
    <xf numFmtId="170" fontId="86" fillId="11" borderId="5" xfId="23" applyNumberFormat="1" applyFont="1" applyFill="1" applyBorder="1"/>
    <xf numFmtId="0" fontId="86" fillId="11" borderId="6" xfId="23" applyFont="1" applyFill="1" applyBorder="1"/>
    <xf numFmtId="167" fontId="81" fillId="0" borderId="0" xfId="26" applyNumberFormat="1" applyFont="1"/>
    <xf numFmtId="208" fontId="81" fillId="0" borderId="0" xfId="26" applyNumberFormat="1" applyFont="1"/>
    <xf numFmtId="0" fontId="87" fillId="0" borderId="0" xfId="4" applyFont="1" applyFill="1"/>
    <xf numFmtId="170" fontId="81" fillId="0" borderId="0" xfId="4" applyNumberFormat="1" applyFont="1"/>
    <xf numFmtId="207" fontId="81" fillId="0" borderId="5" xfId="2" applyNumberFormat="1" applyFont="1" applyBorder="1"/>
    <xf numFmtId="13" fontId="81" fillId="0" borderId="0" xfId="4" applyNumberFormat="1" applyFont="1" applyAlignment="1">
      <alignment horizontal="right"/>
    </xf>
    <xf numFmtId="207" fontId="81" fillId="0" borderId="8" xfId="2" applyNumberFormat="1" applyFont="1" applyBorder="1"/>
    <xf numFmtId="0" fontId="86" fillId="7" borderId="30" xfId="23" applyFont="1" applyFill="1" applyBorder="1"/>
    <xf numFmtId="0" fontId="91" fillId="7" borderId="5" xfId="23" applyFont="1" applyFill="1" applyBorder="1"/>
    <xf numFmtId="170" fontId="86" fillId="7" borderId="5" xfId="23" applyNumberFormat="1" applyFont="1" applyFill="1" applyBorder="1"/>
    <xf numFmtId="0" fontId="86" fillId="7" borderId="6" xfId="23" applyFont="1" applyFill="1" applyBorder="1"/>
    <xf numFmtId="14" fontId="81" fillId="0" borderId="0" xfId="23" applyNumberFormat="1" applyFont="1"/>
    <xf numFmtId="170" fontId="81" fillId="0" borderId="0" xfId="26" applyNumberFormat="1" applyFont="1" applyBorder="1"/>
    <xf numFmtId="12" fontId="81" fillId="0" borderId="0" xfId="23" applyNumberFormat="1" applyFont="1"/>
    <xf numFmtId="194" fontId="81" fillId="0" borderId="5" xfId="24" applyNumberFormat="1" applyFont="1" applyFill="1" applyBorder="1"/>
    <xf numFmtId="166" fontId="81" fillId="0" borderId="0" xfId="2" applyFont="1"/>
    <xf numFmtId="167" fontId="81" fillId="0" borderId="0" xfId="1" applyFont="1"/>
    <xf numFmtId="13" fontId="81" fillId="0" borderId="0" xfId="4" applyNumberFormat="1" applyFont="1"/>
    <xf numFmtId="166" fontId="81" fillId="0" borderId="0" xfId="4" applyNumberFormat="1" applyFont="1"/>
    <xf numFmtId="22" fontId="88" fillId="0" borderId="0" xfId="0" applyNumberFormat="1" applyFont="1"/>
    <xf numFmtId="3" fontId="88" fillId="0" borderId="0" xfId="0" applyNumberFormat="1" applyFont="1"/>
    <xf numFmtId="44" fontId="88" fillId="0" borderId="0" xfId="73" applyFont="1"/>
    <xf numFmtId="0" fontId="82" fillId="6" borderId="4" xfId="4" applyFont="1" applyFill="1" applyBorder="1"/>
    <xf numFmtId="0" fontId="91" fillId="0" borderId="0" xfId="4" applyFont="1" applyFill="1" applyBorder="1"/>
    <xf numFmtId="0" fontId="91" fillId="0" borderId="0" xfId="4" applyFont="1" applyFill="1" applyBorder="1" applyAlignment="1">
      <alignment horizontal="center"/>
    </xf>
    <xf numFmtId="168" fontId="82" fillId="0" borderId="0" xfId="1" applyNumberFormat="1" applyFont="1" applyFill="1" applyBorder="1" applyAlignment="1">
      <alignment horizontal="center"/>
    </xf>
    <xf numFmtId="0" fontId="82" fillId="6" borderId="6" xfId="4" applyFont="1" applyFill="1" applyBorder="1" applyAlignment="1">
      <alignment horizontal="center"/>
    </xf>
    <xf numFmtId="14" fontId="87" fillId="0" borderId="0" xfId="4" applyNumberFormat="1" applyFont="1" applyFill="1"/>
    <xf numFmtId="166" fontId="87" fillId="0" borderId="0" xfId="2" applyFont="1" applyFill="1"/>
    <xf numFmtId="0" fontId="81" fillId="0" borderId="0" xfId="4" applyFont="1" applyBorder="1"/>
    <xf numFmtId="180" fontId="87" fillId="0" borderId="0" xfId="2" applyNumberFormat="1" applyFont="1" applyFill="1" applyBorder="1"/>
    <xf numFmtId="168" fontId="81" fillId="0" borderId="0" xfId="1" applyNumberFormat="1" applyFont="1" applyFill="1" applyBorder="1"/>
    <xf numFmtId="182" fontId="87" fillId="0" borderId="0" xfId="4" applyNumberFormat="1" applyFont="1" applyFill="1" applyBorder="1"/>
    <xf numFmtId="181" fontId="87" fillId="0" borderId="0" xfId="2" applyNumberFormat="1" applyFont="1" applyFill="1" applyBorder="1"/>
    <xf numFmtId="194" fontId="87" fillId="0" borderId="8" xfId="2" applyNumberFormat="1" applyFont="1" applyFill="1" applyBorder="1"/>
    <xf numFmtId="170" fontId="81" fillId="0" borderId="0" xfId="1" applyNumberFormat="1" applyFont="1" applyBorder="1" applyAlignment="1">
      <alignment horizontal="right"/>
    </xf>
    <xf numFmtId="182" fontId="87" fillId="0" borderId="0" xfId="4" applyNumberFormat="1" applyFont="1" applyFill="1"/>
    <xf numFmtId="181" fontId="81" fillId="0" borderId="0" xfId="2" applyNumberFormat="1" applyFont="1" applyBorder="1"/>
    <xf numFmtId="194" fontId="87" fillId="0" borderId="0" xfId="2" applyNumberFormat="1" applyFont="1" applyFill="1" applyBorder="1"/>
    <xf numFmtId="186" fontId="87" fillId="0" borderId="0" xfId="2" applyNumberFormat="1" applyFont="1" applyFill="1" applyBorder="1"/>
    <xf numFmtId="168" fontId="81" fillId="0" borderId="0" xfId="1" quotePrefix="1" applyNumberFormat="1" applyFont="1" applyBorder="1" applyAlignment="1">
      <alignment horizontal="left"/>
    </xf>
    <xf numFmtId="194" fontId="87" fillId="0" borderId="0" xfId="4" applyNumberFormat="1" applyFont="1" applyFill="1"/>
    <xf numFmtId="14" fontId="81" fillId="0" borderId="0" xfId="4" applyNumberFormat="1" applyFont="1"/>
    <xf numFmtId="167" fontId="87" fillId="0" borderId="0" xfId="1" applyFont="1" applyFill="1"/>
    <xf numFmtId="194" fontId="87" fillId="0" borderId="0" xfId="1" applyNumberFormat="1" applyFont="1" applyFill="1"/>
    <xf numFmtId="182" fontId="81" fillId="0" borderId="0" xfId="4" applyNumberFormat="1" applyFont="1"/>
    <xf numFmtId="180" fontId="81" fillId="0" borderId="0" xfId="2" applyNumberFormat="1" applyFont="1" applyBorder="1"/>
    <xf numFmtId="186" fontId="87" fillId="0" borderId="0" xfId="1" applyNumberFormat="1" applyFont="1" applyFill="1" applyBorder="1"/>
    <xf numFmtId="170" fontId="81" fillId="0" borderId="0" xfId="1" applyNumberFormat="1" applyFont="1" applyAlignment="1">
      <alignment horizontal="right"/>
    </xf>
    <xf numFmtId="168" fontId="81" fillId="0" borderId="0" xfId="1" applyNumberFormat="1" applyFont="1" applyBorder="1" applyAlignment="1">
      <alignment horizontal="left"/>
    </xf>
    <xf numFmtId="166" fontId="81" fillId="0" borderId="14" xfId="2" applyFont="1" applyBorder="1"/>
    <xf numFmtId="180" fontId="81" fillId="0" borderId="14" xfId="2" applyNumberFormat="1" applyFont="1" applyBorder="1"/>
    <xf numFmtId="182" fontId="81" fillId="0" borderId="14" xfId="4" applyNumberFormat="1" applyFont="1" applyBorder="1"/>
    <xf numFmtId="181" fontId="81" fillId="0" borderId="14" xfId="2" applyNumberFormat="1" applyFont="1" applyBorder="1"/>
    <xf numFmtId="194" fontId="81" fillId="0" borderId="14" xfId="2" applyNumberFormat="1" applyFont="1" applyFill="1" applyBorder="1"/>
    <xf numFmtId="167" fontId="81" fillId="0" borderId="0" xfId="1" quotePrefix="1" applyFont="1" applyBorder="1" applyAlignment="1">
      <alignment horizontal="left"/>
    </xf>
    <xf numFmtId="167" fontId="81" fillId="0" borderId="0" xfId="1" quotePrefix="1" applyFont="1" applyAlignment="1">
      <alignment horizontal="left"/>
    </xf>
    <xf numFmtId="182" fontId="81" fillId="0" borderId="0" xfId="4" applyNumberFormat="1" applyFont="1" applyBorder="1"/>
    <xf numFmtId="167" fontId="81" fillId="0" borderId="0" xfId="1" applyFont="1" applyBorder="1"/>
    <xf numFmtId="0" fontId="84" fillId="0" borderId="0" xfId="4" applyFont="1" applyFill="1" applyBorder="1"/>
    <xf numFmtId="0" fontId="84" fillId="0" borderId="0" xfId="4" applyFont="1" applyFill="1" applyBorder="1" applyAlignment="1">
      <alignment horizontal="center"/>
    </xf>
    <xf numFmtId="0" fontId="82" fillId="6" borderId="30" xfId="4" applyFont="1" applyFill="1" applyBorder="1"/>
    <xf numFmtId="0" fontId="82" fillId="6" borderId="6" xfId="4" applyFont="1" applyFill="1" applyBorder="1"/>
    <xf numFmtId="168" fontId="88" fillId="0" borderId="0" xfId="1" applyNumberFormat="1" applyFont="1" applyBorder="1"/>
    <xf numFmtId="10" fontId="88" fillId="0" borderId="0" xfId="4" applyNumberFormat="1" applyFont="1" applyFill="1"/>
    <xf numFmtId="166" fontId="88" fillId="0" borderId="0" xfId="2" applyFont="1" applyFill="1" applyBorder="1"/>
    <xf numFmtId="10" fontId="87" fillId="0" borderId="0" xfId="7" applyNumberFormat="1" applyFont="1" applyFill="1" applyBorder="1"/>
    <xf numFmtId="183" fontId="87" fillId="0" borderId="0" xfId="2" applyNumberFormat="1" applyFont="1" applyFill="1" applyBorder="1"/>
    <xf numFmtId="186" fontId="81" fillId="0" borderId="14" xfId="2" applyNumberFormat="1" applyFont="1" applyFill="1" applyBorder="1"/>
    <xf numFmtId="4" fontId="90" fillId="0" borderId="0" xfId="0" applyNumberFormat="1" applyFont="1"/>
    <xf numFmtId="22" fontId="88" fillId="0" borderId="0" xfId="70" applyNumberFormat="1" applyFont="1"/>
    <xf numFmtId="0" fontId="88" fillId="0" borderId="0" xfId="4" applyFont="1" applyFill="1"/>
    <xf numFmtId="10" fontId="88" fillId="0" borderId="0" xfId="7" applyNumberFormat="1" applyFont="1" applyFill="1" applyBorder="1"/>
    <xf numFmtId="180" fontId="88" fillId="0" borderId="0" xfId="2" applyNumberFormat="1" applyFont="1" applyFill="1" applyBorder="1"/>
    <xf numFmtId="168" fontId="88" fillId="0" borderId="0" xfId="1" applyNumberFormat="1" applyFont="1" applyFill="1" applyBorder="1"/>
    <xf numFmtId="182" fontId="88" fillId="0" borderId="0" xfId="4" applyNumberFormat="1" applyFont="1" applyFill="1"/>
    <xf numFmtId="166" fontId="88" fillId="0" borderId="0" xfId="2" applyFont="1" applyFill="1"/>
    <xf numFmtId="181" fontId="88" fillId="0" borderId="0" xfId="2" applyNumberFormat="1" applyFont="1" applyFill="1" applyBorder="1"/>
    <xf numFmtId="10" fontId="88" fillId="0" borderId="0" xfId="25" applyNumberFormat="1" applyFont="1" applyFill="1" applyBorder="1"/>
    <xf numFmtId="194" fontId="88" fillId="0" borderId="0" xfId="2" applyNumberFormat="1" applyFont="1" applyFill="1" applyBorder="1"/>
    <xf numFmtId="0" fontId="82" fillId="16" borderId="30" xfId="0" applyFont="1" applyFill="1" applyBorder="1"/>
    <xf numFmtId="0" fontId="81" fillId="16" borderId="5" xfId="0" applyFont="1" applyFill="1" applyBorder="1"/>
    <xf numFmtId="0" fontId="82" fillId="16" borderId="5" xfId="0" applyFont="1" applyFill="1" applyBorder="1"/>
    <xf numFmtId="169" fontId="81" fillId="16" borderId="5" xfId="0" applyNumberFormat="1" applyFont="1" applyFill="1" applyBorder="1"/>
    <xf numFmtId="0" fontId="82" fillId="16" borderId="6" xfId="0" applyFont="1" applyFill="1" applyBorder="1"/>
    <xf numFmtId="0" fontId="82" fillId="0" borderId="0" xfId="0" applyFont="1" applyAlignment="1">
      <alignment horizontal="right"/>
    </xf>
    <xf numFmtId="0" fontId="82" fillId="0" borderId="0" xfId="0" applyFont="1"/>
    <xf numFmtId="200" fontId="82" fillId="0" borderId="0" xfId="0" applyNumberFormat="1" applyFont="1" applyAlignment="1">
      <alignment horizontal="right"/>
    </xf>
    <xf numFmtId="166" fontId="82" fillId="0" borderId="0" xfId="0" applyNumberFormat="1" applyFont="1" applyAlignment="1">
      <alignment horizontal="right"/>
    </xf>
    <xf numFmtId="168" fontId="90" fillId="0" borderId="0" xfId="0" applyNumberFormat="1" applyFont="1"/>
    <xf numFmtId="174" fontId="90" fillId="0" borderId="0" xfId="0" applyNumberFormat="1" applyFont="1"/>
    <xf numFmtId="200" fontId="90" fillId="0" borderId="0" xfId="0" applyNumberFormat="1" applyFont="1"/>
    <xf numFmtId="0" fontId="92" fillId="0" borderId="0" xfId="0" applyFont="1" applyAlignment="1">
      <alignment horizontal="right"/>
    </xf>
    <xf numFmtId="167" fontId="81" fillId="0" borderId="0" xfId="0" applyNumberFormat="1" applyFont="1"/>
    <xf numFmtId="166" fontId="81" fillId="0" borderId="0" xfId="0" applyNumberFormat="1" applyFont="1"/>
    <xf numFmtId="169" fontId="90" fillId="0" borderId="0" xfId="0" applyNumberFormat="1" applyFont="1"/>
    <xf numFmtId="166" fontId="81" fillId="0" borderId="5" xfId="0" applyNumberFormat="1" applyFont="1" applyBorder="1"/>
    <xf numFmtId="15" fontId="81" fillId="0" borderId="0" xfId="23" applyNumberFormat="1" applyFont="1"/>
    <xf numFmtId="169" fontId="81" fillId="0" borderId="0" xfId="26" applyNumberFormat="1" applyFont="1"/>
    <xf numFmtId="0" fontId="85" fillId="0" borderId="0" xfId="23" applyFont="1" applyAlignment="1">
      <alignment horizontal="right"/>
    </xf>
    <xf numFmtId="0" fontId="86" fillId="10" borderId="5" xfId="23" applyFont="1" applyFill="1" applyBorder="1" applyAlignment="1">
      <alignment horizontal="right"/>
    </xf>
    <xf numFmtId="0" fontId="82" fillId="0" borderId="0" xfId="23" applyFont="1" applyAlignment="1">
      <alignment horizontal="right"/>
    </xf>
    <xf numFmtId="169" fontId="82" fillId="0" borderId="0" xfId="26" applyNumberFormat="1" applyFont="1" applyAlignment="1">
      <alignment horizontal="right"/>
    </xf>
    <xf numFmtId="166" fontId="82" fillId="0" borderId="0" xfId="24" applyFont="1" applyAlignment="1">
      <alignment horizontal="right"/>
    </xf>
    <xf numFmtId="168" fontId="87" fillId="0" borderId="0" xfId="26" applyNumberFormat="1" applyFont="1" applyFill="1"/>
    <xf numFmtId="15" fontId="87" fillId="0" borderId="0" xfId="23" applyNumberFormat="1" applyFont="1" applyFill="1"/>
    <xf numFmtId="169" fontId="87" fillId="0" borderId="0" xfId="26" applyNumberFormat="1" applyFont="1" applyFill="1"/>
    <xf numFmtId="174" fontId="87" fillId="0" borderId="0" xfId="23" applyNumberFormat="1" applyFont="1" applyFill="1"/>
    <xf numFmtId="200" fontId="87" fillId="0" borderId="0" xfId="26" applyNumberFormat="1" applyFont="1" applyFill="1"/>
    <xf numFmtId="180" fontId="81" fillId="0" borderId="5" xfId="24" applyNumberFormat="1" applyFont="1" applyBorder="1"/>
    <xf numFmtId="181" fontId="81" fillId="0" borderId="0" xfId="24" applyNumberFormat="1" applyFont="1" applyBorder="1"/>
    <xf numFmtId="0" fontId="93" fillId="17" borderId="30" xfId="0" applyFont="1" applyFill="1" applyBorder="1"/>
    <xf numFmtId="0" fontId="94" fillId="17" borderId="5" xfId="0" applyFont="1" applyFill="1" applyBorder="1"/>
    <xf numFmtId="0" fontId="93" fillId="17" borderId="5" xfId="0" applyFont="1" applyFill="1" applyBorder="1"/>
    <xf numFmtId="0" fontId="93" fillId="17" borderId="5" xfId="0" applyFont="1" applyFill="1" applyBorder="1" applyAlignment="1">
      <alignment horizontal="right"/>
    </xf>
    <xf numFmtId="0" fontId="93" fillId="17" borderId="6" xfId="0" applyFont="1" applyFill="1" applyBorder="1"/>
    <xf numFmtId="169" fontId="82" fillId="0" borderId="0" xfId="0" applyNumberFormat="1" applyFont="1" applyAlignment="1">
      <alignment horizontal="right"/>
    </xf>
    <xf numFmtId="168" fontId="81" fillId="0" borderId="0" xfId="0" applyNumberFormat="1" applyFont="1"/>
    <xf numFmtId="15" fontId="81" fillId="0" borderId="0" xfId="0" applyNumberFormat="1" applyFont="1"/>
    <xf numFmtId="169" fontId="81" fillId="0" borderId="0" xfId="0" applyNumberFormat="1" applyFont="1"/>
    <xf numFmtId="182" fontId="81" fillId="0" borderId="5" xfId="0" applyNumberFormat="1" applyFont="1" applyBorder="1"/>
    <xf numFmtId="181" fontId="81" fillId="0" borderId="0" xfId="0" applyNumberFormat="1" applyFont="1"/>
    <xf numFmtId="0" fontId="93" fillId="18" borderId="30" xfId="0" applyFont="1" applyFill="1" applyBorder="1"/>
    <xf numFmtId="0" fontId="94" fillId="18" borderId="5" xfId="0" applyFont="1" applyFill="1" applyBorder="1"/>
    <xf numFmtId="0" fontId="93" fillId="18" borderId="5" xfId="0" applyFont="1" applyFill="1" applyBorder="1"/>
    <xf numFmtId="0" fontId="93" fillId="18" borderId="5" xfId="0" applyFont="1" applyFill="1" applyBorder="1" applyAlignment="1">
      <alignment horizontal="right"/>
    </xf>
    <xf numFmtId="0" fontId="93" fillId="18" borderId="6" xfId="0" applyFont="1" applyFill="1" applyBorder="1"/>
    <xf numFmtId="181" fontId="81" fillId="0" borderId="5" xfId="0" applyNumberFormat="1" applyFont="1" applyBorder="1"/>
    <xf numFmtId="0" fontId="93" fillId="19" borderId="30" xfId="0" applyFont="1" applyFill="1" applyBorder="1"/>
    <xf numFmtId="0" fontId="94" fillId="19" borderId="5" xfId="0" applyFont="1" applyFill="1" applyBorder="1"/>
    <xf numFmtId="0" fontId="93" fillId="19" borderId="5" xfId="0" applyFont="1" applyFill="1" applyBorder="1"/>
    <xf numFmtId="0" fontId="93" fillId="19" borderId="5" xfId="0" applyFont="1" applyFill="1" applyBorder="1" applyAlignment="1">
      <alignment horizontal="right"/>
    </xf>
    <xf numFmtId="0" fontId="93" fillId="19" borderId="6" xfId="0" applyFont="1" applyFill="1" applyBorder="1"/>
    <xf numFmtId="207" fontId="81" fillId="0" borderId="0" xfId="0" applyNumberFormat="1" applyFont="1"/>
    <xf numFmtId="207" fontId="81" fillId="0" borderId="5" xfId="0" applyNumberFormat="1" applyFont="1" applyBorder="1"/>
    <xf numFmtId="0" fontId="93" fillId="20" borderId="30" xfId="0" applyFont="1" applyFill="1" applyBorder="1"/>
    <xf numFmtId="0" fontId="94" fillId="20" borderId="5" xfId="0" applyFont="1" applyFill="1" applyBorder="1"/>
    <xf numFmtId="0" fontId="93" fillId="20" borderId="5" xfId="0" applyFont="1" applyFill="1" applyBorder="1"/>
    <xf numFmtId="0" fontId="93" fillId="20" borderId="5" xfId="0" applyFont="1" applyFill="1" applyBorder="1" applyAlignment="1">
      <alignment horizontal="right"/>
    </xf>
    <xf numFmtId="0" fontId="93" fillId="20" borderId="6" xfId="0" applyFont="1" applyFill="1" applyBorder="1"/>
    <xf numFmtId="209" fontId="81" fillId="0" borderId="5" xfId="0" applyNumberFormat="1" applyFont="1" applyBorder="1"/>
    <xf numFmtId="0" fontId="95" fillId="0" borderId="0" xfId="0" applyFont="1"/>
    <xf numFmtId="169" fontId="95" fillId="0" borderId="0" xfId="0" applyNumberFormat="1" applyFont="1"/>
    <xf numFmtId="166" fontId="95" fillId="0" borderId="0" xfId="0" applyNumberFormat="1" applyFont="1"/>
    <xf numFmtId="0" fontId="82" fillId="6" borderId="4" xfId="23" applyFont="1" applyFill="1" applyBorder="1"/>
    <xf numFmtId="0" fontId="84" fillId="0" borderId="0" xfId="23" applyFont="1" applyFill="1" applyBorder="1"/>
    <xf numFmtId="0" fontId="81" fillId="0" borderId="0" xfId="23" applyFont="1" applyBorder="1"/>
    <xf numFmtId="0" fontId="86" fillId="10" borderId="4" xfId="23" applyFont="1" applyFill="1" applyBorder="1"/>
    <xf numFmtId="0" fontId="86" fillId="9" borderId="4" xfId="23" applyFont="1" applyFill="1" applyBorder="1"/>
    <xf numFmtId="0" fontId="86" fillId="8" borderId="4" xfId="23" applyFont="1" applyFill="1" applyBorder="1"/>
    <xf numFmtId="13" fontId="81" fillId="0" borderId="0" xfId="23" applyNumberFormat="1" applyFont="1" applyFill="1" applyBorder="1" applyAlignment="1">
      <alignment horizontal="right"/>
    </xf>
    <xf numFmtId="0" fontId="86" fillId="12" borderId="4" xfId="23" applyFont="1" applyFill="1" applyBorder="1"/>
    <xf numFmtId="0" fontId="86" fillId="7" borderId="4" xfId="23" applyFont="1" applyFill="1" applyBorder="1"/>
    <xf numFmtId="168" fontId="81" fillId="0" borderId="0" xfId="26" applyNumberFormat="1" applyFont="1" applyFill="1" applyBorder="1"/>
    <xf numFmtId="186" fontId="81" fillId="0" borderId="0" xfId="23" applyNumberFormat="1" applyFont="1"/>
    <xf numFmtId="13" fontId="81" fillId="0" borderId="0" xfId="23" applyNumberFormat="1" applyFont="1"/>
    <xf numFmtId="168" fontId="81" fillId="0" borderId="0" xfId="26" quotePrefix="1" applyNumberFormat="1" applyFont="1" applyFill="1" applyBorder="1" applyAlignment="1">
      <alignment horizontal="left"/>
    </xf>
    <xf numFmtId="168" fontId="81" fillId="0" borderId="0" xfId="26" quotePrefix="1" applyNumberFormat="1" applyFont="1" applyBorder="1" applyAlignment="1">
      <alignment horizontal="left"/>
    </xf>
    <xf numFmtId="168" fontId="81" fillId="0" borderId="0" xfId="26" applyNumberFormat="1" applyFont="1" applyFill="1" applyBorder="1" applyAlignment="1">
      <alignment horizontal="left"/>
    </xf>
    <xf numFmtId="168" fontId="81" fillId="0" borderId="0" xfId="26" applyNumberFormat="1" applyFont="1" applyBorder="1" applyAlignment="1">
      <alignment horizontal="left"/>
    </xf>
    <xf numFmtId="164" fontId="81" fillId="0" borderId="0" xfId="24" applyNumberFormat="1" applyFont="1"/>
    <xf numFmtId="180" fontId="81" fillId="0" borderId="0" xfId="24" applyNumberFormat="1" applyFont="1" applyBorder="1"/>
    <xf numFmtId="168" fontId="81" fillId="0" borderId="14" xfId="26" applyNumberFormat="1" applyFont="1" applyBorder="1" applyAlignment="1">
      <alignment horizontal="left"/>
    </xf>
    <xf numFmtId="166" fontId="81" fillId="0" borderId="14" xfId="24" applyFont="1" applyBorder="1"/>
    <xf numFmtId="180" fontId="81" fillId="0" borderId="14" xfId="24" applyNumberFormat="1" applyFont="1" applyBorder="1"/>
    <xf numFmtId="13" fontId="81" fillId="0" borderId="0" xfId="23" applyNumberFormat="1" applyFont="1" applyFill="1" applyBorder="1"/>
    <xf numFmtId="167" fontId="81" fillId="0" borderId="0" xfId="26" quotePrefix="1" applyFont="1" applyAlignment="1">
      <alignment horizontal="left"/>
    </xf>
    <xf numFmtId="0" fontId="84" fillId="0" borderId="0" xfId="23" applyFont="1"/>
    <xf numFmtId="180" fontId="84" fillId="0" borderId="0" xfId="24" applyNumberFormat="1" applyFont="1" applyBorder="1"/>
    <xf numFmtId="182" fontId="84" fillId="0" borderId="0" xfId="23" applyNumberFormat="1" applyFont="1"/>
    <xf numFmtId="181" fontId="84" fillId="0" borderId="0" xfId="24" applyNumberFormat="1" applyFont="1"/>
    <xf numFmtId="13" fontId="84" fillId="0" borderId="0" xfId="23" applyNumberFormat="1" applyFont="1" applyFill="1" applyBorder="1"/>
    <xf numFmtId="186" fontId="84" fillId="0" borderId="0" xfId="24" applyNumberFormat="1" applyFont="1"/>
    <xf numFmtId="197" fontId="81" fillId="0" borderId="0" xfId="26" applyNumberFormat="1" applyFont="1"/>
    <xf numFmtId="197" fontId="81" fillId="0" borderId="0" xfId="26" applyNumberFormat="1" applyFont="1" applyBorder="1"/>
    <xf numFmtId="0" fontId="93" fillId="14" borderId="27" xfId="0" applyFont="1" applyFill="1" applyBorder="1"/>
    <xf numFmtId="199" fontId="81" fillId="0" borderId="0" xfId="0" applyNumberFormat="1" applyFont="1"/>
    <xf numFmtId="199" fontId="96" fillId="0" borderId="0" xfId="0" applyNumberFormat="1" applyFont="1"/>
    <xf numFmtId="205" fontId="96" fillId="0" borderId="0" xfId="0" applyNumberFormat="1" applyFont="1"/>
    <xf numFmtId="206" fontId="96" fillId="0" borderId="0" xfId="0" applyNumberFormat="1" applyFont="1"/>
    <xf numFmtId="0" fontId="96" fillId="0" borderId="0" xfId="0" applyFont="1"/>
    <xf numFmtId="0" fontId="97" fillId="0" borderId="0" xfId="0" applyFont="1"/>
    <xf numFmtId="196" fontId="90" fillId="0" borderId="0" xfId="0" applyNumberFormat="1" applyFont="1"/>
    <xf numFmtId="199" fontId="90" fillId="0" borderId="0" xfId="0" applyNumberFormat="1" applyFont="1"/>
    <xf numFmtId="170" fontId="90" fillId="0" borderId="0" xfId="0" applyNumberFormat="1" applyFont="1"/>
    <xf numFmtId="192" fontId="90" fillId="0" borderId="0" xfId="0" applyNumberFormat="1" applyFont="1"/>
    <xf numFmtId="202" fontId="90" fillId="0" borderId="0" xfId="0" applyNumberFormat="1" applyFont="1"/>
    <xf numFmtId="198" fontId="90" fillId="0" borderId="0" xfId="0" applyNumberFormat="1" applyFont="1"/>
    <xf numFmtId="0" fontId="98" fillId="0" borderId="0" xfId="47" applyFont="1" applyFill="1"/>
    <xf numFmtId="0" fontId="93" fillId="14" borderId="29" xfId="0" applyFont="1" applyFill="1" applyBorder="1"/>
    <xf numFmtId="0" fontId="93" fillId="14" borderId="3" xfId="0" applyFont="1" applyFill="1" applyBorder="1"/>
    <xf numFmtId="0" fontId="93" fillId="14" borderId="0" xfId="0" applyFont="1" applyFill="1"/>
    <xf numFmtId="13" fontId="93" fillId="14" borderId="7" xfId="0" applyNumberFormat="1" applyFont="1" applyFill="1" applyBorder="1" applyAlignment="1">
      <alignment horizontal="center"/>
    </xf>
    <xf numFmtId="0" fontId="93" fillId="14" borderId="0" xfId="0" applyFont="1" applyFill="1" applyAlignment="1">
      <alignment horizontal="center"/>
    </xf>
    <xf numFmtId="0" fontId="82" fillId="0" borderId="0" xfId="4" applyFont="1"/>
    <xf numFmtId="0" fontId="93" fillId="14" borderId="28" xfId="0" applyFont="1" applyFill="1" applyBorder="1"/>
    <xf numFmtId="0" fontId="93" fillId="14" borderId="10" xfId="0" applyFont="1" applyFill="1" applyBorder="1"/>
    <xf numFmtId="13" fontId="93" fillId="14" borderId="9" xfId="0" applyNumberFormat="1" applyFont="1" applyFill="1" applyBorder="1" applyAlignment="1">
      <alignment horizontal="center"/>
    </xf>
    <xf numFmtId="0" fontId="93" fillId="14" borderId="10" xfId="0" applyFont="1" applyFill="1" applyBorder="1" applyAlignment="1">
      <alignment horizontal="center"/>
    </xf>
    <xf numFmtId="0" fontId="99" fillId="13" borderId="0" xfId="0" applyFont="1" applyFill="1" applyAlignment="1">
      <alignment horizontal="center" vertical="top" wrapText="1"/>
    </xf>
    <xf numFmtId="204" fontId="90" fillId="0" borderId="0" xfId="0" applyNumberFormat="1" applyFont="1" applyAlignment="1">
      <alignment horizontal="left"/>
    </xf>
    <xf numFmtId="177" fontId="90" fillId="0" borderId="0" xfId="0" applyNumberFormat="1" applyFont="1"/>
    <xf numFmtId="181" fontId="90" fillId="0" borderId="0" xfId="0" applyNumberFormat="1" applyFont="1"/>
    <xf numFmtId="0" fontId="93" fillId="14" borderId="26" xfId="0" applyFont="1" applyFill="1" applyBorder="1"/>
    <xf numFmtId="176" fontId="90" fillId="0" borderId="0" xfId="0" applyNumberFormat="1" applyFont="1"/>
    <xf numFmtId="13" fontId="90" fillId="0" borderId="0" xfId="0" applyNumberFormat="1" applyFont="1"/>
    <xf numFmtId="13" fontId="81" fillId="0" borderId="0" xfId="0" applyNumberFormat="1" applyFont="1"/>
    <xf numFmtId="0" fontId="82" fillId="0" borderId="0" xfId="0" applyFont="1" applyAlignment="1">
      <alignment horizontal="center" wrapText="1"/>
    </xf>
    <xf numFmtId="0" fontId="94" fillId="0" borderId="0" xfId="0" applyFont="1"/>
    <xf numFmtId="13" fontId="94" fillId="0" borderId="0" xfId="0" applyNumberFormat="1" applyFont="1"/>
    <xf numFmtId="0" fontId="81" fillId="14" borderId="17" xfId="0" applyFont="1" applyFill="1" applyBorder="1"/>
    <xf numFmtId="0" fontId="81" fillId="14" borderId="18" xfId="0" applyFont="1" applyFill="1" applyBorder="1"/>
    <xf numFmtId="0" fontId="93" fillId="14" borderId="4" xfId="0" applyFont="1" applyFill="1" applyBorder="1"/>
    <xf numFmtId="0" fontId="93" fillId="14" borderId="5" xfId="0" applyFont="1" applyFill="1" applyBorder="1"/>
    <xf numFmtId="0" fontId="94" fillId="14" borderId="33" xfId="0" applyFont="1" applyFill="1" applyBorder="1"/>
    <xf numFmtId="0" fontId="93" fillId="14" borderId="1" xfId="0" applyFont="1" applyFill="1" applyBorder="1" applyAlignment="1">
      <alignment horizontal="right"/>
    </xf>
    <xf numFmtId="0" fontId="93" fillId="14" borderId="31" xfId="0" applyFont="1" applyFill="1" applyBorder="1" applyAlignment="1">
      <alignment horizontal="right"/>
    </xf>
    <xf numFmtId="0" fontId="93" fillId="14" borderId="6" xfId="0" applyFont="1" applyFill="1" applyBorder="1" applyAlignment="1">
      <alignment horizontal="right"/>
    </xf>
    <xf numFmtId="0" fontId="93" fillId="14" borderId="32" xfId="0" applyFont="1" applyFill="1" applyBorder="1" applyAlignment="1">
      <alignment horizontal="right"/>
    </xf>
    <xf numFmtId="0" fontId="93" fillId="14" borderId="7" xfId="0" applyFont="1" applyFill="1" applyBorder="1"/>
    <xf numFmtId="0" fontId="81" fillId="15" borderId="0" xfId="0" applyFont="1" applyFill="1"/>
    <xf numFmtId="190" fontId="81" fillId="15" borderId="0" xfId="0" applyNumberFormat="1" applyFont="1" applyFill="1"/>
    <xf numFmtId="0" fontId="93" fillId="14" borderId="12" xfId="0" applyFont="1" applyFill="1" applyBorder="1" applyAlignment="1">
      <alignment horizontal="right"/>
    </xf>
    <xf numFmtId="173" fontId="81" fillId="15" borderId="0" xfId="0" applyNumberFormat="1" applyFont="1" applyFill="1"/>
    <xf numFmtId="185" fontId="81" fillId="15" borderId="0" xfId="0" applyNumberFormat="1" applyFont="1" applyFill="1"/>
    <xf numFmtId="184" fontId="81" fillId="15" borderId="0" xfId="0" applyNumberFormat="1" applyFont="1" applyFill="1"/>
    <xf numFmtId="183" fontId="81" fillId="15" borderId="0" xfId="0" applyNumberFormat="1" applyFont="1" applyFill="1"/>
    <xf numFmtId="203" fontId="81" fillId="15" borderId="0" xfId="0" applyNumberFormat="1" applyFont="1" applyFill="1"/>
    <xf numFmtId="203" fontId="81" fillId="15" borderId="11" xfId="0" applyNumberFormat="1" applyFont="1" applyFill="1" applyBorder="1"/>
    <xf numFmtId="0" fontId="93" fillId="14" borderId="9" xfId="0" applyFont="1" applyFill="1" applyBorder="1"/>
    <xf numFmtId="0" fontId="81" fillId="15" borderId="10" xfId="0" applyFont="1" applyFill="1" applyBorder="1"/>
    <xf numFmtId="190" fontId="81" fillId="15" borderId="13" xfId="0" applyNumberFormat="1" applyFont="1" applyFill="1" applyBorder="1"/>
    <xf numFmtId="0" fontId="93" fillId="14" borderId="28" xfId="0" applyFont="1" applyFill="1" applyBorder="1" applyAlignment="1">
      <alignment horizontal="right"/>
    </xf>
    <xf numFmtId="173" fontId="81" fillId="15" borderId="10" xfId="0" applyNumberFormat="1" applyFont="1" applyFill="1" applyBorder="1"/>
    <xf numFmtId="185" fontId="81" fillId="15" borderId="10" xfId="0" applyNumberFormat="1" applyFont="1" applyFill="1" applyBorder="1"/>
    <xf numFmtId="184" fontId="81" fillId="15" borderId="10" xfId="0" applyNumberFormat="1" applyFont="1" applyFill="1" applyBorder="1"/>
    <xf numFmtId="183" fontId="81" fillId="15" borderId="10" xfId="0" applyNumberFormat="1" applyFont="1" applyFill="1" applyBorder="1"/>
    <xf numFmtId="203" fontId="81" fillId="15" borderId="10" xfId="0" applyNumberFormat="1" applyFont="1" applyFill="1" applyBorder="1"/>
    <xf numFmtId="203" fontId="81" fillId="15" borderId="13" xfId="0" applyNumberFormat="1" applyFont="1" applyFill="1" applyBorder="1"/>
    <xf numFmtId="0" fontId="30" fillId="0" borderId="0" xfId="4" applyFont="1" applyFill="1"/>
    <xf numFmtId="0" fontId="1" fillId="0" borderId="0" xfId="70" applyAlignment="1">
      <alignment wrapText="1"/>
    </xf>
    <xf numFmtId="0" fontId="88" fillId="0" borderId="0" xfId="70" applyFont="1" applyAlignment="1">
      <alignment wrapText="1"/>
    </xf>
    <xf numFmtId="0" fontId="88" fillId="0" borderId="0" xfId="70" applyFont="1" applyAlignment="1">
      <alignment horizontal="left" wrapText="1"/>
    </xf>
    <xf numFmtId="0" fontId="100" fillId="0" borderId="0" xfId="70" applyFont="1" applyAlignment="1">
      <alignment wrapText="1"/>
    </xf>
    <xf numFmtId="3" fontId="88" fillId="0" borderId="0" xfId="70" applyNumberFormat="1" applyFont="1" applyAlignment="1">
      <alignment wrapText="1"/>
    </xf>
    <xf numFmtId="4" fontId="88" fillId="0" borderId="0" xfId="70" applyNumberFormat="1" applyFont="1" applyAlignment="1">
      <alignment wrapText="1"/>
    </xf>
    <xf numFmtId="4" fontId="100" fillId="0" borderId="0" xfId="70" applyNumberFormat="1" applyFont="1" applyAlignment="1">
      <alignment wrapText="1"/>
    </xf>
    <xf numFmtId="22" fontId="88" fillId="0" borderId="0" xfId="70" applyNumberFormat="1" applyFont="1" applyAlignment="1">
      <alignment wrapText="1"/>
    </xf>
    <xf numFmtId="0" fontId="90" fillId="0" borderId="0" xfId="0" applyFont="1" applyAlignment="1">
      <alignment wrapText="1"/>
    </xf>
    <xf numFmtId="22" fontId="90" fillId="0" borderId="0" xfId="0" applyNumberFormat="1" applyFont="1" applyAlignment="1">
      <alignment wrapText="1"/>
    </xf>
    <xf numFmtId="4" fontId="90" fillId="0" borderId="0" xfId="0" applyNumberFormat="1" applyFont="1" applyAlignment="1">
      <alignment wrapText="1"/>
    </xf>
    <xf numFmtId="0" fontId="90" fillId="0" borderId="0" xfId="0" applyFont="1" applyFill="1" applyAlignment="1">
      <alignment wrapText="1"/>
    </xf>
    <xf numFmtId="3" fontId="90" fillId="0" borderId="0" xfId="0" applyNumberFormat="1" applyFont="1" applyAlignment="1">
      <alignment wrapText="1"/>
    </xf>
    <xf numFmtId="0" fontId="101" fillId="0" borderId="0" xfId="70" applyFont="1" applyAlignment="1">
      <alignment wrapText="1"/>
    </xf>
    <xf numFmtId="0" fontId="102" fillId="0" borderId="0" xfId="70" applyFont="1" applyAlignment="1">
      <alignment wrapText="1"/>
    </xf>
    <xf numFmtId="0" fontId="103" fillId="0" borderId="0" xfId="53" applyFont="1" applyFill="1"/>
    <xf numFmtId="0" fontId="88" fillId="0" borderId="0" xfId="0" applyFont="1" applyAlignment="1">
      <alignment wrapText="1"/>
    </xf>
    <xf numFmtId="3" fontId="88" fillId="0" borderId="0" xfId="0" applyNumberFormat="1" applyFont="1" applyAlignment="1">
      <alignment wrapText="1"/>
    </xf>
    <xf numFmtId="4" fontId="88" fillId="0" borderId="0" xfId="0" applyNumberFormat="1" applyFont="1" applyAlignment="1">
      <alignment wrapText="1"/>
    </xf>
    <xf numFmtId="22" fontId="88" fillId="0" borderId="0" xfId="0" applyNumberFormat="1" applyFont="1" applyAlignment="1">
      <alignment wrapText="1"/>
    </xf>
    <xf numFmtId="0" fontId="88" fillId="0" borderId="0" xfId="0" applyFont="1" applyFill="1" applyAlignment="1">
      <alignment wrapText="1"/>
    </xf>
    <xf numFmtId="0" fontId="88" fillId="0" borderId="0" xfId="53" applyFont="1" applyFill="1" applyAlignment="1">
      <alignment wrapText="1"/>
    </xf>
    <xf numFmtId="0" fontId="88" fillId="0" borderId="0" xfId="0" applyFont="1" applyAlignment="1"/>
    <xf numFmtId="0" fontId="82" fillId="0" borderId="0" xfId="0" applyFont="1" applyAlignment="1">
      <alignment wrapText="1"/>
    </xf>
    <xf numFmtId="4" fontId="82" fillId="0" borderId="0" xfId="0" applyNumberFormat="1" applyFont="1" applyAlignment="1">
      <alignment wrapText="1"/>
    </xf>
    <xf numFmtId="0" fontId="87" fillId="0" borderId="0" xfId="53" applyFont="1" applyFill="1"/>
    <xf numFmtId="0" fontId="103" fillId="0" borderId="0" xfId="53" applyFont="1" applyFill="1" applyAlignment="1">
      <alignment wrapText="1"/>
    </xf>
    <xf numFmtId="168" fontId="88" fillId="0" borderId="0" xfId="0" applyNumberFormat="1" applyFont="1"/>
    <xf numFmtId="174" fontId="88" fillId="0" borderId="0" xfId="0" applyNumberFormat="1" applyFont="1"/>
    <xf numFmtId="200" fontId="88" fillId="0" borderId="0" xfId="0" applyNumberFormat="1" applyFont="1"/>
    <xf numFmtId="167" fontId="88" fillId="0" borderId="0" xfId="26" applyFont="1" applyFill="1" applyBorder="1"/>
    <xf numFmtId="192" fontId="104" fillId="0" borderId="0" xfId="2" applyNumberFormat="1" applyFont="1" applyFill="1" applyBorder="1" applyProtection="1">
      <protection locked="0"/>
    </xf>
    <xf numFmtId="193" fontId="104" fillId="0" borderId="0" xfId="1" applyNumberFormat="1" applyFont="1" applyFill="1" applyBorder="1" applyProtection="1">
      <protection locked="0"/>
    </xf>
    <xf numFmtId="196" fontId="104" fillId="0" borderId="0" xfId="2" applyNumberFormat="1" applyFont="1" applyFill="1" applyBorder="1" applyProtection="1">
      <protection locked="0"/>
    </xf>
    <xf numFmtId="194" fontId="104" fillId="0" borderId="10" xfId="2" applyNumberFormat="1" applyFont="1" applyFill="1" applyBorder="1" applyProtection="1">
      <protection locked="0"/>
    </xf>
    <xf numFmtId="193" fontId="104" fillId="0" borderId="0" xfId="2" applyNumberFormat="1" applyFont="1" applyFill="1" applyBorder="1" applyProtection="1">
      <protection locked="0"/>
    </xf>
    <xf numFmtId="196" fontId="104" fillId="0" borderId="0" xfId="4" applyNumberFormat="1" applyFont="1" applyFill="1" applyBorder="1" applyProtection="1">
      <protection locked="0"/>
    </xf>
    <xf numFmtId="170" fontId="97" fillId="0" borderId="0" xfId="0" applyNumberFormat="1" applyFont="1"/>
    <xf numFmtId="204" fontId="88" fillId="0" borderId="0" xfId="0" applyNumberFormat="1" applyFont="1" applyAlignment="1">
      <alignment horizontal="left"/>
    </xf>
    <xf numFmtId="0" fontId="97" fillId="13" borderId="0" xfId="0" applyFont="1" applyFill="1" applyAlignment="1">
      <alignment horizontal="center" vertical="top" wrapText="1"/>
    </xf>
    <xf numFmtId="204" fontId="88" fillId="0" borderId="0" xfId="0" applyNumberFormat="1" applyFont="1" applyAlignment="1">
      <alignment horizontal="center"/>
    </xf>
    <xf numFmtId="199" fontId="88" fillId="0" borderId="0" xfId="0" applyNumberFormat="1" applyFont="1"/>
    <xf numFmtId="199" fontId="88" fillId="0" borderId="0" xfId="0" applyNumberFormat="1" applyFont="1" applyAlignment="1">
      <alignment horizontal="center"/>
    </xf>
    <xf numFmtId="14" fontId="88" fillId="0" borderId="0" xfId="0" applyNumberFormat="1" applyFont="1"/>
    <xf numFmtId="174" fontId="51" fillId="0" borderId="0" xfId="23" applyNumberFormat="1" applyFont="1" applyBorder="1" applyAlignment="1">
      <alignment horizontal="right"/>
    </xf>
    <xf numFmtId="0" fontId="82" fillId="6" borderId="5" xfId="23" applyFont="1" applyFill="1" applyBorder="1" applyAlignment="1">
      <alignment horizontal="center"/>
    </xf>
    <xf numFmtId="0" fontId="86" fillId="10" borderId="5" xfId="23" applyFont="1" applyFill="1" applyBorder="1" applyAlignment="1">
      <alignment horizontal="center"/>
    </xf>
    <xf numFmtId="0" fontId="86" fillId="9" borderId="5" xfId="23" applyFont="1" applyFill="1" applyBorder="1" applyAlignment="1">
      <alignment horizontal="center"/>
    </xf>
    <xf numFmtId="0" fontId="52" fillId="0" borderId="0" xfId="23" applyFont="1" applyBorder="1" applyAlignment="1">
      <alignment horizontal="left"/>
    </xf>
    <xf numFmtId="166" fontId="85" fillId="0" borderId="0" xfId="24" applyFont="1" applyBorder="1" applyAlignment="1">
      <alignment wrapText="1"/>
    </xf>
    <xf numFmtId="0" fontId="86" fillId="9" borderId="5" xfId="23" applyFont="1" applyFill="1" applyBorder="1"/>
    <xf numFmtId="0" fontId="86" fillId="10" borderId="5" xfId="23" applyFont="1" applyFill="1" applyBorder="1"/>
    <xf numFmtId="0" fontId="86" fillId="8" borderId="5" xfId="23" applyFont="1" applyFill="1" applyBorder="1" applyAlignment="1">
      <alignment horizontal="center"/>
    </xf>
    <xf numFmtId="0" fontId="86" fillId="7" borderId="5" xfId="23" applyFont="1" applyFill="1" applyBorder="1" applyAlignment="1">
      <alignment horizontal="center"/>
    </xf>
    <xf numFmtId="0" fontId="61" fillId="0" borderId="0" xfId="23" applyFont="1" applyAlignment="1">
      <alignment horizontal="right"/>
    </xf>
    <xf numFmtId="0" fontId="61" fillId="0" borderId="0" xfId="23" applyFont="1" applyBorder="1" applyAlignment="1">
      <alignment horizontal="left"/>
    </xf>
    <xf numFmtId="0" fontId="86" fillId="7" borderId="5" xfId="23" applyFont="1" applyFill="1" applyBorder="1"/>
    <xf numFmtId="0" fontId="86" fillId="8" borderId="5" xfId="23" applyFont="1" applyFill="1" applyBorder="1"/>
    <xf numFmtId="0" fontId="86" fillId="11" borderId="5" xfId="23" applyFont="1" applyFill="1" applyBorder="1"/>
    <xf numFmtId="0" fontId="86" fillId="11" borderId="5" xfId="23" applyFont="1" applyFill="1" applyBorder="1" applyAlignment="1">
      <alignment horizontal="center"/>
    </xf>
    <xf numFmtId="166" fontId="85" fillId="0" borderId="0" xfId="24" applyFont="1" applyBorder="1" applyAlignment="1">
      <alignment horizontal="right"/>
    </xf>
    <xf numFmtId="166" fontId="33" fillId="0" borderId="0" xfId="2" quotePrefix="1" applyFont="1" applyAlignment="1">
      <alignment horizontal="left"/>
    </xf>
    <xf numFmtId="174" fontId="51" fillId="0" borderId="1" xfId="4" applyNumberFormat="1" applyFont="1" applyBorder="1" applyAlignment="1">
      <alignment horizontal="right"/>
    </xf>
    <xf numFmtId="0" fontId="52" fillId="0" borderId="1" xfId="4" applyFont="1" applyBorder="1" applyAlignment="1">
      <alignment horizontal="left"/>
    </xf>
    <xf numFmtId="166" fontId="85" fillId="0" borderId="0" xfId="2" applyFont="1" applyBorder="1" applyAlignment="1">
      <alignment horizontal="right"/>
    </xf>
    <xf numFmtId="0" fontId="82" fillId="6" borderId="5" xfId="4" applyFont="1" applyFill="1" applyBorder="1"/>
    <xf numFmtId="166" fontId="85" fillId="0" borderId="0" xfId="24" applyFont="1" applyAlignment="1">
      <alignment horizontal="right"/>
    </xf>
    <xf numFmtId="166" fontId="85" fillId="0" borderId="1" xfId="24" applyFont="1" applyBorder="1" applyAlignment="1">
      <alignment horizontal="right"/>
    </xf>
    <xf numFmtId="0" fontId="82" fillId="6" borderId="30" xfId="4" applyFont="1" applyFill="1" applyBorder="1" applyAlignment="1">
      <alignment horizontal="center"/>
    </xf>
    <xf numFmtId="0" fontId="82" fillId="6" borderId="5" xfId="4" applyFont="1" applyFill="1" applyBorder="1" applyAlignment="1">
      <alignment horizontal="center"/>
    </xf>
    <xf numFmtId="174" fontId="51" fillId="0" borderId="0" xfId="4" applyNumberFormat="1" applyFont="1" applyBorder="1" applyAlignment="1">
      <alignment horizontal="right"/>
    </xf>
    <xf numFmtId="0" fontId="82" fillId="6" borderId="30" xfId="4" applyFont="1" applyFill="1" applyBorder="1"/>
    <xf numFmtId="0" fontId="82" fillId="6" borderId="6" xfId="4" applyFont="1" applyFill="1" applyBorder="1"/>
    <xf numFmtId="0" fontId="52" fillId="0" borderId="0" xfId="4" applyFont="1" applyBorder="1" applyAlignment="1">
      <alignment horizontal="left"/>
    </xf>
    <xf numFmtId="0" fontId="86" fillId="9" borderId="30" xfId="4" applyFont="1" applyFill="1" applyBorder="1"/>
    <xf numFmtId="0" fontId="86" fillId="9" borderId="6" xfId="4" applyFont="1" applyFill="1" applyBorder="1"/>
    <xf numFmtId="0" fontId="86" fillId="8" borderId="30" xfId="4" applyFont="1" applyFill="1" applyBorder="1"/>
    <xf numFmtId="0" fontId="86" fillId="8" borderId="6" xfId="4" applyFont="1" applyFill="1" applyBorder="1"/>
    <xf numFmtId="0" fontId="86" fillId="7" borderId="30" xfId="4" applyFont="1" applyFill="1" applyBorder="1"/>
    <xf numFmtId="0" fontId="86" fillId="7" borderId="6" xfId="4" applyFont="1" applyFill="1" applyBorder="1"/>
    <xf numFmtId="0" fontId="86" fillId="10" borderId="30" xfId="4" applyFont="1" applyFill="1" applyBorder="1"/>
    <xf numFmtId="0" fontId="86" fillId="10" borderId="6" xfId="4" applyFont="1" applyFill="1" applyBorder="1"/>
    <xf numFmtId="0" fontId="61" fillId="0" borderId="0" xfId="4" applyFont="1" applyBorder="1" applyAlignment="1">
      <alignment horizontal="left"/>
    </xf>
    <xf numFmtId="0" fontId="86" fillId="10" borderId="30" xfId="4" applyFont="1" applyFill="1" applyBorder="1" applyAlignment="1">
      <alignment horizontal="left"/>
    </xf>
    <xf numFmtId="0" fontId="86" fillId="10" borderId="6" xfId="4" applyFont="1" applyFill="1" applyBorder="1" applyAlignment="1">
      <alignment horizontal="left"/>
    </xf>
    <xf numFmtId="0" fontId="86" fillId="11" borderId="30" xfId="4" applyFont="1" applyFill="1" applyBorder="1"/>
    <xf numFmtId="0" fontId="86" fillId="11" borderId="6" xfId="4" applyFont="1" applyFill="1" applyBorder="1"/>
    <xf numFmtId="166" fontId="76" fillId="0" borderId="0" xfId="0" applyNumberFormat="1" applyFont="1"/>
    <xf numFmtId="0" fontId="52" fillId="0" borderId="1" xfId="0" applyFont="1" applyBorder="1" applyAlignment="1">
      <alignment horizontal="left"/>
    </xf>
    <xf numFmtId="174" fontId="51" fillId="0" borderId="1" xfId="0" applyNumberFormat="1" applyFont="1" applyBorder="1" applyAlignment="1">
      <alignment horizontal="right"/>
    </xf>
    <xf numFmtId="0" fontId="85" fillId="0" borderId="0" xfId="23" applyFont="1" applyAlignment="1">
      <alignment horizontal="right"/>
    </xf>
    <xf numFmtId="166" fontId="33" fillId="0" borderId="0" xfId="24" quotePrefix="1" applyFont="1" applyAlignment="1">
      <alignment horizontal="left"/>
    </xf>
    <xf numFmtId="166" fontId="85" fillId="0" borderId="0" xfId="23" applyNumberFormat="1" applyFont="1"/>
    <xf numFmtId="0" fontId="31" fillId="0" borderId="0" xfId="4" applyFont="1"/>
    <xf numFmtId="174" fontId="57" fillId="0" borderId="0" xfId="2" applyNumberFormat="1" applyFont="1" applyAlignment="1">
      <alignment horizontal="left"/>
    </xf>
    <xf numFmtId="0" fontId="36" fillId="5" borderId="17" xfId="4" applyFont="1" applyFill="1" applyBorder="1" applyAlignment="1">
      <alignment horizontal="center"/>
    </xf>
    <xf numFmtId="0" fontId="36" fillId="5" borderId="18" xfId="4" applyFont="1" applyFill="1" applyBorder="1" applyAlignment="1">
      <alignment horizontal="center"/>
    </xf>
    <xf numFmtId="166" fontId="49" fillId="0" borderId="15" xfId="4" applyNumberFormat="1" applyFont="1" applyFill="1" applyBorder="1"/>
    <xf numFmtId="166" fontId="49" fillId="0" borderId="0" xfId="4" applyNumberFormat="1" applyFont="1" applyFill="1" applyBorder="1"/>
    <xf numFmtId="0" fontId="93" fillId="14" borderId="2" xfId="0" applyFont="1" applyFill="1" applyBorder="1" applyAlignment="1">
      <alignment horizontal="center"/>
    </xf>
    <xf numFmtId="0" fontId="93" fillId="14" borderId="0" xfId="0" applyFont="1" applyFill="1" applyAlignment="1">
      <alignment horizontal="center"/>
    </xf>
    <xf numFmtId="0" fontId="93" fillId="14" borderId="24" xfId="0" applyFont="1" applyFill="1" applyBorder="1" applyAlignment="1">
      <alignment horizontal="center" vertical="center"/>
    </xf>
    <xf numFmtId="0" fontId="93" fillId="14" borderId="25" xfId="0" applyFont="1" applyFill="1" applyBorder="1" applyAlignment="1">
      <alignment horizontal="center" vertical="center"/>
    </xf>
    <xf numFmtId="0" fontId="88" fillId="0" borderId="0" xfId="70" applyFont="1" applyAlignment="1">
      <alignment horizontal="center" wrapText="1"/>
    </xf>
    <xf numFmtId="0" fontId="88" fillId="0" borderId="0" xfId="70" applyFont="1" applyAlignment="1">
      <alignment horizontal="left" wrapText="1"/>
    </xf>
    <xf numFmtId="0" fontId="100" fillId="0" borderId="0" xfId="70" applyFont="1" applyBorder="1" applyAlignment="1">
      <alignment wrapText="1"/>
    </xf>
    <xf numFmtId="0" fontId="82" fillId="0" borderId="0" xfId="0" applyFont="1" applyAlignment="1">
      <alignment wrapText="1"/>
    </xf>
    <xf numFmtId="0" fontId="100" fillId="0" borderId="0" xfId="70" applyFont="1" applyAlignment="1">
      <alignment wrapText="1"/>
    </xf>
    <xf numFmtId="0" fontId="81" fillId="0" borderId="0" xfId="0" applyFont="1" applyAlignment="1">
      <alignment wrapText="1"/>
    </xf>
    <xf numFmtId="0" fontId="88" fillId="0" borderId="0" xfId="0" applyFont="1" applyAlignment="1">
      <alignment horizontal="left" wrapText="1"/>
    </xf>
  </cellXfs>
  <cellStyles count="178">
    <cellStyle name="Comma" xfId="40" builtinId="3"/>
    <cellStyle name="Comma 2" xfId="1"/>
    <cellStyle name="Comma 2 2" xfId="26"/>
    <cellStyle name="Comma 3" xfId="11"/>
    <cellStyle name="Comma 4" xfId="14"/>
    <cellStyle name="Currency" xfId="73" builtinId="4"/>
    <cellStyle name="Currency 2" xfId="2"/>
    <cellStyle name="Currency 2 2" xfId="24"/>
    <cellStyle name="Currency 3" xfId="12"/>
    <cellStyle name="Currency 4" xfId="32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2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1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Normal" xfId="0" builtinId="0"/>
    <cellStyle name="Normal 10" xfId="19"/>
    <cellStyle name="Normal 10 2" xfId="34"/>
    <cellStyle name="Normal 11" xfId="21"/>
    <cellStyle name="Normal 11 2" xfId="37"/>
    <cellStyle name="Normal 12" xfId="22"/>
    <cellStyle name="Normal 13" xfId="35"/>
    <cellStyle name="Normal 14" xfId="36"/>
    <cellStyle name="Normal 15" xfId="38"/>
    <cellStyle name="Normal 16" xfId="39"/>
    <cellStyle name="Normal 17" xfId="41"/>
    <cellStyle name="Normal 18" xfId="42"/>
    <cellStyle name="Normal 19" xfId="43"/>
    <cellStyle name="Normal 2" xfId="3"/>
    <cellStyle name="Normal 20" xfId="44"/>
    <cellStyle name="Normal 21" xfId="45"/>
    <cellStyle name="Normal 22" xfId="47"/>
    <cellStyle name="Normal 23" xfId="48"/>
    <cellStyle name="Normal 24" xfId="49"/>
    <cellStyle name="Normal 25" xfId="50"/>
    <cellStyle name="Normal 26" xfId="51"/>
    <cellStyle name="Normal 27" xfId="52"/>
    <cellStyle name="Normal 28" xfId="53"/>
    <cellStyle name="Normal 29" xfId="70"/>
    <cellStyle name="Normal 3" xfId="4"/>
    <cellStyle name="Normal 3 2" xfId="23"/>
    <cellStyle name="Normal 4" xfId="5"/>
    <cellStyle name="Normal 4 2" xfId="27"/>
    <cellStyle name="Normal 5" xfId="6"/>
    <cellStyle name="Normal 5 2" xfId="28"/>
    <cellStyle name="Normal 6" xfId="13"/>
    <cellStyle name="Normal 6 2" xfId="29"/>
    <cellStyle name="Normal 7" xfId="16"/>
    <cellStyle name="Normal 7 2" xfId="30"/>
    <cellStyle name="Normal 8" xfId="17"/>
    <cellStyle name="Normal 8 2" xfId="20"/>
    <cellStyle name="Normal 8 3" xfId="31"/>
    <cellStyle name="Normal 9" xfId="18"/>
    <cellStyle name="Normal 9 2" xfId="33"/>
    <cellStyle name="Normal_Scripophily 2" xfId="8"/>
    <cellStyle name="Normal_ScripophilyUISES 2" xfId="9"/>
    <cellStyle name="Normal_temp 2" xfId="10"/>
    <cellStyle name="Percent" xfId="46" builtinId="5"/>
    <cellStyle name="Percent 2" xfId="7"/>
    <cellStyle name="Percent 2 2" xfId="25"/>
    <cellStyle name="Percent 3" xfId="1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3327400</xdr:colOff>
      <xdr:row>18</xdr:row>
      <xdr:rowOff>117475</xdr:rowOff>
    </xdr:to>
    <xdr:pic>
      <xdr:nvPicPr>
        <xdr:cNvPr id="2" name="Picture 1" descr="日本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223000" cy="3800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12700</xdr:colOff>
      <xdr:row>1</xdr:row>
      <xdr:rowOff>25400</xdr:rowOff>
    </xdr:to>
    <xdr:pic>
      <xdr:nvPicPr>
        <xdr:cNvPr id="5" name="Picture 4" descr="鸟.gif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16200" cy="101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546100</xdr:colOff>
      <xdr:row>1</xdr:row>
      <xdr:rowOff>12701</xdr:rowOff>
    </xdr:to>
    <xdr:pic>
      <xdr:nvPicPr>
        <xdr:cNvPr id="2" name="Picture 1" descr="镜海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476500" cy="10033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248920</xdr:colOff>
      <xdr:row>1</xdr:row>
      <xdr:rowOff>12700</xdr:rowOff>
    </xdr:to>
    <xdr:pic>
      <xdr:nvPicPr>
        <xdr:cNvPr id="2" name="Picture 1" descr="火车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768600" cy="10033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0</xdr:colOff>
      <xdr:row>1</xdr:row>
      <xdr:rowOff>25401</xdr:rowOff>
    </xdr:to>
    <xdr:pic>
      <xdr:nvPicPr>
        <xdr:cNvPr id="2" name="Picture 1" descr="紫色天空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628900" cy="101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0</xdr:colOff>
      <xdr:row>1</xdr:row>
      <xdr:rowOff>12700</xdr:rowOff>
    </xdr:to>
    <xdr:pic>
      <xdr:nvPicPr>
        <xdr:cNvPr id="2" name="Picture 1" descr="WechatIMG1.jpe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84500" cy="1003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issezhao/Downloads/ScripophilyD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issezhao/Downloads/Stewardship%20Nov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issezhao/Downloads/WaspiDate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issezhao/Downloads/stewardship/WaspiDate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ortfolio112918190"/>
      <sheetName val="Title"/>
      <sheetName val="Stewardship"/>
      <sheetName val="Transaction"/>
      <sheetName val="Income"/>
      <sheetName val="Data"/>
      <sheetName val="Management Report"/>
    </sheetNames>
    <sheetDataSet>
      <sheetData sheetId="0" refreshError="1">
        <row r="3">
          <cell r="A3" t="str">
            <v>As of 9-30-2012.</v>
          </cell>
        </row>
        <row r="4">
          <cell r="A4" t="str">
            <v>Market data is based on the most current closing prices available as of the statement date.</v>
          </cell>
        </row>
        <row r="6">
          <cell r="A6" t="str">
            <v>Portfolio</v>
          </cell>
        </row>
        <row r="7">
          <cell r="A7" t="str">
            <v>Category</v>
          </cell>
          <cell r="B7" t="str">
            <v>Asset</v>
          </cell>
          <cell r="C7" t="str">
            <v>Exchange</v>
          </cell>
          <cell r="D7" t="str">
            <v>Shares</v>
          </cell>
        </row>
        <row r="8">
          <cell r="A8" t="str">
            <v>Asset</v>
          </cell>
          <cell r="B8" t="str">
            <v>Stock</v>
          </cell>
          <cell r="C8" t="str">
            <v>NYSE</v>
          </cell>
          <cell r="D8">
            <v>2000</v>
          </cell>
        </row>
        <row r="9">
          <cell r="A9" t="str">
            <v>Asset</v>
          </cell>
          <cell r="B9" t="str">
            <v>Stock</v>
          </cell>
          <cell r="C9" t="str">
            <v>AMEX</v>
          </cell>
          <cell r="D9">
            <v>8000</v>
          </cell>
        </row>
        <row r="10">
          <cell r="A10" t="str">
            <v>Asset</v>
          </cell>
          <cell r="B10" t="str">
            <v>Stock</v>
          </cell>
          <cell r="C10" t="str">
            <v>NASDAQ</v>
          </cell>
          <cell r="D10">
            <v>2000</v>
          </cell>
        </row>
        <row r="11">
          <cell r="A11" t="str">
            <v>Asset</v>
          </cell>
          <cell r="B11" t="str">
            <v>Stock</v>
          </cell>
          <cell r="C11" t="str">
            <v>NYSE</v>
          </cell>
          <cell r="D11">
            <v>2000</v>
          </cell>
        </row>
        <row r="12">
          <cell r="A12" t="str">
            <v>Liability</v>
          </cell>
          <cell r="B12" t="str">
            <v>Stock</v>
          </cell>
          <cell r="C12" t="str">
            <v>NASDAQ</v>
          </cell>
          <cell r="D12">
            <v>-2000</v>
          </cell>
        </row>
        <row r="13">
          <cell r="A13" t="str">
            <v>Liability</v>
          </cell>
          <cell r="B13" t="str">
            <v>Stock</v>
          </cell>
          <cell r="C13" t="str">
            <v>NYSE</v>
          </cell>
          <cell r="D13">
            <v>-1000</v>
          </cell>
        </row>
        <row r="14">
          <cell r="A14" t="str">
            <v>Asset</v>
          </cell>
          <cell r="B14" t="str">
            <v>Cash</v>
          </cell>
          <cell r="C14" t="str">
            <v>.</v>
          </cell>
          <cell r="D14" t="str">
            <v>.</v>
          </cell>
        </row>
        <row r="15">
          <cell r="A15" t="str">
            <v>Totals</v>
          </cell>
          <cell r="B15" t="str">
            <v>.</v>
          </cell>
          <cell r="C15" t="str">
            <v>.</v>
          </cell>
          <cell r="D15">
            <v>11000</v>
          </cell>
        </row>
        <row r="17">
          <cell r="A17" t="str">
            <v>Currency Rates:</v>
          </cell>
          <cell r="B17" t="str">
            <v>1 USD =   0.7778 EUR =   0.9837 CAD =   0.6186 GBP =  78.0031 JPY =   7.7544 HKD =  52.8597 INR =  31.1497 RUB =  29.3401 TWD = 112.3471 KRW =   2.0300 BRL</v>
          </cell>
        </row>
        <row r="19">
          <cell r="A19" t="str">
            <v>Orders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itle"/>
      <sheetName val="Stewardship"/>
      <sheetName val="EquityT"/>
      <sheetName val="CurrencyT"/>
      <sheetName val="Dividends"/>
      <sheetName val="Cash"/>
      <sheetName val="Management Report"/>
      <sheetName val="Data"/>
      <sheetName val="Portfolio11611315317.csv"/>
      <sheetName val="Managed UISES"/>
      <sheetName val="Sheet1"/>
    </sheetNames>
    <sheetDataSet>
      <sheetData sheetId="0"/>
      <sheetData sheetId="1"/>
      <sheetData sheetId="2">
        <row r="2">
          <cell r="K2">
            <v>42704</v>
          </cell>
        </row>
        <row r="4">
          <cell r="B4" t="str">
            <v>Ticker</v>
          </cell>
          <cell r="K4" t="str">
            <v>Book Value</v>
          </cell>
        </row>
        <row r="5">
          <cell r="B5" t="str">
            <v>JOBS</v>
          </cell>
          <cell r="K5">
            <v>0</v>
          </cell>
        </row>
        <row r="6">
          <cell r="B6" t="str">
            <v>JOBS</v>
          </cell>
          <cell r="K6">
            <v>0</v>
          </cell>
        </row>
        <row r="7">
          <cell r="B7" t="str">
            <v>BABA</v>
          </cell>
          <cell r="E7">
            <v>1000</v>
          </cell>
          <cell r="K7">
            <v>0</v>
          </cell>
        </row>
        <row r="8">
          <cell r="B8" t="str">
            <v>BABA</v>
          </cell>
          <cell r="E8">
            <v>5000</v>
          </cell>
          <cell r="K8">
            <v>0</v>
          </cell>
        </row>
        <row r="9">
          <cell r="B9" t="str">
            <v>BABA</v>
          </cell>
          <cell r="E9">
            <v>-1000</v>
          </cell>
          <cell r="K9">
            <v>520683.33</v>
          </cell>
        </row>
        <row r="10">
          <cell r="B10" t="str">
            <v>AEE</v>
          </cell>
          <cell r="E10">
            <v>2000</v>
          </cell>
          <cell r="K10">
            <v>101120</v>
          </cell>
        </row>
        <row r="11">
          <cell r="B11" t="str">
            <v>AMZN</v>
          </cell>
          <cell r="E11">
            <v>6000</v>
          </cell>
          <cell r="K11">
            <v>0</v>
          </cell>
        </row>
        <row r="12">
          <cell r="B12" t="str">
            <v>AMZN</v>
          </cell>
          <cell r="E12">
            <v>-6500</v>
          </cell>
          <cell r="K12">
            <v>-394910</v>
          </cell>
        </row>
        <row r="13">
          <cell r="B13" t="str">
            <v>GOOGL</v>
          </cell>
          <cell r="E13">
            <v>1000</v>
          </cell>
          <cell r="K13">
            <v>814960</v>
          </cell>
        </row>
        <row r="14">
          <cell r="B14" t="str">
            <v>AAPL</v>
          </cell>
          <cell r="E14">
            <v>1000</v>
          </cell>
          <cell r="K14">
            <v>0</v>
          </cell>
        </row>
        <row r="15">
          <cell r="B15" t="str">
            <v>AAPL</v>
          </cell>
          <cell r="E15">
            <v>-500</v>
          </cell>
          <cell r="K15">
            <v>0</v>
          </cell>
        </row>
        <row r="16">
          <cell r="B16" t="str">
            <v>AAPL</v>
          </cell>
          <cell r="E16">
            <v>5000</v>
          </cell>
          <cell r="K16">
            <v>642430</v>
          </cell>
        </row>
        <row r="17">
          <cell r="B17" t="str">
            <v>BAC</v>
          </cell>
          <cell r="E17">
            <v>1000</v>
          </cell>
          <cell r="K17">
            <v>0</v>
          </cell>
        </row>
        <row r="18">
          <cell r="B18" t="str">
            <v>BAC</v>
          </cell>
          <cell r="E18">
            <v>-5000</v>
          </cell>
          <cell r="K18">
            <v>-62400</v>
          </cell>
        </row>
        <row r="19">
          <cell r="B19" t="str">
            <v>BCS</v>
          </cell>
          <cell r="E19">
            <v>1000</v>
          </cell>
          <cell r="K19">
            <v>0</v>
          </cell>
        </row>
        <row r="20">
          <cell r="B20" t="str">
            <v>BCS</v>
          </cell>
          <cell r="E20">
            <v>-1000</v>
          </cell>
          <cell r="K20">
            <v>0</v>
          </cell>
        </row>
        <row r="21">
          <cell r="B21" t="str">
            <v>COG</v>
          </cell>
          <cell r="E21">
            <v>1000</v>
          </cell>
          <cell r="K21">
            <v>0</v>
          </cell>
        </row>
        <row r="22">
          <cell r="B22" t="str">
            <v>COG</v>
          </cell>
          <cell r="E22">
            <v>5000</v>
          </cell>
          <cell r="K22">
            <v>154090</v>
          </cell>
        </row>
        <row r="23">
          <cell r="B23" t="str">
            <v>DB</v>
          </cell>
          <cell r="E23">
            <v>-2000</v>
          </cell>
          <cell r="K23">
            <v>-26180</v>
          </cell>
        </row>
        <row r="24">
          <cell r="B24" t="str">
            <v>DUK</v>
          </cell>
          <cell r="E24">
            <v>2000</v>
          </cell>
          <cell r="K24">
            <v>162860</v>
          </cell>
        </row>
        <row r="25">
          <cell r="B25" t="str">
            <v>XOM</v>
          </cell>
          <cell r="E25">
            <v>-2000</v>
          </cell>
          <cell r="K25">
            <v>-165080</v>
          </cell>
        </row>
        <row r="26">
          <cell r="B26" t="str">
            <v>F</v>
          </cell>
          <cell r="E26">
            <v>3000</v>
          </cell>
          <cell r="K26">
            <v>36420</v>
          </cell>
        </row>
        <row r="27">
          <cell r="B27" t="str">
            <v>GE</v>
          </cell>
          <cell r="E27">
            <v>1000</v>
          </cell>
          <cell r="K27">
            <v>30490</v>
          </cell>
        </row>
        <row r="28">
          <cell r="B28" t="str">
            <v>JBLU</v>
          </cell>
          <cell r="E28">
            <v>1000</v>
          </cell>
          <cell r="K28">
            <v>0</v>
          </cell>
        </row>
        <row r="29">
          <cell r="B29" t="str">
            <v>JBLU</v>
          </cell>
          <cell r="E29">
            <v>-1000</v>
          </cell>
          <cell r="K29">
            <v>0</v>
          </cell>
        </row>
        <row r="30">
          <cell r="B30" t="str">
            <v>JBLU</v>
          </cell>
          <cell r="E30">
            <v>5000</v>
          </cell>
          <cell r="K30">
            <v>0</v>
          </cell>
        </row>
        <row r="31">
          <cell r="B31" t="str">
            <v>JBLU</v>
          </cell>
          <cell r="E31">
            <v>-5000</v>
          </cell>
          <cell r="K31">
            <v>0</v>
          </cell>
        </row>
        <row r="32">
          <cell r="B32" t="str">
            <v>JPM</v>
          </cell>
          <cell r="E32">
            <v>-2000</v>
          </cell>
          <cell r="K32">
            <v>-134320</v>
          </cell>
        </row>
        <row r="33">
          <cell r="B33" t="str">
            <v>LFL</v>
          </cell>
          <cell r="E33">
            <v>1000</v>
          </cell>
          <cell r="K33">
            <v>0</v>
          </cell>
        </row>
        <row r="34">
          <cell r="B34" t="str">
            <v>LFL</v>
          </cell>
          <cell r="E34">
            <v>4000</v>
          </cell>
          <cell r="K34">
            <v>0</v>
          </cell>
        </row>
        <row r="35">
          <cell r="B35" t="str">
            <v>LFL</v>
          </cell>
          <cell r="E35">
            <v>-5000</v>
          </cell>
          <cell r="K35">
            <v>0</v>
          </cell>
        </row>
        <row r="36">
          <cell r="B36" t="str">
            <v>MAR</v>
          </cell>
          <cell r="E36">
            <v>10000</v>
          </cell>
          <cell r="K36">
            <v>0</v>
          </cell>
        </row>
        <row r="37">
          <cell r="B37" t="str">
            <v>MAR</v>
          </cell>
          <cell r="E37">
            <v>-10000</v>
          </cell>
          <cell r="K37">
            <v>0</v>
          </cell>
        </row>
        <row r="38">
          <cell r="B38" t="str">
            <v>NKE</v>
          </cell>
          <cell r="E38">
            <v>1000</v>
          </cell>
          <cell r="K38">
            <v>54400</v>
          </cell>
        </row>
        <row r="39">
          <cell r="B39" t="str">
            <v>SENEA</v>
          </cell>
          <cell r="E39">
            <v>-3000</v>
          </cell>
          <cell r="K39">
            <v>-85410</v>
          </cell>
        </row>
        <row r="40">
          <cell r="B40" t="str">
            <v>SORL</v>
          </cell>
          <cell r="E40">
            <v>-2000</v>
          </cell>
          <cell r="K40">
            <v>0</v>
          </cell>
        </row>
        <row r="41">
          <cell r="B41" t="str">
            <v>SORL</v>
          </cell>
          <cell r="E41">
            <v>5000</v>
          </cell>
          <cell r="K41">
            <v>12030</v>
          </cell>
        </row>
        <row r="42">
          <cell r="B42" t="str">
            <v>SBUX</v>
          </cell>
          <cell r="E42">
            <v>2000</v>
          </cell>
          <cell r="K42">
            <v>0</v>
          </cell>
        </row>
        <row r="43">
          <cell r="B43" t="str">
            <v>SBUX</v>
          </cell>
          <cell r="E43">
            <v>-2000</v>
          </cell>
          <cell r="K43">
            <v>0</v>
          </cell>
        </row>
        <row r="44">
          <cell r="B44" t="str">
            <v>WFC</v>
          </cell>
          <cell r="E44">
            <v>1000</v>
          </cell>
          <cell r="K44">
            <v>0</v>
          </cell>
        </row>
        <row r="45">
          <cell r="B45" t="str">
            <v>WFC</v>
          </cell>
          <cell r="E45">
            <v>-5000</v>
          </cell>
          <cell r="K45">
            <v>-177120</v>
          </cell>
        </row>
        <row r="46">
          <cell r="B46" t="str">
            <v>YHOO</v>
          </cell>
          <cell r="E46">
            <v>1000</v>
          </cell>
          <cell r="K46">
            <v>0</v>
          </cell>
        </row>
        <row r="47">
          <cell r="B47" t="str">
            <v>YHOO</v>
          </cell>
          <cell r="E47">
            <v>-1000</v>
          </cell>
          <cell r="K47">
            <v>0</v>
          </cell>
        </row>
        <row r="48">
          <cell r="K48">
            <v>1484063.33</v>
          </cell>
        </row>
        <row r="51">
          <cell r="B51" t="str">
            <v>Ticker</v>
          </cell>
          <cell r="E51" t="str">
            <v>Shares</v>
          </cell>
          <cell r="K51" t="str">
            <v>Book Value</v>
          </cell>
        </row>
        <row r="52">
          <cell r="B52" t="str">
            <v>600030.SS</v>
          </cell>
          <cell r="E52">
            <v>500</v>
          </cell>
          <cell r="K52">
            <v>8605</v>
          </cell>
        </row>
        <row r="53">
          <cell r="K53" t="str">
            <v/>
          </cell>
        </row>
        <row r="54">
          <cell r="K54" t="str">
            <v/>
          </cell>
        </row>
        <row r="55">
          <cell r="K55" t="str">
            <v/>
          </cell>
        </row>
        <row r="56">
          <cell r="K56" t="str">
            <v/>
          </cell>
        </row>
        <row r="57">
          <cell r="K57">
            <v>8605</v>
          </cell>
        </row>
      </sheetData>
      <sheetData sheetId="3"/>
      <sheetData sheetId="4">
        <row r="13">
          <cell r="I13">
            <v>0</v>
          </cell>
        </row>
        <row r="25">
          <cell r="I25">
            <v>0</v>
          </cell>
        </row>
        <row r="31">
          <cell r="I31">
            <v>0</v>
          </cell>
        </row>
        <row r="42">
          <cell r="I42">
            <v>0</v>
          </cell>
        </row>
      </sheetData>
      <sheetData sheetId="5">
        <row r="4">
          <cell r="C4">
            <v>4000000</v>
          </cell>
        </row>
      </sheetData>
      <sheetData sheetId="6"/>
      <sheetData sheetId="7">
        <row r="3">
          <cell r="A3" t="str">
            <v>JOBS</v>
          </cell>
          <cell r="B3" t="str">
            <v>51JOB</v>
          </cell>
          <cell r="C3" t="str">
            <v>NASDAQ</v>
          </cell>
          <cell r="D3">
            <v>35.369999999999997</v>
          </cell>
        </row>
        <row r="4">
          <cell r="A4" t="str">
            <v>BABA</v>
          </cell>
          <cell r="B4" t="str">
            <v>ALIBABA GROUP</v>
          </cell>
          <cell r="C4" t="str">
            <v>NYSE</v>
          </cell>
          <cell r="D4">
            <v>94.02</v>
          </cell>
        </row>
        <row r="5">
          <cell r="A5" t="str">
            <v>GOOGL</v>
          </cell>
          <cell r="B5" t="str">
            <v>Alphabet Inc. Class A</v>
          </cell>
          <cell r="C5" t="str">
            <v>NASDAQ</v>
          </cell>
          <cell r="D5">
            <v>775.88</v>
          </cell>
        </row>
        <row r="6">
          <cell r="A6" t="str">
            <v>AMZN</v>
          </cell>
          <cell r="B6" t="str">
            <v>Amazon.com, Inc.</v>
          </cell>
          <cell r="C6" t="str">
            <v>NASDAQ</v>
          </cell>
          <cell r="D6">
            <v>750.57</v>
          </cell>
        </row>
        <row r="7">
          <cell r="A7" t="str">
            <v>AEE</v>
          </cell>
          <cell r="B7" t="str">
            <v>AMEREN</v>
          </cell>
          <cell r="C7" t="str">
            <v>NYSE</v>
          </cell>
          <cell r="D7">
            <v>49.12</v>
          </cell>
        </row>
        <row r="8">
          <cell r="A8" t="str">
            <v>AAPL</v>
          </cell>
          <cell r="B8" t="str">
            <v>Apple Inc.</v>
          </cell>
          <cell r="C8" t="str">
            <v>NASDAQ</v>
          </cell>
          <cell r="D8">
            <v>110.52</v>
          </cell>
        </row>
        <row r="9">
          <cell r="A9" t="str">
            <v>BAC</v>
          </cell>
          <cell r="B9" t="str">
            <v>BANK OF AMERICA</v>
          </cell>
          <cell r="C9" t="str">
            <v>NYSE</v>
          </cell>
          <cell r="D9">
            <v>21.12</v>
          </cell>
        </row>
        <row r="10">
          <cell r="A10" t="str">
            <v>BCS</v>
          </cell>
          <cell r="B10" t="str">
            <v>BARCLAYS</v>
          </cell>
          <cell r="C10" t="str">
            <v>NYSE</v>
          </cell>
          <cell r="D10">
            <v>10.75</v>
          </cell>
        </row>
        <row r="11">
          <cell r="A11" t="str">
            <v>COG</v>
          </cell>
          <cell r="B11" t="str">
            <v>CABOT OIL &amp; GAS A</v>
          </cell>
          <cell r="C11" t="str">
            <v>NYSE</v>
          </cell>
          <cell r="D11">
            <v>22.12</v>
          </cell>
        </row>
        <row r="12">
          <cell r="A12" t="str">
            <v>DB</v>
          </cell>
          <cell r="B12" t="str">
            <v>DEUTSCHE BANK</v>
          </cell>
          <cell r="C12" t="str">
            <v>NYSE</v>
          </cell>
          <cell r="D12">
            <v>15.8</v>
          </cell>
        </row>
        <row r="13">
          <cell r="A13" t="str">
            <v>DUK</v>
          </cell>
          <cell r="B13" t="str">
            <v>DUKE ENERGY</v>
          </cell>
          <cell r="C13" t="str">
            <v>NYSE</v>
          </cell>
          <cell r="D13">
            <v>73.77</v>
          </cell>
        </row>
        <row r="14">
          <cell r="A14" t="str">
            <v>XOM</v>
          </cell>
          <cell r="B14" t="str">
            <v>Exxon Mobil Corporation</v>
          </cell>
          <cell r="C14" t="str">
            <v>NYSE</v>
          </cell>
          <cell r="D14">
            <v>87.3</v>
          </cell>
        </row>
        <row r="15">
          <cell r="A15" t="str">
            <v>F</v>
          </cell>
          <cell r="B15" t="str">
            <v>Ford Motor Co.</v>
          </cell>
          <cell r="C15" t="str">
            <v>NYSE</v>
          </cell>
          <cell r="D15">
            <v>11.96</v>
          </cell>
        </row>
        <row r="16">
          <cell r="A16" t="str">
            <v>GE</v>
          </cell>
          <cell r="B16" t="str">
            <v>GENERAL ELECTRIC CO</v>
          </cell>
          <cell r="C16" t="str">
            <v>NYSE</v>
          </cell>
          <cell r="D16">
            <v>30.76</v>
          </cell>
        </row>
        <row r="17">
          <cell r="A17" t="str">
            <v>JBLU</v>
          </cell>
          <cell r="B17" t="str">
            <v>JETBLUE AIRWAYS</v>
          </cell>
          <cell r="C17" t="str">
            <v>NASDAQ</v>
          </cell>
          <cell r="D17">
            <v>20.09</v>
          </cell>
        </row>
        <row r="18">
          <cell r="A18" t="str">
            <v>JPM</v>
          </cell>
          <cell r="B18" t="str">
            <v>J P MORGAN CHASE &amp; CO</v>
          </cell>
          <cell r="C18" t="str">
            <v>NYSE</v>
          </cell>
          <cell r="D18">
            <v>80.17</v>
          </cell>
        </row>
        <row r="19">
          <cell r="A19" t="str">
            <v>LFL</v>
          </cell>
          <cell r="B19" t="str">
            <v>LAN AIRLINES</v>
          </cell>
          <cell r="C19" t="str">
            <v>NYSE</v>
          </cell>
          <cell r="D19">
            <v>9.59</v>
          </cell>
        </row>
        <row r="20">
          <cell r="A20" t="str">
            <v>MAR</v>
          </cell>
          <cell r="B20" t="str">
            <v>MARRIOTT INTL A</v>
          </cell>
          <cell r="C20" t="str">
            <v>NYSE</v>
          </cell>
          <cell r="D20">
            <v>78.78</v>
          </cell>
        </row>
        <row r="21">
          <cell r="A21" t="str">
            <v>NKE</v>
          </cell>
          <cell r="B21" t="str">
            <v>NIKE INC B</v>
          </cell>
          <cell r="C21" t="str">
            <v>NYSE</v>
          </cell>
          <cell r="D21">
            <v>50.07</v>
          </cell>
        </row>
        <row r="22">
          <cell r="A22" t="str">
            <v>SENEA</v>
          </cell>
          <cell r="B22" t="str">
            <v>SENECA FOODS CORP A</v>
          </cell>
          <cell r="C22" t="str">
            <v>NASDAQ</v>
          </cell>
          <cell r="D22">
            <v>37.6</v>
          </cell>
        </row>
        <row r="23">
          <cell r="A23" t="str">
            <v>SORL</v>
          </cell>
          <cell r="B23" t="str">
            <v>SORL AUTO PARTS</v>
          </cell>
          <cell r="C23" t="str">
            <v>NASDAQ</v>
          </cell>
          <cell r="D23">
            <v>3.84</v>
          </cell>
        </row>
        <row r="24">
          <cell r="A24" t="str">
            <v>SBUX</v>
          </cell>
          <cell r="B24" t="str">
            <v>Starbucks Corporation</v>
          </cell>
          <cell r="C24" t="str">
            <v>NASDAQ</v>
          </cell>
          <cell r="D24">
            <v>57.97</v>
          </cell>
        </row>
        <row r="25">
          <cell r="A25" t="str">
            <v>WFC</v>
          </cell>
          <cell r="B25" t="str">
            <v>WELLS FARGO &amp; CO</v>
          </cell>
          <cell r="C25" t="str">
            <v>NYSE</v>
          </cell>
          <cell r="D25">
            <v>52.92</v>
          </cell>
        </row>
        <row r="26">
          <cell r="A26" t="str">
            <v>YHOO</v>
          </cell>
          <cell r="B26" t="str">
            <v>YAHOO</v>
          </cell>
          <cell r="C26" t="str">
            <v>NASDAQ</v>
          </cell>
          <cell r="D26">
            <v>41.02</v>
          </cell>
        </row>
        <row r="27">
          <cell r="A27" t="str">
            <v>600030.SS</v>
          </cell>
          <cell r="B27" t="str">
            <v>CITIC Securities Co., Ltd.</v>
          </cell>
          <cell r="C27" t="str">
            <v>SHANGHAI</v>
          </cell>
          <cell r="D27">
            <v>17.75</v>
          </cell>
        </row>
        <row r="39">
          <cell r="A39" t="str">
            <v>ZZZ</v>
          </cell>
          <cell r="B39" t="str">
            <v>END OF FILE</v>
          </cell>
        </row>
        <row r="44">
          <cell r="A44" t="str">
            <v>1 USD =   0.8736 EUR =   1.2552 CAD =   0.6845 GBP = 106.3603 JPY =   7.7571 HKD =  66.3967 INR =  65.6814 RUB =  32.2789 TWD = 145.4754 KRW =   3.4358 BRL =   6.4737 CNY</v>
          </cell>
        </row>
        <row r="46">
          <cell r="A46" t="str">
            <v>This sheet is used to manage the account but is not included in the stewardship report you hand to the client.</v>
          </cell>
        </row>
        <row r="49">
          <cell r="B49" t="str">
            <v>Currency</v>
          </cell>
          <cell r="C49" t="str">
            <v>Market Price</v>
          </cell>
          <cell r="D49" t="str">
            <v>Cross Rate</v>
          </cell>
        </row>
        <row r="50">
          <cell r="A50" t="str">
            <v>USD</v>
          </cell>
          <cell r="B50" t="str">
            <v>US Dollars</v>
          </cell>
          <cell r="C50">
            <v>1</v>
          </cell>
          <cell r="D50">
            <v>1</v>
          </cell>
        </row>
        <row r="51">
          <cell r="A51" t="str">
            <v>EUR</v>
          </cell>
          <cell r="B51" t="str">
            <v>Euro</v>
          </cell>
          <cell r="C51">
            <v>0.94510000000000005</v>
          </cell>
          <cell r="D51">
            <v>1.0580830000000001</v>
          </cell>
        </row>
        <row r="52">
          <cell r="A52" t="str">
            <v>GBP</v>
          </cell>
          <cell r="B52" t="str">
            <v>Pounds Sterling</v>
          </cell>
          <cell r="C52">
            <v>0.80089999999999995</v>
          </cell>
          <cell r="D52">
            <v>1.248532</v>
          </cell>
        </row>
        <row r="53">
          <cell r="A53" t="str">
            <v>CAD</v>
          </cell>
          <cell r="B53" t="str">
            <v>Canadian Dollars</v>
          </cell>
          <cell r="C53">
            <v>1.3428</v>
          </cell>
          <cell r="D53">
            <v>0.74473699999999998</v>
          </cell>
        </row>
        <row r="54">
          <cell r="A54" t="str">
            <v>CHN</v>
          </cell>
          <cell r="B54" t="str">
            <v>Chinese Yuan</v>
          </cell>
          <cell r="C54">
            <v>6.8906000000000001</v>
          </cell>
          <cell r="D54">
            <v>0.145126</v>
          </cell>
        </row>
        <row r="55">
          <cell r="A55" t="str">
            <v>JPY</v>
          </cell>
          <cell r="B55" t="str">
            <v>Japanese Yen</v>
          </cell>
          <cell r="C55">
            <v>114.3201</v>
          </cell>
          <cell r="D55">
            <v>8.7469999999999996E-3</v>
          </cell>
        </row>
      </sheetData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Title"/>
      <sheetName val="Stewardship"/>
      <sheetName val="EquityT"/>
      <sheetName val="CurrencyT"/>
      <sheetName val="Dividends"/>
      <sheetName val="Cash"/>
      <sheetName val="Data"/>
      <sheetName val="Management Report"/>
      <sheetName val="Portfolio11633014535"/>
      <sheetName val="UI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A3" t="str">
            <v>COP</v>
          </cell>
          <cell r="B3" t="str">
            <v>CONOCOPHILLIPS CORP</v>
          </cell>
        </row>
        <row r="4">
          <cell r="A4" t="str">
            <v>LLY</v>
          </cell>
          <cell r="B4" t="str">
            <v>LILLY ELI &amp; CO</v>
          </cell>
        </row>
        <row r="5">
          <cell r="A5" t="str">
            <v>FB</v>
          </cell>
          <cell r="B5" t="str">
            <v>FACEBOOK</v>
          </cell>
        </row>
        <row r="6">
          <cell r="A6" t="str">
            <v>RAIL</v>
          </cell>
          <cell r="B6" t="str">
            <v>FreightCar America Inc.</v>
          </cell>
        </row>
        <row r="7">
          <cell r="A7" t="str">
            <v>JNJ</v>
          </cell>
          <cell r="B7" t="str">
            <v>JOHNSON &amp; JOHNSON</v>
          </cell>
        </row>
        <row r="8">
          <cell r="A8" t="str">
            <v>LLY</v>
          </cell>
          <cell r="B8" t="str">
            <v>LILLY ELI &amp; CO</v>
          </cell>
        </row>
        <row r="9">
          <cell r="A9" t="str">
            <v>OLN</v>
          </cell>
          <cell r="B9" t="str">
            <v>OLIN</v>
          </cell>
        </row>
        <row r="10">
          <cell r="A10" t="str">
            <v>VRX</v>
          </cell>
          <cell r="B10" t="str">
            <v>VALEANT PHARMACEUTICALS INTL</v>
          </cell>
        </row>
        <row r="11">
          <cell r="A11" t="str">
            <v>BATS.L</v>
          </cell>
          <cell r="B11" t="str">
            <v>BRITISH AMERICAN TOBACCO</v>
          </cell>
        </row>
        <row r="12">
          <cell r="A12" t="str">
            <v>GSK.L</v>
          </cell>
          <cell r="B12" t="str">
            <v>GLAXOSMITHKLINE</v>
          </cell>
        </row>
        <row r="13">
          <cell r="A13" t="str">
            <v>VOW.DE</v>
          </cell>
          <cell r="B13" t="str">
            <v>VOLKSWAGEN</v>
          </cell>
        </row>
        <row r="33">
          <cell r="A33" t="str">
            <v>ZZZ</v>
          </cell>
          <cell r="B33" t="str">
            <v>END OF FILE</v>
          </cell>
        </row>
        <row r="44">
          <cell r="B44" t="str">
            <v>US Dollars</v>
          </cell>
        </row>
        <row r="45">
          <cell r="B45" t="str">
            <v>Euro</v>
          </cell>
        </row>
        <row r="46">
          <cell r="B46" t="str">
            <v>Pounds Sterling</v>
          </cell>
        </row>
        <row r="47">
          <cell r="B47" t="str">
            <v>Canadian Dollars</v>
          </cell>
        </row>
        <row r="48">
          <cell r="B48" t="str">
            <v>Chinese Yuan</v>
          </cell>
        </row>
        <row r="49">
          <cell r="B49" t="str">
            <v>Japanese Yen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Title"/>
      <sheetName val="Stewardship"/>
      <sheetName val="EquityT"/>
      <sheetName val="CurrencyT"/>
      <sheetName val="Dividends"/>
      <sheetName val="Cash"/>
      <sheetName val="Data"/>
      <sheetName val="Management Report"/>
      <sheetName val="Portfolio11633014535"/>
      <sheetName val="UISE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>
        <row r="47">
          <cell r="B47" t="str">
            <v>Canadian Dollars</v>
          </cell>
        </row>
      </sheetData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B2:B4"/>
  <sheetViews>
    <sheetView workbookViewId="0"/>
  </sheetViews>
  <sheetFormatPr baseColWidth="10" defaultColWidth="9.1640625" defaultRowHeight="12" x14ac:dyDescent="0"/>
  <cols>
    <col min="1" max="1" width="38" style="83" customWidth="1"/>
    <col min="2" max="2" width="77.83203125" style="83" customWidth="1"/>
    <col min="3" max="16384" width="9.1640625" style="83"/>
  </cols>
  <sheetData>
    <row r="2" spans="2:2" ht="56">
      <c r="B2" s="96" t="s">
        <v>249</v>
      </c>
    </row>
    <row r="3" spans="2:2" ht="27">
      <c r="B3" s="95" t="s">
        <v>0</v>
      </c>
    </row>
    <row r="4" spans="2:2" ht="27">
      <c r="B4" s="94">
        <v>42704</v>
      </c>
    </row>
  </sheetData>
  <phoneticPr fontId="68" type="noConversion"/>
  <printOptions horizontalCentered="1"/>
  <pageMargins left="0.43000000000000005" right="0.43000000000000005" top="0.43000000000000005" bottom="1.2700000000000002" header="0.5" footer="0.5"/>
  <pageSetup orientation="landscape" horizontalDpi="300" verticalDpi="300"/>
  <headerFooter alignWithMargins="0">
    <oddFooter>&amp;L&amp;"Times New Roman,Italic"&amp;11&amp;K000000Investment Manager_x000D_Zhaochen Gao_x000D_(217) 323-3359&amp;R&amp;"Times New Roman,Bold Italic"&amp;K000000LSXG Pension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CD90"/>
  <sheetViews>
    <sheetView topLeftCell="A11" workbookViewId="0">
      <selection activeCell="L90" sqref="L90"/>
    </sheetView>
  </sheetViews>
  <sheetFormatPr baseColWidth="10" defaultColWidth="9.1640625" defaultRowHeight="12" x14ac:dyDescent="0"/>
  <cols>
    <col min="1" max="1" width="6.6640625" style="153" bestFit="1" customWidth="1"/>
    <col min="2" max="2" width="19.6640625" style="153" customWidth="1"/>
    <col min="3" max="3" width="6.33203125" style="153" customWidth="1"/>
    <col min="4" max="4" width="1.5" style="153" customWidth="1"/>
    <col min="5" max="5" width="13.33203125" style="153" bestFit="1" customWidth="1"/>
    <col min="6" max="6" width="1.5" style="153" bestFit="1" customWidth="1"/>
    <col min="7" max="7" width="9.5" style="153" customWidth="1"/>
    <col min="8" max="8" width="10.33203125" style="153" bestFit="1" customWidth="1"/>
    <col min="9" max="9" width="13.33203125" style="153" bestFit="1" customWidth="1"/>
    <col min="10" max="10" width="1.33203125" style="153" customWidth="1"/>
    <col min="11" max="11" width="12.83203125" style="153" bestFit="1" customWidth="1"/>
    <col min="12" max="12" width="8" style="153" bestFit="1" customWidth="1"/>
    <col min="13" max="13" width="2.1640625" style="153" customWidth="1"/>
    <col min="14" max="14" width="12.6640625" style="153" bestFit="1" customWidth="1"/>
    <col min="15" max="15" width="1.1640625" style="153" customWidth="1"/>
    <col min="16" max="16" width="10" style="153" bestFit="1" customWidth="1"/>
    <col min="17" max="17" width="9.5" style="153" bestFit="1" customWidth="1"/>
    <col min="18" max="16384" width="9.1640625" style="153"/>
  </cols>
  <sheetData>
    <row r="1" spans="1:82" ht="78.75" customHeight="1">
      <c r="A1" s="190"/>
      <c r="B1" s="314"/>
      <c r="C1" s="191"/>
      <c r="D1" s="191"/>
      <c r="E1" s="192"/>
      <c r="F1" s="192" t="s">
        <v>84</v>
      </c>
      <c r="G1" s="192"/>
      <c r="H1" s="192"/>
      <c r="I1" s="192"/>
      <c r="J1" s="191"/>
      <c r="K1" s="192"/>
      <c r="L1" s="315"/>
      <c r="M1" s="192"/>
      <c r="N1" s="192"/>
    </row>
    <row r="2" spans="1:82" ht="18">
      <c r="A2" s="662" t="s">
        <v>0</v>
      </c>
      <c r="B2" s="662"/>
      <c r="C2" s="662"/>
      <c r="D2" s="316"/>
      <c r="E2" s="316"/>
      <c r="F2" s="317"/>
      <c r="G2" s="316"/>
      <c r="H2" s="316"/>
      <c r="I2" s="316"/>
      <c r="J2" s="192"/>
      <c r="K2" s="192"/>
      <c r="L2" s="658">
        <f>Date</f>
        <v>42704</v>
      </c>
      <c r="M2" s="658"/>
      <c r="N2" s="658"/>
    </row>
    <row r="3" spans="1:82" s="162" customFormat="1" ht="15" customHeight="1">
      <c r="A3" s="193"/>
      <c r="B3" s="194" t="s">
        <v>1</v>
      </c>
      <c r="C3" s="659" t="str">
        <f>Data!B50</f>
        <v>US Dollars</v>
      </c>
      <c r="D3" s="659"/>
      <c r="E3" s="659"/>
      <c r="F3" s="194"/>
      <c r="G3" s="659" t="s">
        <v>58</v>
      </c>
      <c r="H3" s="659"/>
      <c r="I3" s="659"/>
      <c r="J3" s="195" t="s">
        <v>40</v>
      </c>
      <c r="K3" s="194" t="s">
        <v>2</v>
      </c>
      <c r="L3" s="194"/>
      <c r="M3" s="196" t="s">
        <v>40</v>
      </c>
      <c r="N3" s="197" t="s">
        <v>64</v>
      </c>
    </row>
    <row r="4" spans="1:82" s="157" customFormat="1">
      <c r="A4" s="198" t="s">
        <v>3</v>
      </c>
      <c r="B4" s="198" t="s">
        <v>4</v>
      </c>
      <c r="C4" s="198" t="s">
        <v>5</v>
      </c>
      <c r="D4" s="199"/>
      <c r="E4" s="200" t="s">
        <v>6</v>
      </c>
      <c r="F4" s="200"/>
      <c r="G4" s="200" t="s">
        <v>96</v>
      </c>
      <c r="H4" s="201" t="s">
        <v>21</v>
      </c>
      <c r="I4" s="202" t="s">
        <v>7</v>
      </c>
      <c r="J4" s="202"/>
      <c r="K4" s="198" t="s">
        <v>8</v>
      </c>
      <c r="L4" s="203" t="s">
        <v>9</v>
      </c>
      <c r="M4" s="204" t="s">
        <v>65</v>
      </c>
      <c r="N4" s="205">
        <f>Data!$D$50</f>
        <v>1</v>
      </c>
      <c r="O4" s="163"/>
      <c r="Q4" s="164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3"/>
      <c r="BE4" s="163"/>
      <c r="BF4" s="163"/>
      <c r="BG4" s="163"/>
      <c r="BH4" s="163"/>
      <c r="BI4" s="163"/>
      <c r="BJ4" s="163"/>
      <c r="BK4" s="163"/>
      <c r="BL4" s="163"/>
      <c r="BM4" s="163"/>
      <c r="BN4" s="163"/>
      <c r="BO4" s="163"/>
      <c r="BP4" s="163"/>
      <c r="BQ4" s="163"/>
      <c r="BR4" s="163"/>
      <c r="BS4" s="163"/>
      <c r="BT4" s="163"/>
      <c r="BU4" s="163"/>
      <c r="BV4" s="163"/>
      <c r="BW4" s="163"/>
      <c r="BX4" s="163"/>
      <c r="BY4" s="163"/>
      <c r="BZ4" s="163"/>
      <c r="CA4" s="163"/>
      <c r="CB4" s="163"/>
      <c r="CC4" s="163"/>
      <c r="CD4" s="163"/>
    </row>
    <row r="5" spans="1:82" s="157" customFormat="1">
      <c r="A5" s="206">
        <f>IF(C5="","",SUMIF(EquityT!B$5:B$47,C5,EquityT!E$5:E$47))</f>
        <v>5000</v>
      </c>
      <c r="B5" s="192" t="str">
        <f>IF(C5="","",PROPER(VLOOKUP(C5,Data!$A$3:$B$27,2,FALSE)))</f>
        <v>Alibaba Group</v>
      </c>
      <c r="C5" s="288" t="s">
        <v>159</v>
      </c>
      <c r="D5" s="192"/>
      <c r="E5" s="207">
        <f>IF(C5="","",SUMIF(EquityT!B:B,C5,EquityT!K:K))</f>
        <v>520683.33</v>
      </c>
      <c r="F5" s="208"/>
      <c r="G5" s="209">
        <f t="shared" ref="G5:G20" si="0">IF(C5&gt;"",E5/A5,"")</f>
        <v>104.13666600000001</v>
      </c>
      <c r="H5" s="210">
        <f>IF(C5&gt;"",VLOOKUP(C5,Data!$A$3:$D$55,4,FALSE),"")</f>
        <v>94.02</v>
      </c>
      <c r="I5" s="211">
        <f t="shared" ref="I5:I20" si="1">IF(C5="","",H5*A5)</f>
        <v>470100</v>
      </c>
      <c r="J5" s="212"/>
      <c r="K5" s="213">
        <f t="shared" ref="K5:K20" si="2">IF(C5="","",I5-E5)</f>
        <v>-50583.330000000016</v>
      </c>
      <c r="L5" s="214">
        <f t="shared" ref="L5:L20" si="3">IF(C5="","",IF(I5&gt;0,1,-1)*K5/E5)</f>
        <v>-9.7147972837924382E-2</v>
      </c>
      <c r="M5" s="215"/>
      <c r="N5" s="216">
        <f t="shared" ref="N5:N20" si="4">IF(I5="","",ROUND(I5*$N$4,2))</f>
        <v>470100</v>
      </c>
      <c r="O5" s="163"/>
      <c r="P5" s="165"/>
      <c r="Q5" s="164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3"/>
      <c r="AE5" s="163"/>
      <c r="AF5" s="163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  <c r="BE5" s="163"/>
      <c r="BF5" s="163"/>
      <c r="BG5" s="163"/>
      <c r="BH5" s="163"/>
      <c r="BI5" s="163"/>
      <c r="BJ5" s="163"/>
      <c r="BK5" s="163"/>
      <c r="BL5" s="163"/>
      <c r="BM5" s="163"/>
      <c r="BN5" s="163"/>
      <c r="BO5" s="163"/>
      <c r="BP5" s="163"/>
      <c r="BQ5" s="163"/>
      <c r="BR5" s="163"/>
      <c r="BS5" s="163"/>
      <c r="BT5" s="163"/>
      <c r="BU5" s="163"/>
      <c r="BV5" s="163"/>
      <c r="BW5" s="163"/>
      <c r="BX5" s="163"/>
      <c r="BY5" s="163"/>
      <c r="BZ5" s="163"/>
      <c r="CA5" s="163"/>
      <c r="CB5" s="163"/>
      <c r="CC5" s="163"/>
      <c r="CD5" s="163"/>
    </row>
    <row r="6" spans="1:82" s="157" customFormat="1">
      <c r="A6" s="206">
        <f>IF(C6="","",SUMIF(EquityT!B$5:B$47,C6,EquityT!E$5:E$47))</f>
        <v>1000</v>
      </c>
      <c r="B6" s="192" t="str">
        <f>IF(C6="","",PROPER(VLOOKUP(C6,Data!$A$3:$B$27,2,FALSE)))</f>
        <v>Alphabet Inc. Class A</v>
      </c>
      <c r="C6" s="288" t="s">
        <v>161</v>
      </c>
      <c r="D6" s="217"/>
      <c r="E6" s="207">
        <f>IF(C6="","",SUMIF(EquityT!B:B,C6,EquityT!K:K))</f>
        <v>814960</v>
      </c>
      <c r="F6" s="208"/>
      <c r="G6" s="209">
        <f t="shared" si="0"/>
        <v>814.96</v>
      </c>
      <c r="H6" s="210">
        <f>IF(C6&gt;"",VLOOKUP(C6,Data!$A$3:$D$55,4,FALSE),"")</f>
        <v>775.88</v>
      </c>
      <c r="I6" s="211">
        <f t="shared" si="1"/>
        <v>775880</v>
      </c>
      <c r="J6" s="212"/>
      <c r="K6" s="213">
        <f t="shared" si="2"/>
        <v>-39080</v>
      </c>
      <c r="L6" s="214">
        <f t="shared" si="3"/>
        <v>-4.7953273780308239E-2</v>
      </c>
      <c r="M6" s="215"/>
      <c r="N6" s="216">
        <f t="shared" si="4"/>
        <v>775880</v>
      </c>
      <c r="O6" s="163"/>
      <c r="P6" s="165"/>
      <c r="Q6" s="164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163"/>
      <c r="BD6" s="163"/>
      <c r="BE6" s="163"/>
      <c r="BF6" s="163"/>
      <c r="BG6" s="163"/>
      <c r="BH6" s="163"/>
      <c r="BI6" s="163"/>
      <c r="BJ6" s="163"/>
      <c r="BK6" s="163"/>
      <c r="BL6" s="163"/>
      <c r="BM6" s="163"/>
      <c r="BN6" s="163"/>
      <c r="BO6" s="163"/>
      <c r="BP6" s="163"/>
      <c r="BQ6" s="163"/>
      <c r="BR6" s="163"/>
      <c r="BS6" s="163"/>
      <c r="BT6" s="163"/>
      <c r="BU6" s="163"/>
      <c r="BV6" s="163"/>
      <c r="BW6" s="163"/>
      <c r="BX6" s="163"/>
      <c r="BY6" s="163"/>
      <c r="BZ6" s="163"/>
      <c r="CA6" s="163"/>
      <c r="CB6" s="163"/>
      <c r="CC6" s="163"/>
      <c r="CD6" s="163"/>
    </row>
    <row r="7" spans="1:82" s="157" customFormat="1">
      <c r="A7" s="206">
        <f>IF(C7="","",SUMIF(EquityT!B$5:B$47,C7,EquityT!E$5:E$47))</f>
        <v>2000</v>
      </c>
      <c r="B7" s="192" t="str">
        <f>IF(C7="","",PROPER(VLOOKUP(C7,Data!$A$3:$B$27,2,FALSE)))</f>
        <v>Ameren</v>
      </c>
      <c r="C7" s="288" t="s">
        <v>165</v>
      </c>
      <c r="D7" s="217"/>
      <c r="E7" s="207">
        <f>IF(C7="","",SUMIF(EquityT!B:B,C7,EquityT!K:K))</f>
        <v>101120</v>
      </c>
      <c r="F7" s="208"/>
      <c r="G7" s="209">
        <f t="shared" si="0"/>
        <v>50.56</v>
      </c>
      <c r="H7" s="210">
        <f>IF(C7&gt;"",VLOOKUP(C7,Data!$A$3:$D$55,4,FALSE),"")</f>
        <v>49.12</v>
      </c>
      <c r="I7" s="211">
        <f t="shared" si="1"/>
        <v>98240</v>
      </c>
      <c r="J7" s="212"/>
      <c r="K7" s="213">
        <f t="shared" si="2"/>
        <v>-2880</v>
      </c>
      <c r="L7" s="214">
        <f t="shared" si="3"/>
        <v>-2.8481012658227847E-2</v>
      </c>
      <c r="M7" s="215"/>
      <c r="N7" s="216">
        <f t="shared" si="4"/>
        <v>98240</v>
      </c>
      <c r="O7" s="163"/>
      <c r="P7" s="165"/>
      <c r="Q7" s="164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3"/>
      <c r="AE7" s="163"/>
      <c r="AF7" s="163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  <c r="BE7" s="163"/>
      <c r="BF7" s="163"/>
      <c r="BG7" s="163"/>
      <c r="BH7" s="163"/>
      <c r="BI7" s="163"/>
      <c r="BJ7" s="163"/>
      <c r="BK7" s="163"/>
      <c r="BL7" s="163"/>
      <c r="BM7" s="163"/>
      <c r="BN7" s="163"/>
      <c r="BO7" s="163"/>
      <c r="BP7" s="163"/>
      <c r="BQ7" s="163"/>
      <c r="BR7" s="163"/>
      <c r="BS7" s="163"/>
      <c r="BT7" s="163"/>
      <c r="BU7" s="163"/>
      <c r="BV7" s="163"/>
      <c r="BW7" s="163"/>
      <c r="BX7" s="163"/>
      <c r="BY7" s="163"/>
      <c r="BZ7" s="163"/>
      <c r="CA7" s="163"/>
      <c r="CB7" s="163"/>
      <c r="CC7" s="163"/>
      <c r="CD7" s="163"/>
    </row>
    <row r="8" spans="1:82" s="157" customFormat="1">
      <c r="A8" s="206">
        <f>IF(C8="","",SUMIF(EquityT!B$5:B$47,C8,EquityT!E$5:E$47))</f>
        <v>5500</v>
      </c>
      <c r="B8" s="192" t="str">
        <f>IF(C8="","",PROPER(VLOOKUP(C8,Data!$A$3:$B$27,2,FALSE)))</f>
        <v>Apple Inc.</v>
      </c>
      <c r="C8" s="288" t="s">
        <v>167</v>
      </c>
      <c r="D8" s="217"/>
      <c r="E8" s="207">
        <f>IF(C8="","",SUMIF(EquityT!B:B,C8,EquityT!K:K))</f>
        <v>642430</v>
      </c>
      <c r="F8" s="208"/>
      <c r="G8" s="209">
        <f t="shared" si="0"/>
        <v>116.80545454545455</v>
      </c>
      <c r="H8" s="210">
        <f>IF(C8&gt;"",VLOOKUP(C8,Data!$A$3:$D$55,4,FALSE),"")</f>
        <v>110.52</v>
      </c>
      <c r="I8" s="211">
        <f t="shared" si="1"/>
        <v>607860</v>
      </c>
      <c r="J8" s="212"/>
      <c r="K8" s="213">
        <f t="shared" si="2"/>
        <v>-34570</v>
      </c>
      <c r="L8" s="214">
        <f t="shared" si="3"/>
        <v>-5.3811310181654033E-2</v>
      </c>
      <c r="M8" s="215"/>
      <c r="N8" s="216">
        <f t="shared" si="4"/>
        <v>607860</v>
      </c>
      <c r="O8" s="163"/>
      <c r="P8" s="165"/>
      <c r="Q8" s="164"/>
      <c r="T8" s="163"/>
      <c r="U8" s="163"/>
      <c r="V8" s="163"/>
      <c r="W8" s="163"/>
      <c r="X8" s="163"/>
      <c r="Y8" s="163"/>
      <c r="Z8" s="163"/>
      <c r="AA8" s="163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  <c r="BG8" s="163"/>
      <c r="BH8" s="163"/>
      <c r="BI8" s="163"/>
      <c r="BJ8" s="163"/>
      <c r="BK8" s="163"/>
      <c r="BL8" s="163"/>
      <c r="BM8" s="163"/>
      <c r="BN8" s="163"/>
      <c r="BO8" s="163"/>
      <c r="BP8" s="163"/>
      <c r="BQ8" s="163"/>
      <c r="BR8" s="163"/>
      <c r="BS8" s="163"/>
      <c r="BT8" s="163"/>
      <c r="BU8" s="163"/>
      <c r="BV8" s="163"/>
      <c r="BW8" s="163"/>
      <c r="BX8" s="163"/>
      <c r="BY8" s="163"/>
      <c r="BZ8" s="163"/>
      <c r="CA8" s="163"/>
      <c r="CB8" s="163"/>
      <c r="CC8" s="163"/>
      <c r="CD8" s="163"/>
    </row>
    <row r="9" spans="1:82" s="157" customFormat="1">
      <c r="A9" s="206">
        <f>IF(C9="","",SUMIF(EquityT!B$5:B$47,C9,EquityT!E$5:E$47))</f>
        <v>-4000</v>
      </c>
      <c r="B9" s="192" t="str">
        <f>IF(C9="","",PROPER(VLOOKUP(C9,Data!$A$3:$B$27,2,FALSE)))</f>
        <v>Bank Of America</v>
      </c>
      <c r="C9" s="288" t="s">
        <v>169</v>
      </c>
      <c r="D9" s="217"/>
      <c r="E9" s="207">
        <f>IF(C9="","",SUMIF(EquityT!B:B,C9,EquityT!K:K))</f>
        <v>-62400</v>
      </c>
      <c r="F9" s="208"/>
      <c r="G9" s="209">
        <f t="shared" si="0"/>
        <v>15.6</v>
      </c>
      <c r="H9" s="210">
        <f>IF(C9&gt;"",VLOOKUP(C9,Data!$A$3:$D$55,4,FALSE),"")</f>
        <v>21.12</v>
      </c>
      <c r="I9" s="211">
        <f t="shared" si="1"/>
        <v>-84480</v>
      </c>
      <c r="J9" s="212"/>
      <c r="K9" s="213">
        <f t="shared" si="2"/>
        <v>-22080</v>
      </c>
      <c r="L9" s="214">
        <f t="shared" si="3"/>
        <v>-0.35384615384615387</v>
      </c>
      <c r="M9" s="215"/>
      <c r="N9" s="216">
        <f t="shared" si="4"/>
        <v>-84480</v>
      </c>
      <c r="O9" s="163"/>
      <c r="P9" s="165"/>
      <c r="Q9" s="164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  <c r="BF9" s="163"/>
      <c r="BG9" s="163"/>
      <c r="BH9" s="163"/>
      <c r="BI9" s="163"/>
      <c r="BJ9" s="163"/>
      <c r="BK9" s="163"/>
      <c r="BL9" s="163"/>
      <c r="BM9" s="163"/>
      <c r="BN9" s="163"/>
      <c r="BO9" s="163"/>
      <c r="BP9" s="163"/>
      <c r="BQ9" s="163"/>
      <c r="BR9" s="163"/>
      <c r="BS9" s="163"/>
      <c r="BT9" s="163"/>
      <c r="BU9" s="163"/>
      <c r="BV9" s="163"/>
      <c r="BW9" s="163"/>
      <c r="BX9" s="163"/>
      <c r="BY9" s="163"/>
      <c r="BZ9" s="163"/>
      <c r="CA9" s="163"/>
      <c r="CB9" s="163"/>
      <c r="CC9" s="163"/>
      <c r="CD9" s="163"/>
    </row>
    <row r="10" spans="1:82" s="157" customFormat="1">
      <c r="A10" s="206">
        <f>IF(C10="","",SUMIF(EquityT!B$5:B$47,C10,EquityT!E$5:E$47))</f>
        <v>6000</v>
      </c>
      <c r="B10" s="192" t="str">
        <f>IF(C10="","",PROPER(VLOOKUP(C10,Data!$A$3:$B$27,2,FALSE)))</f>
        <v>Cabot Oil &amp; Gas A</v>
      </c>
      <c r="C10" s="288" t="s">
        <v>173</v>
      </c>
      <c r="D10" s="217"/>
      <c r="E10" s="207">
        <f>IF(C10="","",SUMIF(EquityT!B:B,C10,EquityT!K:K))</f>
        <v>154090</v>
      </c>
      <c r="F10" s="208"/>
      <c r="G10" s="209">
        <f t="shared" si="0"/>
        <v>25.681666666666668</v>
      </c>
      <c r="H10" s="210">
        <f>IF(C10&gt;"",VLOOKUP(C10,Data!$A$3:$D$55,4,FALSE),"")</f>
        <v>22.12</v>
      </c>
      <c r="I10" s="211">
        <f t="shared" si="1"/>
        <v>132720</v>
      </c>
      <c r="J10" s="212"/>
      <c r="K10" s="213">
        <f t="shared" si="2"/>
        <v>-21370</v>
      </c>
      <c r="L10" s="214">
        <f t="shared" si="3"/>
        <v>-0.13868518398338633</v>
      </c>
      <c r="M10" s="215"/>
      <c r="N10" s="216">
        <f t="shared" si="4"/>
        <v>132720</v>
      </c>
      <c r="O10" s="163"/>
      <c r="P10" s="165"/>
      <c r="Q10" s="164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  <c r="BE10" s="163"/>
      <c r="BF10" s="163"/>
      <c r="BG10" s="163"/>
      <c r="BH10" s="163"/>
      <c r="BI10" s="163"/>
      <c r="BJ10" s="163"/>
      <c r="BK10" s="163"/>
      <c r="BL10" s="163"/>
      <c r="BM10" s="163"/>
      <c r="BN10" s="163"/>
      <c r="BO10" s="163"/>
      <c r="BP10" s="163"/>
      <c r="BQ10" s="163"/>
      <c r="BR10" s="163"/>
      <c r="BS10" s="163"/>
      <c r="BT10" s="163"/>
      <c r="BU10" s="163"/>
      <c r="BV10" s="163"/>
      <c r="BW10" s="163"/>
      <c r="BX10" s="163"/>
      <c r="BY10" s="163"/>
      <c r="BZ10" s="163"/>
      <c r="CA10" s="163"/>
      <c r="CB10" s="163"/>
      <c r="CC10" s="163"/>
      <c r="CD10" s="163"/>
    </row>
    <row r="11" spans="1:82" s="157" customFormat="1">
      <c r="A11" s="206">
        <f>IF(C11="","",SUMIF(EquityT!B$5:B$47,C11,EquityT!E$5:E$47))</f>
        <v>-2000</v>
      </c>
      <c r="B11" s="192" t="str">
        <f>IF(C11="","",PROPER(VLOOKUP(C11,Data!$A$3:$B$27,2,FALSE)))</f>
        <v>Deutsche Bank</v>
      </c>
      <c r="C11" s="288" t="s">
        <v>175</v>
      </c>
      <c r="D11" s="217"/>
      <c r="E11" s="207">
        <f>IF(C11="","",SUMIF(EquityT!B:B,C11,EquityT!K:K))</f>
        <v>-26180</v>
      </c>
      <c r="F11" s="208"/>
      <c r="G11" s="209">
        <f t="shared" si="0"/>
        <v>13.09</v>
      </c>
      <c r="H11" s="210">
        <f>IF(C11&gt;"",VLOOKUP(C11,Data!$A$3:$D$55,4,FALSE),"")</f>
        <v>15.8</v>
      </c>
      <c r="I11" s="211">
        <f t="shared" si="1"/>
        <v>-31600</v>
      </c>
      <c r="J11" s="212"/>
      <c r="K11" s="213">
        <f t="shared" si="2"/>
        <v>-5420</v>
      </c>
      <c r="L11" s="214">
        <f t="shared" si="3"/>
        <v>-0.20702826585179526</v>
      </c>
      <c r="M11" s="215"/>
      <c r="N11" s="216">
        <f t="shared" si="4"/>
        <v>-31600</v>
      </c>
      <c r="O11" s="163"/>
      <c r="P11" s="165"/>
      <c r="Q11" s="164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  <c r="BG11" s="163"/>
      <c r="BH11" s="163"/>
      <c r="BI11" s="163"/>
      <c r="BJ11" s="163"/>
      <c r="BK11" s="163"/>
      <c r="BL11" s="163"/>
      <c r="BM11" s="163"/>
      <c r="BN11" s="163"/>
      <c r="BO11" s="163"/>
      <c r="BP11" s="163"/>
      <c r="BQ11" s="163"/>
      <c r="BR11" s="163"/>
      <c r="BS11" s="163"/>
      <c r="BT11" s="163"/>
      <c r="BU11" s="163"/>
      <c r="BV11" s="163"/>
      <c r="BW11" s="163"/>
      <c r="BX11" s="163"/>
      <c r="BY11" s="163"/>
      <c r="BZ11" s="163"/>
      <c r="CA11" s="163"/>
      <c r="CB11" s="163"/>
      <c r="CC11" s="163"/>
      <c r="CD11" s="163"/>
    </row>
    <row r="12" spans="1:82" s="157" customFormat="1">
      <c r="A12" s="206">
        <f>IF(C12="","",SUMIF(EquityT!B$5:B$47,C12,EquityT!E$5:E$47))</f>
        <v>2000</v>
      </c>
      <c r="B12" s="192" t="str">
        <f>IF(C12="","",PROPER(VLOOKUP(C12,Data!$A$3:$B$27,2,FALSE)))</f>
        <v>Duke Energy</v>
      </c>
      <c r="C12" s="288" t="s">
        <v>177</v>
      </c>
      <c r="D12" s="217"/>
      <c r="E12" s="207">
        <f>IF(C12="","",SUMIF(EquityT!B:B,C12,EquityT!K:K))</f>
        <v>162860</v>
      </c>
      <c r="F12" s="208"/>
      <c r="G12" s="209">
        <f t="shared" si="0"/>
        <v>81.430000000000007</v>
      </c>
      <c r="H12" s="210">
        <f>IF(C12&gt;"",VLOOKUP(C12,Data!$A$3:$D$55,4,FALSE),"")</f>
        <v>73.77</v>
      </c>
      <c r="I12" s="211">
        <f t="shared" si="1"/>
        <v>147540</v>
      </c>
      <c r="J12" s="212"/>
      <c r="K12" s="213">
        <f t="shared" si="2"/>
        <v>-15320</v>
      </c>
      <c r="L12" s="214">
        <f t="shared" si="3"/>
        <v>-9.4068525113594495E-2</v>
      </c>
      <c r="M12" s="215"/>
      <c r="N12" s="216">
        <f t="shared" si="4"/>
        <v>147540</v>
      </c>
      <c r="O12" s="163"/>
      <c r="P12" s="165"/>
      <c r="Q12" s="164"/>
      <c r="R12" s="164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3"/>
      <c r="AE12" s="163"/>
      <c r="AF12" s="163"/>
      <c r="AG12" s="163"/>
      <c r="AH12" s="163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  <c r="BE12" s="163"/>
      <c r="BF12" s="163"/>
      <c r="BG12" s="163"/>
      <c r="BH12" s="163"/>
      <c r="BI12" s="163"/>
      <c r="BJ12" s="163"/>
      <c r="BK12" s="163"/>
      <c r="BL12" s="163"/>
      <c r="BM12" s="163"/>
      <c r="BN12" s="163"/>
      <c r="BO12" s="163"/>
      <c r="BP12" s="163"/>
      <c r="BQ12" s="163"/>
      <c r="BR12" s="163"/>
      <c r="BS12" s="163"/>
      <c r="BT12" s="163"/>
      <c r="BU12" s="163"/>
      <c r="BV12" s="163"/>
      <c r="BW12" s="163"/>
      <c r="BX12" s="163"/>
      <c r="BY12" s="163"/>
      <c r="BZ12" s="163"/>
      <c r="CA12" s="163"/>
      <c r="CB12" s="163"/>
      <c r="CC12" s="163"/>
      <c r="CD12" s="163"/>
    </row>
    <row r="13" spans="1:82" s="157" customFormat="1">
      <c r="A13" s="206">
        <f>IF(C13="","",SUMIF(EquityT!B$5:B$47,C13,EquityT!E$5:E$47))</f>
        <v>-2000</v>
      </c>
      <c r="B13" s="192" t="str">
        <f>IF(C13="","",PROPER(VLOOKUP(C13,Data!$A$3:$B$27,2,FALSE)))</f>
        <v>Exxon Mobil Corporation</v>
      </c>
      <c r="C13" s="288" t="s">
        <v>179</v>
      </c>
      <c r="D13" s="217"/>
      <c r="E13" s="207">
        <f>IF(C13="","",SUMIF(EquityT!B:B,C13,EquityT!K:K))</f>
        <v>-165080</v>
      </c>
      <c r="F13" s="208"/>
      <c r="G13" s="209">
        <f t="shared" si="0"/>
        <v>82.54</v>
      </c>
      <c r="H13" s="210">
        <f>IF(C13&gt;"",VLOOKUP(C13,Data!$A$3:$D$55,4,FALSE),"")</f>
        <v>87.3</v>
      </c>
      <c r="I13" s="211">
        <f t="shared" si="1"/>
        <v>-174600</v>
      </c>
      <c r="J13" s="212"/>
      <c r="K13" s="213">
        <f t="shared" si="2"/>
        <v>-9520</v>
      </c>
      <c r="L13" s="214">
        <f t="shared" si="3"/>
        <v>-5.7669008965350134E-2</v>
      </c>
      <c r="M13" s="215"/>
      <c r="N13" s="216">
        <f t="shared" si="4"/>
        <v>-174600</v>
      </c>
      <c r="O13" s="163"/>
      <c r="P13" s="165"/>
      <c r="Q13" s="164"/>
      <c r="R13" s="164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  <c r="BE13" s="163"/>
      <c r="BF13" s="163"/>
      <c r="BG13" s="163"/>
      <c r="BH13" s="163"/>
      <c r="BI13" s="163"/>
      <c r="BJ13" s="163"/>
      <c r="BK13" s="163"/>
      <c r="BL13" s="163"/>
      <c r="BM13" s="163"/>
      <c r="BN13" s="163"/>
      <c r="BO13" s="163"/>
      <c r="BP13" s="163"/>
      <c r="BQ13" s="163"/>
      <c r="BR13" s="163"/>
      <c r="BS13" s="163"/>
      <c r="BT13" s="163"/>
      <c r="BU13" s="163"/>
      <c r="BV13" s="163"/>
      <c r="BW13" s="163"/>
      <c r="BX13" s="163"/>
      <c r="BY13" s="163"/>
      <c r="BZ13" s="163"/>
      <c r="CA13" s="163"/>
      <c r="CB13" s="163"/>
      <c r="CC13" s="163"/>
      <c r="CD13" s="163"/>
    </row>
    <row r="14" spans="1:82" s="157" customFormat="1">
      <c r="A14" s="206">
        <f>IF(C14="","",SUMIF(EquityT!B$5:B$47,C14,EquityT!E$5:E$47))</f>
        <v>3000</v>
      </c>
      <c r="B14" s="192" t="str">
        <f>IF(C14="","",PROPER(VLOOKUP(C14,Data!$A$3:$B$27,2,FALSE)))</f>
        <v>Ford Motor Co.</v>
      </c>
      <c r="C14" s="288" t="s">
        <v>181</v>
      </c>
      <c r="D14" s="217"/>
      <c r="E14" s="207">
        <f>IF(C14="","",SUMIF(EquityT!B:B,C14,EquityT!K:K))</f>
        <v>36420</v>
      </c>
      <c r="F14" s="208"/>
      <c r="G14" s="209">
        <f t="shared" si="0"/>
        <v>12.14</v>
      </c>
      <c r="H14" s="210">
        <f>IF(C14&gt;"",VLOOKUP(C14,Data!$A$3:$D$55,4,FALSE),"")</f>
        <v>11.96</v>
      </c>
      <c r="I14" s="211">
        <f t="shared" si="1"/>
        <v>35880</v>
      </c>
      <c r="J14" s="212"/>
      <c r="K14" s="213">
        <f t="shared" si="2"/>
        <v>-540</v>
      </c>
      <c r="L14" s="214">
        <f t="shared" si="3"/>
        <v>-1.4827018121911038E-2</v>
      </c>
      <c r="M14" s="215"/>
      <c r="N14" s="216">
        <f t="shared" si="4"/>
        <v>35880</v>
      </c>
      <c r="O14" s="163"/>
      <c r="P14" s="165"/>
      <c r="Q14" s="164"/>
      <c r="R14" s="164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3"/>
      <c r="AE14" s="163"/>
      <c r="AF14" s="163"/>
      <c r="AG14" s="163"/>
      <c r="AH14" s="163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3"/>
      <c r="BE14" s="163"/>
      <c r="BF14" s="163"/>
      <c r="BG14" s="163"/>
      <c r="BH14" s="163"/>
      <c r="BI14" s="163"/>
      <c r="BJ14" s="163"/>
      <c r="BK14" s="163"/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3"/>
      <c r="CC14" s="163"/>
      <c r="CD14" s="163"/>
    </row>
    <row r="15" spans="1:82" s="157" customFormat="1">
      <c r="A15" s="206">
        <f>IF(C15="","",SUMIF(EquityT!B$5:B$47,C15,EquityT!E$5:E$47))</f>
        <v>1000</v>
      </c>
      <c r="B15" s="192" t="str">
        <f>IF(C15="","",PROPER(VLOOKUP(C15,Data!$A$3:$B$27,2,FALSE)))</f>
        <v>General Electric Co</v>
      </c>
      <c r="C15" s="288" t="s">
        <v>183</v>
      </c>
      <c r="D15" s="217"/>
      <c r="E15" s="207">
        <f>IF(C15="","",SUMIF(EquityT!B:B,C15,EquityT!K:K))</f>
        <v>30490</v>
      </c>
      <c r="F15" s="208"/>
      <c r="G15" s="209">
        <f t="shared" si="0"/>
        <v>30.49</v>
      </c>
      <c r="H15" s="210">
        <f>IF(C15&gt;"",VLOOKUP(C15,Data!$A$3:$D$55,4,FALSE),"")</f>
        <v>30.76</v>
      </c>
      <c r="I15" s="211">
        <f t="shared" si="1"/>
        <v>30760</v>
      </c>
      <c r="J15" s="212"/>
      <c r="K15" s="213">
        <f t="shared" si="2"/>
        <v>270</v>
      </c>
      <c r="L15" s="214">
        <f t="shared" si="3"/>
        <v>8.8553624139061995E-3</v>
      </c>
      <c r="M15" s="215"/>
      <c r="N15" s="216">
        <f t="shared" si="4"/>
        <v>30760</v>
      </c>
      <c r="O15" s="163"/>
      <c r="P15" s="166"/>
      <c r="Q15" s="163"/>
      <c r="R15" s="167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3"/>
      <c r="AE15" s="163"/>
      <c r="AF15" s="163"/>
      <c r="AG15" s="163"/>
      <c r="AH15" s="163"/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  <c r="BF15" s="163"/>
      <c r="BG15" s="163"/>
      <c r="BH15" s="163"/>
      <c r="BI15" s="163"/>
      <c r="BJ15" s="163"/>
      <c r="BK15" s="163"/>
      <c r="BL15" s="163"/>
      <c r="BM15" s="163"/>
      <c r="BN15" s="163"/>
      <c r="BO15" s="163"/>
      <c r="BP15" s="163"/>
      <c r="BQ15" s="163"/>
      <c r="BR15" s="163"/>
      <c r="BS15" s="163"/>
      <c r="BT15" s="163"/>
      <c r="BU15" s="163"/>
      <c r="BV15" s="163"/>
      <c r="BW15" s="163"/>
      <c r="BX15" s="163"/>
      <c r="BY15" s="163"/>
      <c r="BZ15" s="163"/>
      <c r="CA15" s="163"/>
      <c r="CB15" s="163"/>
      <c r="CC15" s="163"/>
      <c r="CD15" s="163"/>
    </row>
    <row r="16" spans="1:82" s="157" customFormat="1">
      <c r="A16" s="206">
        <f>IF(C16="","",SUMIF(EquityT!B$5:B$47,C16,EquityT!E$5:E$47))</f>
        <v>-2000</v>
      </c>
      <c r="B16" s="192" t="str">
        <f>IF(C16="","",PROPER(VLOOKUP(C16,Data!$A$3:$B$27,2,FALSE)))</f>
        <v>J P Morgan Chase &amp; Co</v>
      </c>
      <c r="C16" s="288" t="s">
        <v>187</v>
      </c>
      <c r="D16" s="217"/>
      <c r="E16" s="207">
        <f>IF(C16="","",SUMIF(EquityT!B:B,C16,EquityT!K:K))</f>
        <v>-134320</v>
      </c>
      <c r="F16" s="208"/>
      <c r="G16" s="209">
        <f t="shared" si="0"/>
        <v>67.16</v>
      </c>
      <c r="H16" s="210">
        <f>IF(C16&gt;"",VLOOKUP(C16,Data!$A$3:$D$55,4,FALSE),"")</f>
        <v>80.17</v>
      </c>
      <c r="I16" s="211">
        <f t="shared" si="1"/>
        <v>-160340</v>
      </c>
      <c r="J16" s="212"/>
      <c r="K16" s="213">
        <f t="shared" si="2"/>
        <v>-26020</v>
      </c>
      <c r="L16" s="214">
        <f t="shared" si="3"/>
        <v>-0.19371649791542586</v>
      </c>
      <c r="M16" s="215"/>
      <c r="N16" s="216">
        <f t="shared" si="4"/>
        <v>-160340</v>
      </c>
      <c r="O16" s="163"/>
      <c r="P16" s="166"/>
      <c r="Q16" s="163"/>
      <c r="R16" s="167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3"/>
      <c r="AE16" s="163"/>
      <c r="AF16" s="163"/>
      <c r="AG16" s="163"/>
      <c r="AH16" s="163"/>
      <c r="AI16" s="163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E16" s="163"/>
      <c r="BF16" s="163"/>
      <c r="BG16" s="163"/>
      <c r="BH16" s="163"/>
      <c r="BI16" s="163"/>
      <c r="BJ16" s="163"/>
      <c r="BK16" s="163"/>
      <c r="BL16" s="163"/>
      <c r="BM16" s="163"/>
      <c r="BN16" s="163"/>
      <c r="BO16" s="163"/>
      <c r="BP16" s="163"/>
      <c r="BQ16" s="163"/>
      <c r="BR16" s="163"/>
      <c r="BS16" s="163"/>
      <c r="BT16" s="163"/>
      <c r="BU16" s="163"/>
      <c r="BV16" s="163"/>
      <c r="BW16" s="163"/>
      <c r="BX16" s="163"/>
      <c r="BY16" s="163"/>
      <c r="BZ16" s="163"/>
      <c r="CA16" s="163"/>
      <c r="CB16" s="163"/>
      <c r="CC16" s="163"/>
      <c r="CD16" s="163"/>
    </row>
    <row r="17" spans="1:82" s="157" customFormat="1">
      <c r="A17" s="206">
        <f>IF(C17="","",SUMIF(EquityT!B$5:B$47,C17,EquityT!E$5:E$47))</f>
        <v>1000</v>
      </c>
      <c r="B17" s="192" t="str">
        <f>IF(C17="","",PROPER(VLOOKUP(C17,Data!$A$3:$B$27,2,FALSE)))</f>
        <v>Nike Inc B</v>
      </c>
      <c r="C17" s="288" t="s">
        <v>193</v>
      </c>
      <c r="D17" s="217"/>
      <c r="E17" s="207">
        <f>IF(C17="","",SUMIF(EquityT!B:B,C17,EquityT!K:K))</f>
        <v>54400</v>
      </c>
      <c r="F17" s="208"/>
      <c r="G17" s="209">
        <f t="shared" si="0"/>
        <v>54.4</v>
      </c>
      <c r="H17" s="210">
        <f>IF(C17&gt;"",VLOOKUP(C17,Data!$A$3:$D$55,4,FALSE),"")</f>
        <v>50.07</v>
      </c>
      <c r="I17" s="211">
        <f t="shared" si="1"/>
        <v>50070</v>
      </c>
      <c r="J17" s="212"/>
      <c r="K17" s="213">
        <f t="shared" si="2"/>
        <v>-4330</v>
      </c>
      <c r="L17" s="214">
        <f t="shared" si="3"/>
        <v>-7.9595588235294112E-2</v>
      </c>
      <c r="M17" s="215"/>
      <c r="N17" s="216">
        <f t="shared" si="4"/>
        <v>50070</v>
      </c>
      <c r="O17" s="163"/>
      <c r="P17" s="166"/>
      <c r="Q17" s="163"/>
      <c r="R17" s="167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  <c r="BF17" s="163"/>
      <c r="BG17" s="163"/>
      <c r="BH17" s="163"/>
      <c r="BI17" s="163"/>
      <c r="BJ17" s="163"/>
      <c r="BK17" s="163"/>
      <c r="BL17" s="163"/>
      <c r="BM17" s="163"/>
      <c r="BN17" s="163"/>
      <c r="BO17" s="163"/>
      <c r="BP17" s="163"/>
      <c r="BQ17" s="163"/>
      <c r="BR17" s="163"/>
      <c r="BS17" s="163"/>
      <c r="BT17" s="163"/>
      <c r="BU17" s="163"/>
      <c r="BV17" s="163"/>
      <c r="BW17" s="163"/>
      <c r="BX17" s="163"/>
      <c r="BY17" s="163"/>
      <c r="BZ17" s="163"/>
      <c r="CA17" s="163"/>
      <c r="CB17" s="163"/>
      <c r="CC17" s="163"/>
      <c r="CD17" s="163"/>
    </row>
    <row r="18" spans="1:82" s="157" customFormat="1">
      <c r="A18" s="206">
        <f>IF(C18="","",SUMIF(EquityT!B$5:B$47,C18,EquityT!E$5:E$47))</f>
        <v>-3000</v>
      </c>
      <c r="B18" s="192" t="str">
        <f>IF(C18="","",PROPER(VLOOKUP(C18,Data!$A$3:$B$27,2,FALSE)))</f>
        <v>Seneca Foods Corp A</v>
      </c>
      <c r="C18" s="288" t="s">
        <v>195</v>
      </c>
      <c r="D18" s="217"/>
      <c r="E18" s="207">
        <f>IF(C18="","",SUMIF(EquityT!B:B,C18,EquityT!K:K))</f>
        <v>-85410</v>
      </c>
      <c r="F18" s="208"/>
      <c r="G18" s="209">
        <f t="shared" si="0"/>
        <v>28.47</v>
      </c>
      <c r="H18" s="210">
        <f>IF(C18&gt;"",VLOOKUP(C18,Data!$A$3:$D$55,4,FALSE),"")</f>
        <v>37.6</v>
      </c>
      <c r="I18" s="211">
        <f t="shared" si="1"/>
        <v>-112800</v>
      </c>
      <c r="J18" s="212"/>
      <c r="K18" s="213">
        <f t="shared" si="2"/>
        <v>-27390</v>
      </c>
      <c r="L18" s="214">
        <f t="shared" si="3"/>
        <v>-0.32068844397611523</v>
      </c>
      <c r="M18" s="215"/>
      <c r="N18" s="216">
        <f t="shared" si="4"/>
        <v>-112800</v>
      </c>
      <c r="O18" s="163"/>
      <c r="P18" s="166"/>
      <c r="Q18" s="163"/>
      <c r="R18" s="167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  <c r="AC18" s="163"/>
      <c r="AD18" s="163"/>
      <c r="AE18" s="163"/>
      <c r="AF18" s="163"/>
      <c r="AG18" s="163"/>
      <c r="AH18" s="163"/>
      <c r="AI18" s="163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E18" s="163"/>
      <c r="BF18" s="163"/>
      <c r="BG18" s="163"/>
      <c r="BH18" s="163"/>
      <c r="BI18" s="163"/>
      <c r="BJ18" s="163"/>
      <c r="BK18" s="163"/>
      <c r="BL18" s="163"/>
      <c r="BM18" s="163"/>
      <c r="BN18" s="163"/>
      <c r="BO18" s="163"/>
      <c r="BP18" s="163"/>
      <c r="BQ18" s="163"/>
      <c r="BR18" s="163"/>
      <c r="BS18" s="163"/>
      <c r="BT18" s="163"/>
      <c r="BU18" s="163"/>
      <c r="BV18" s="163"/>
      <c r="BW18" s="163"/>
      <c r="BX18" s="163"/>
      <c r="BY18" s="163"/>
      <c r="BZ18" s="163"/>
      <c r="CA18" s="163"/>
      <c r="CB18" s="163"/>
      <c r="CC18" s="163"/>
      <c r="CD18" s="163"/>
    </row>
    <row r="19" spans="1:82" s="157" customFormat="1">
      <c r="A19" s="206">
        <f>IF(C19="","",SUMIF(EquityT!B$5:B$47,C19,EquityT!E$5:E$47))</f>
        <v>3000</v>
      </c>
      <c r="B19" s="192" t="str">
        <f>IF(C19="","",PROPER(VLOOKUP(C19,Data!$A$3:$B$27,2,FALSE)))</f>
        <v>Sorl Auto Parts</v>
      </c>
      <c r="C19" s="288" t="s">
        <v>197</v>
      </c>
      <c r="D19" s="217"/>
      <c r="E19" s="207">
        <f>IF(C19="","",SUMIF(EquityT!B:B,C19,EquityT!K:K))</f>
        <v>12030</v>
      </c>
      <c r="F19" s="208"/>
      <c r="G19" s="209">
        <f t="shared" si="0"/>
        <v>4.01</v>
      </c>
      <c r="H19" s="210">
        <f>IF(C19&gt;"",VLOOKUP(C19,Data!$A$3:$D$55,4,FALSE),"")</f>
        <v>3.84</v>
      </c>
      <c r="I19" s="211">
        <f t="shared" si="1"/>
        <v>11520</v>
      </c>
      <c r="J19" s="212"/>
      <c r="K19" s="213">
        <f t="shared" si="2"/>
        <v>-510</v>
      </c>
      <c r="L19" s="214">
        <f t="shared" si="3"/>
        <v>-4.2394014962593519E-2</v>
      </c>
      <c r="M19" s="215"/>
      <c r="N19" s="216">
        <f t="shared" si="4"/>
        <v>11520</v>
      </c>
      <c r="O19" s="163"/>
      <c r="P19" s="166"/>
      <c r="Q19" s="163"/>
      <c r="R19" s="167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  <c r="AC19" s="163"/>
      <c r="AD19" s="163"/>
      <c r="AE19" s="163"/>
      <c r="AF19" s="163"/>
      <c r="AG19" s="163"/>
      <c r="AH19" s="163"/>
      <c r="AI19" s="163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3"/>
      <c r="BE19" s="163"/>
      <c r="BF19" s="163"/>
      <c r="BG19" s="163"/>
      <c r="BH19" s="163"/>
      <c r="BI19" s="163"/>
      <c r="BJ19" s="163"/>
      <c r="BK19" s="163"/>
      <c r="BL19" s="163"/>
      <c r="BM19" s="163"/>
      <c r="BN19" s="163"/>
      <c r="BO19" s="163"/>
      <c r="BP19" s="163"/>
      <c r="BQ19" s="163"/>
      <c r="BR19" s="163"/>
      <c r="BS19" s="163"/>
      <c r="BT19" s="163"/>
      <c r="BU19" s="163"/>
      <c r="BV19" s="163"/>
      <c r="BW19" s="163"/>
      <c r="BX19" s="163"/>
      <c r="BY19" s="163"/>
      <c r="BZ19" s="163"/>
      <c r="CA19" s="163"/>
      <c r="CB19" s="163"/>
      <c r="CC19" s="163"/>
      <c r="CD19" s="163"/>
    </row>
    <row r="20" spans="1:82" s="157" customFormat="1">
      <c r="A20" s="206">
        <f>IF(C20="","",SUMIF(EquityT!B$5:B$47,C20,EquityT!E$5:E$47))</f>
        <v>-4000</v>
      </c>
      <c r="B20" s="192" t="str">
        <f>IF(C20="","",PROPER(VLOOKUP(C20,Data!$A$3:$B$27,2,FALSE)))</f>
        <v>Wells Fargo &amp; Co</v>
      </c>
      <c r="C20" s="288" t="s">
        <v>201</v>
      </c>
      <c r="D20" s="217"/>
      <c r="E20" s="207">
        <f>IF(C20="","",SUMIF(EquityT!B:B,C20,EquityT!K:K))</f>
        <v>-177120</v>
      </c>
      <c r="F20" s="208"/>
      <c r="G20" s="209">
        <f t="shared" si="0"/>
        <v>44.28</v>
      </c>
      <c r="H20" s="210">
        <f>IF(C20&gt;"",VLOOKUP(C20,Data!$A$3:$D$55,4,FALSE),"")</f>
        <v>52.92</v>
      </c>
      <c r="I20" s="211">
        <f t="shared" si="1"/>
        <v>-211680</v>
      </c>
      <c r="J20" s="212"/>
      <c r="K20" s="213">
        <f t="shared" si="2"/>
        <v>-34560</v>
      </c>
      <c r="L20" s="214">
        <f t="shared" si="3"/>
        <v>-0.1951219512195122</v>
      </c>
      <c r="M20" s="215"/>
      <c r="N20" s="216">
        <f t="shared" si="4"/>
        <v>-211680</v>
      </c>
      <c r="O20" s="163"/>
      <c r="P20" s="166"/>
      <c r="Q20" s="163"/>
      <c r="R20" s="167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163"/>
      <c r="BL20" s="163"/>
      <c r="BM20" s="163"/>
      <c r="BN20" s="163"/>
      <c r="BO20" s="163"/>
      <c r="BP20" s="163"/>
      <c r="BQ20" s="163"/>
      <c r="BR20" s="163"/>
      <c r="BS20" s="163"/>
      <c r="BT20" s="163"/>
      <c r="BU20" s="163"/>
      <c r="BV20" s="163"/>
      <c r="BW20" s="163"/>
      <c r="BX20" s="163"/>
      <c r="BY20" s="163"/>
      <c r="BZ20" s="163"/>
      <c r="CA20" s="163"/>
      <c r="CB20" s="163"/>
      <c r="CC20" s="163"/>
      <c r="CD20" s="163"/>
    </row>
    <row r="21" spans="1:82" s="157" customFormat="1">
      <c r="A21" s="206"/>
      <c r="B21" s="192"/>
      <c r="C21" s="318"/>
      <c r="D21" s="217"/>
      <c r="E21" s="218"/>
      <c r="F21" s="208"/>
      <c r="G21" s="219"/>
      <c r="H21" s="220"/>
      <c r="I21" s="221"/>
      <c r="J21" s="212"/>
      <c r="K21" s="222"/>
      <c r="L21" s="223"/>
      <c r="M21" s="215"/>
      <c r="N21" s="224"/>
      <c r="O21" s="163"/>
      <c r="P21" s="166"/>
      <c r="Q21" s="163"/>
      <c r="R21" s="167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  <c r="AC21" s="163"/>
      <c r="AD21" s="163"/>
      <c r="AE21" s="163"/>
      <c r="AF21" s="163"/>
      <c r="AG21" s="163"/>
      <c r="AH21" s="163"/>
      <c r="AI21" s="163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  <c r="BG21" s="163"/>
      <c r="BH21" s="163"/>
      <c r="BI21" s="163"/>
      <c r="BJ21" s="163"/>
      <c r="BK21" s="163"/>
      <c r="BL21" s="163"/>
      <c r="BM21" s="163"/>
      <c r="BN21" s="163"/>
      <c r="BO21" s="163"/>
      <c r="BP21" s="163"/>
      <c r="BQ21" s="163"/>
      <c r="BR21" s="163"/>
      <c r="BS21" s="163"/>
      <c r="BT21" s="163"/>
      <c r="BU21" s="163"/>
      <c r="BV21" s="163"/>
      <c r="BW21" s="163"/>
      <c r="BX21" s="163"/>
      <c r="BY21" s="163"/>
      <c r="BZ21" s="163"/>
      <c r="CA21" s="163"/>
      <c r="CB21" s="163"/>
      <c r="CC21" s="163"/>
      <c r="CD21" s="163"/>
    </row>
    <row r="22" spans="1:82" s="157" customFormat="1">
      <c r="A22" s="192"/>
      <c r="B22" s="191" t="s">
        <v>10</v>
      </c>
      <c r="C22" s="318"/>
      <c r="D22" s="225"/>
      <c r="E22" s="226">
        <f>SUM(E5:E20)</f>
        <v>1878973.33</v>
      </c>
      <c r="F22" s="227"/>
      <c r="G22" s="228"/>
      <c r="H22" s="229"/>
      <c r="I22" s="226">
        <f>SUM(I5:I20)</f>
        <v>1585070</v>
      </c>
      <c r="J22" s="218"/>
      <c r="K22" s="226">
        <f>SUM(K5:K20)</f>
        <v>-293903.33</v>
      </c>
      <c r="L22" s="230">
        <f>IF(E22=0,"",K22/E22)</f>
        <v>-0.15641697798871898</v>
      </c>
      <c r="M22" s="231"/>
      <c r="N22" s="232">
        <f>ROUND(I22*$N$4,2)</f>
        <v>1585070</v>
      </c>
      <c r="P22" s="166"/>
    </row>
    <row r="23" spans="1:82" s="157" customFormat="1">
      <c r="A23" s="192"/>
      <c r="B23" s="191" t="s">
        <v>11</v>
      </c>
      <c r="C23" s="318"/>
      <c r="D23" s="233"/>
      <c r="E23" s="234">
        <f>Cash!C17</f>
        <v>1938571.16</v>
      </c>
      <c r="F23" s="227"/>
      <c r="G23" s="228"/>
      <c r="H23" s="235"/>
      <c r="I23" s="236">
        <f>E23</f>
        <v>1938571.16</v>
      </c>
      <c r="J23" s="218"/>
      <c r="K23" s="663" t="str">
        <f>IF(ROUND(K22,2)=ROUND(I22-E22,2),"","UNREALIZED GAIN OUT OF BALANCE")</f>
        <v/>
      </c>
      <c r="L23" s="663"/>
      <c r="M23" s="192"/>
      <c r="N23" s="229">
        <f>ROUND(I23*$N$4,2)</f>
        <v>1938571.16</v>
      </c>
      <c r="P23" s="166"/>
    </row>
    <row r="24" spans="1:82" s="157" customFormat="1">
      <c r="A24" s="192"/>
      <c r="B24" s="191" t="s">
        <v>12</v>
      </c>
      <c r="C24" s="318"/>
      <c r="D24" s="233"/>
      <c r="E24" s="234"/>
      <c r="F24" s="227"/>
      <c r="G24" s="228"/>
      <c r="H24" s="236"/>
      <c r="I24" s="236">
        <f>Dividends!I15</f>
        <v>-860</v>
      </c>
      <c r="J24" s="218"/>
      <c r="K24" s="663"/>
      <c r="L24" s="663"/>
      <c r="M24" s="192"/>
      <c r="N24" s="229">
        <f>ROUND(I24*$N$4,2)</f>
        <v>-860</v>
      </c>
      <c r="P24" s="166"/>
    </row>
    <row r="25" spans="1:82" s="157" customFormat="1" ht="13" thickBot="1">
      <c r="A25" s="192"/>
      <c r="B25" s="191" t="s">
        <v>13</v>
      </c>
      <c r="C25" s="318"/>
      <c r="D25" s="233"/>
      <c r="E25" s="237">
        <f>E23+E22</f>
        <v>3817544.49</v>
      </c>
      <c r="F25" s="227"/>
      <c r="G25" s="228"/>
      <c r="H25" s="238"/>
      <c r="I25" s="237">
        <f>I22+I23+I24</f>
        <v>3522781.16</v>
      </c>
      <c r="J25" s="218"/>
      <c r="K25" s="663"/>
      <c r="L25" s="663"/>
      <c r="M25" s="192"/>
      <c r="N25" s="239">
        <f>SUM(N22:N24)</f>
        <v>3522781.16</v>
      </c>
      <c r="P25" s="166"/>
    </row>
    <row r="26" spans="1:82" s="157" customFormat="1" ht="13" thickTop="1">
      <c r="A26" s="192"/>
      <c r="B26" s="233"/>
      <c r="C26" s="318"/>
      <c r="D26" s="233"/>
      <c r="E26" s="218"/>
      <c r="F26" s="227"/>
      <c r="G26" s="228"/>
      <c r="H26" s="233"/>
      <c r="I26" s="218"/>
      <c r="J26" s="218"/>
      <c r="K26" s="218"/>
      <c r="L26" s="218"/>
      <c r="M26" s="192"/>
      <c r="N26" s="240" t="str">
        <f>IF(ABS(N25-(I25*N4))&gt;0.01,"N13-I13","")</f>
        <v/>
      </c>
      <c r="P26" s="166"/>
    </row>
    <row r="27" spans="1:82" s="162" customFormat="1" hidden="1">
      <c r="A27" s="241"/>
      <c r="B27" s="242" t="s">
        <v>1</v>
      </c>
      <c r="C27" s="665" t="str">
        <f>Data!B51</f>
        <v>Euro</v>
      </c>
      <c r="D27" s="665"/>
      <c r="E27" s="665"/>
      <c r="F27" s="242"/>
      <c r="G27" s="660" t="s">
        <v>58</v>
      </c>
      <c r="H27" s="660"/>
      <c r="I27" s="660"/>
      <c r="J27" s="244"/>
      <c r="K27" s="242" t="s">
        <v>2</v>
      </c>
      <c r="L27" s="242"/>
      <c r="M27" s="242"/>
      <c r="N27" s="245" t="s">
        <v>64</v>
      </c>
      <c r="P27" s="166"/>
    </row>
    <row r="28" spans="1:82" s="157" customFormat="1" hidden="1">
      <c r="A28" s="198" t="s">
        <v>3</v>
      </c>
      <c r="B28" s="198" t="s">
        <v>4</v>
      </c>
      <c r="C28" s="198" t="s">
        <v>5</v>
      </c>
      <c r="D28" s="199"/>
      <c r="E28" s="200" t="s">
        <v>6</v>
      </c>
      <c r="F28" s="200"/>
      <c r="G28" s="200" t="s">
        <v>96</v>
      </c>
      <c r="H28" s="201" t="s">
        <v>21</v>
      </c>
      <c r="I28" s="202" t="s">
        <v>7</v>
      </c>
      <c r="J28" s="202"/>
      <c r="K28" s="198" t="s">
        <v>8</v>
      </c>
      <c r="L28" s="203" t="s">
        <v>9</v>
      </c>
      <c r="M28" s="204" t="s">
        <v>65</v>
      </c>
      <c r="N28" s="205">
        <f>Data!$D$51</f>
        <v>1.0580830000000001</v>
      </c>
      <c r="O28" s="163"/>
      <c r="P28" s="166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3"/>
      <c r="AE28" s="163"/>
      <c r="AF28" s="163"/>
      <c r="AG28" s="163"/>
      <c r="AH28" s="163"/>
      <c r="AI28" s="163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  <c r="BF28" s="163"/>
      <c r="BG28" s="163"/>
      <c r="BH28" s="163"/>
      <c r="BI28" s="163"/>
      <c r="BJ28" s="163"/>
      <c r="BK28" s="163"/>
      <c r="BL28" s="163"/>
      <c r="BM28" s="163"/>
      <c r="BN28" s="163"/>
      <c r="BO28" s="163"/>
      <c r="BP28" s="163"/>
      <c r="BQ28" s="163"/>
      <c r="BR28" s="163"/>
      <c r="BS28" s="163"/>
      <c r="BT28" s="163"/>
      <c r="BU28" s="163"/>
      <c r="BV28" s="163"/>
      <c r="BW28" s="163"/>
      <c r="BX28" s="163"/>
      <c r="BY28" s="163"/>
      <c r="BZ28" s="163"/>
      <c r="CA28" s="163"/>
      <c r="CB28" s="163"/>
      <c r="CC28" s="163"/>
      <c r="CD28" s="163"/>
    </row>
    <row r="29" spans="1:82" s="157" customFormat="1" hidden="1">
      <c r="A29" s="206" t="str">
        <f>IF(C29="","",SUMIF([2]EquityT!B$52:B$56,C29,[2]EquityT!E$52:E$56))</f>
        <v/>
      </c>
      <c r="B29" s="192" t="str">
        <f>IF(C29="","",PROPER(VLOOKUP(C29,[2]Data!$A$3:$B$33,2,FALSE)))</f>
        <v/>
      </c>
      <c r="C29" s="246"/>
      <c r="D29" s="192"/>
      <c r="E29" s="207" t="str">
        <f>IF(C29="","",SUMIF(EquityT!B:B,C29,EquityT!K:K))</f>
        <v/>
      </c>
      <c r="F29" s="208"/>
      <c r="G29" s="209" t="str">
        <f>IF(C29&gt;"",E29/A29,"")</f>
        <v/>
      </c>
      <c r="H29" s="210" t="str">
        <f>IF(C29&gt;"",VLOOKUP(C29,[2]Data!$A$3:$D$55,4,FALSE),"")</f>
        <v/>
      </c>
      <c r="I29" s="247" t="str">
        <f>IF(C29="","",H29*A29)</f>
        <v/>
      </c>
      <c r="J29" s="212"/>
      <c r="K29" s="247" t="str">
        <f>IF(C29="","",I29-E29)</f>
        <v/>
      </c>
      <c r="L29" s="214" t="str">
        <f>IF(C29="","",IF(I29&gt;0,1,-1)*K29/E29)</f>
        <v/>
      </c>
      <c r="M29" s="215"/>
      <c r="N29" s="248" t="str">
        <f>IF(I29="","",ROUND(I29*$N$28,2))</f>
        <v/>
      </c>
      <c r="O29" s="163"/>
      <c r="P29" s="166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  <c r="AC29" s="163"/>
      <c r="AD29" s="163"/>
      <c r="AE29" s="163"/>
      <c r="AF29" s="163"/>
      <c r="AG29" s="163"/>
      <c r="AH29" s="163"/>
      <c r="AI29" s="163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  <c r="BF29" s="163"/>
      <c r="BG29" s="163"/>
      <c r="BH29" s="163"/>
      <c r="BI29" s="163"/>
      <c r="BJ29" s="163"/>
      <c r="BK29" s="163"/>
      <c r="BL29" s="163"/>
      <c r="BM29" s="163"/>
      <c r="BN29" s="163"/>
      <c r="BO29" s="163"/>
      <c r="BP29" s="163"/>
      <c r="BQ29" s="163"/>
      <c r="BR29" s="163"/>
      <c r="BS29" s="163"/>
      <c r="BT29" s="163"/>
      <c r="BU29" s="163"/>
      <c r="BV29" s="163"/>
      <c r="BW29" s="163"/>
      <c r="BX29" s="163"/>
      <c r="BY29" s="163"/>
      <c r="BZ29" s="163"/>
      <c r="CA29" s="163"/>
      <c r="CB29" s="163"/>
      <c r="CC29" s="163"/>
      <c r="CD29" s="163"/>
    </row>
    <row r="30" spans="1:82" s="157" customFormat="1" hidden="1">
      <c r="A30" s="206" t="str">
        <f>IF(C30="","",SUMIF([2]EquityT!B$52:B$56,C30,[2]EquityT!E$52:E$56))</f>
        <v/>
      </c>
      <c r="B30" s="192" t="str">
        <f>IF(C30="","",PROPER(VLOOKUP(C30,[2]Data!$A$3:$B$33,2,FALSE)))</f>
        <v/>
      </c>
      <c r="C30" s="246"/>
      <c r="D30" s="192"/>
      <c r="E30" s="207" t="str">
        <f>IF(C30="","",SUMIF([2]EquityT!B:B,C30,[2]EquityT!K:K))</f>
        <v/>
      </c>
      <c r="F30" s="208"/>
      <c r="G30" s="209" t="str">
        <f t="shared" ref="G30:G31" si="5">IF(C30&gt;"",E30/A30,"")</f>
        <v/>
      </c>
      <c r="H30" s="210" t="str">
        <f>IF(C30&gt;"",VLOOKUP(C30,[2]Data!$A$3:$D$55,4,FALSE),"")</f>
        <v/>
      </c>
      <c r="I30" s="247" t="str">
        <f t="shared" ref="I30:I31" si="6">IF(C30="","",H30*A30)</f>
        <v/>
      </c>
      <c r="J30" s="212"/>
      <c r="K30" s="247" t="str">
        <f t="shared" ref="K30:K31" si="7">IF(C30="","",I30-E30)</f>
        <v/>
      </c>
      <c r="L30" s="214" t="str">
        <f t="shared" ref="L30:L31" si="8">IF(C30="","",IF(I30&gt;0,1,-1)*K30/E30)</f>
        <v/>
      </c>
      <c r="M30" s="215"/>
      <c r="N30" s="248" t="str">
        <f t="shared" ref="N30:N31" si="9">IF(I30="","",ROUND(I30*$N$28,2))</f>
        <v/>
      </c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3"/>
      <c r="AE30" s="163"/>
      <c r="AF30" s="163"/>
      <c r="AG30" s="163"/>
      <c r="AH30" s="163"/>
      <c r="AI30" s="163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  <c r="BF30" s="163"/>
      <c r="BG30" s="163"/>
      <c r="BH30" s="163"/>
      <c r="BI30" s="163"/>
      <c r="BJ30" s="163"/>
      <c r="BK30" s="163"/>
      <c r="BL30" s="163"/>
      <c r="BM30" s="163"/>
      <c r="BN30" s="163"/>
      <c r="BO30" s="163"/>
      <c r="BP30" s="163"/>
      <c r="BQ30" s="163"/>
      <c r="BR30" s="163"/>
      <c r="BS30" s="163"/>
      <c r="BT30" s="163"/>
      <c r="BU30" s="163"/>
      <c r="BV30" s="163"/>
      <c r="BW30" s="163"/>
      <c r="BX30" s="163"/>
      <c r="BY30" s="163"/>
      <c r="BZ30" s="163"/>
      <c r="CA30" s="163"/>
      <c r="CB30" s="163"/>
      <c r="CC30" s="163"/>
      <c r="CD30" s="163"/>
    </row>
    <row r="31" spans="1:82" s="157" customFormat="1" hidden="1">
      <c r="A31" s="206" t="str">
        <f>IF(C31="","",SUMIF([2]EquityT!B$52:B$56,C31,[2]EquityT!E$52:E$56))</f>
        <v/>
      </c>
      <c r="B31" s="192" t="str">
        <f>IF(C31="","",PROPER(VLOOKUP(C31,[2]Data!$A$3:$B$33,2,FALSE)))</f>
        <v/>
      </c>
      <c r="C31" s="246"/>
      <c r="D31" s="217"/>
      <c r="E31" s="207" t="str">
        <f>IF(C31="","",SUMIF([2]EquityT!B:B,C31,[2]EquityT!K:K))</f>
        <v/>
      </c>
      <c r="F31" s="208"/>
      <c r="G31" s="209" t="str">
        <f t="shared" si="5"/>
        <v/>
      </c>
      <c r="H31" s="210" t="str">
        <f>IF(C31&gt;"",VLOOKUP(C31,[2]Data!$A$3:$D$55,4,FALSE),"")</f>
        <v/>
      </c>
      <c r="I31" s="247" t="str">
        <f t="shared" si="6"/>
        <v/>
      </c>
      <c r="J31" s="212"/>
      <c r="K31" s="247" t="str">
        <f t="shared" si="7"/>
        <v/>
      </c>
      <c r="L31" s="214" t="str">
        <f t="shared" si="8"/>
        <v/>
      </c>
      <c r="M31" s="215"/>
      <c r="N31" s="248" t="str">
        <f t="shared" si="9"/>
        <v/>
      </c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3"/>
      <c r="AE31" s="163"/>
      <c r="AF31" s="163"/>
      <c r="AG31" s="163"/>
      <c r="AH31" s="163"/>
      <c r="AI31" s="163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  <c r="BF31" s="163"/>
      <c r="BG31" s="163"/>
      <c r="BH31" s="163"/>
      <c r="BI31" s="163"/>
      <c r="BJ31" s="163"/>
      <c r="BK31" s="163"/>
      <c r="BL31" s="163"/>
      <c r="BM31" s="163"/>
      <c r="BN31" s="163"/>
      <c r="BO31" s="163"/>
      <c r="BP31" s="163"/>
      <c r="BQ31" s="163"/>
      <c r="BR31" s="163"/>
      <c r="BS31" s="163"/>
      <c r="BT31" s="163"/>
      <c r="BU31" s="163"/>
      <c r="BV31" s="163"/>
      <c r="BW31" s="163"/>
      <c r="BX31" s="163"/>
      <c r="BY31" s="163"/>
      <c r="BZ31" s="163"/>
      <c r="CA31" s="163"/>
      <c r="CB31" s="163"/>
      <c r="CC31" s="163"/>
      <c r="CD31" s="163"/>
    </row>
    <row r="32" spans="1:82" s="157" customFormat="1" hidden="1">
      <c r="A32" s="206"/>
      <c r="B32" s="192"/>
      <c r="C32" s="215"/>
      <c r="D32" s="217"/>
      <c r="E32" s="207" t="str">
        <f>IF(C32="","",SUMIF([2]EquityT!B:B,C32,[2]EquityT!K:K))</f>
        <v/>
      </c>
      <c r="F32" s="208"/>
      <c r="G32" s="219"/>
      <c r="H32" s="249"/>
      <c r="I32" s="250"/>
      <c r="J32" s="212"/>
      <c r="K32" s="251"/>
      <c r="L32" s="223"/>
      <c r="M32" s="215"/>
      <c r="N32" s="252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3"/>
      <c r="AE32" s="163"/>
      <c r="AF32" s="163"/>
      <c r="AG32" s="163"/>
      <c r="AH32" s="163"/>
      <c r="AI32" s="163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  <c r="BF32" s="163"/>
      <c r="BG32" s="163"/>
      <c r="BH32" s="163"/>
      <c r="BI32" s="163"/>
      <c r="BJ32" s="163"/>
      <c r="BK32" s="163"/>
      <c r="BL32" s="163"/>
      <c r="BM32" s="163"/>
      <c r="BN32" s="163"/>
      <c r="BO32" s="163"/>
      <c r="BP32" s="163"/>
      <c r="BQ32" s="163"/>
      <c r="BR32" s="163"/>
      <c r="BS32" s="163"/>
      <c r="BT32" s="163"/>
      <c r="BU32" s="163"/>
      <c r="BV32" s="163"/>
      <c r="BW32" s="163"/>
      <c r="BX32" s="163"/>
      <c r="BY32" s="163"/>
      <c r="BZ32" s="163"/>
      <c r="CA32" s="163"/>
      <c r="CB32" s="163"/>
      <c r="CC32" s="163"/>
      <c r="CD32" s="163"/>
    </row>
    <row r="33" spans="1:15" s="157" customFormat="1" hidden="1">
      <c r="A33" s="192"/>
      <c r="B33" s="191" t="s">
        <v>10</v>
      </c>
      <c r="C33" s="225"/>
      <c r="D33" s="225"/>
      <c r="E33" s="253">
        <f>SUM(E29:E32)</f>
        <v>0</v>
      </c>
      <c r="F33" s="227"/>
      <c r="G33" s="228"/>
      <c r="H33" s="254"/>
      <c r="I33" s="253">
        <f>SUM(I29:I32)</f>
        <v>0</v>
      </c>
      <c r="J33" s="218"/>
      <c r="K33" s="253">
        <f>SUM(K29:K32)</f>
        <v>0</v>
      </c>
      <c r="L33" s="230" t="str">
        <f>IF(E33=0,"",K33/E33)</f>
        <v/>
      </c>
      <c r="M33" s="231"/>
      <c r="N33" s="255">
        <f>ROUND(I33*$N$28,2)</f>
        <v>0</v>
      </c>
    </row>
    <row r="34" spans="1:15" s="157" customFormat="1" hidden="1">
      <c r="A34" s="192"/>
      <c r="B34" s="191" t="s">
        <v>11</v>
      </c>
      <c r="C34" s="192"/>
      <c r="D34" s="233"/>
      <c r="E34" s="256">
        <f>Cash!E17</f>
        <v>0</v>
      </c>
      <c r="F34" s="227"/>
      <c r="G34" s="228"/>
      <c r="H34" s="192"/>
      <c r="I34" s="256">
        <f>E34</f>
        <v>0</v>
      </c>
      <c r="J34" s="218"/>
      <c r="K34" s="663" t="str">
        <f>IF(ROUND(K33,2)=ROUND(I33-E33,2),"","UNREALIZED GAIN OUT OF BALANCE")</f>
        <v/>
      </c>
      <c r="L34" s="663"/>
      <c r="M34" s="192"/>
      <c r="N34" s="257">
        <f>ROUND(I34*$N$28,2)</f>
        <v>0</v>
      </c>
      <c r="O34" s="158"/>
    </row>
    <row r="35" spans="1:15" s="157" customFormat="1" hidden="1">
      <c r="A35" s="192"/>
      <c r="B35" s="191" t="s">
        <v>12</v>
      </c>
      <c r="C35" s="233"/>
      <c r="D35" s="233"/>
      <c r="E35" s="256"/>
      <c r="F35" s="227"/>
      <c r="G35" s="228"/>
      <c r="H35" s="228"/>
      <c r="I35" s="256">
        <f>Dividends!I21</f>
        <v>0</v>
      </c>
      <c r="J35" s="218"/>
      <c r="K35" s="663"/>
      <c r="L35" s="663"/>
      <c r="M35" s="192"/>
      <c r="N35" s="257">
        <f>ROUND(I35*$N$28,2)</f>
        <v>0</v>
      </c>
    </row>
    <row r="36" spans="1:15" s="157" customFormat="1" ht="13" hidden="1" thickBot="1">
      <c r="A36" s="192"/>
      <c r="B36" s="191" t="s">
        <v>13</v>
      </c>
      <c r="C36" s="233"/>
      <c r="D36" s="233"/>
      <c r="E36" s="258">
        <f>E34+E33</f>
        <v>0</v>
      </c>
      <c r="F36" s="227"/>
      <c r="G36" s="228"/>
      <c r="H36" s="233"/>
      <c r="I36" s="258">
        <f>I33+I34+I35</f>
        <v>0</v>
      </c>
      <c r="J36" s="218"/>
      <c r="K36" s="663"/>
      <c r="L36" s="663"/>
      <c r="M36" s="192"/>
      <c r="N36" s="259">
        <f>SUM(N33:N35)</f>
        <v>0</v>
      </c>
    </row>
    <row r="37" spans="1:15" s="157" customFormat="1" ht="13" hidden="1" thickTop="1">
      <c r="A37" s="192"/>
      <c r="B37" s="191"/>
      <c r="C37" s="233"/>
      <c r="D37" s="233"/>
      <c r="E37" s="260"/>
      <c r="F37" s="227"/>
      <c r="G37" s="228"/>
      <c r="H37" s="233"/>
      <c r="I37" s="250"/>
      <c r="J37" s="218"/>
      <c r="K37" s="218"/>
      <c r="L37" s="218"/>
      <c r="M37" s="192"/>
      <c r="N37" s="240" t="str">
        <f>IF(ABS(N36-(I36*N28))&gt;0.01,"N13-I13","")</f>
        <v/>
      </c>
    </row>
    <row r="38" spans="1:15" s="162" customFormat="1" hidden="1">
      <c r="A38" s="261"/>
      <c r="B38" s="262" t="s">
        <v>1</v>
      </c>
      <c r="C38" s="664" t="str">
        <f>Data!B52</f>
        <v>Pounds Sterling</v>
      </c>
      <c r="D38" s="664"/>
      <c r="E38" s="664"/>
      <c r="F38" s="262"/>
      <c r="G38" s="661" t="s">
        <v>58</v>
      </c>
      <c r="H38" s="661"/>
      <c r="I38" s="661"/>
      <c r="J38" s="263"/>
      <c r="K38" s="262" t="s">
        <v>2</v>
      </c>
      <c r="L38" s="262"/>
      <c r="M38" s="262"/>
      <c r="N38" s="264" t="s">
        <v>64</v>
      </c>
    </row>
    <row r="39" spans="1:15" s="157" customFormat="1" hidden="1">
      <c r="A39" s="198" t="s">
        <v>3</v>
      </c>
      <c r="B39" s="198" t="s">
        <v>4</v>
      </c>
      <c r="C39" s="198" t="s">
        <v>5</v>
      </c>
      <c r="D39" s="199"/>
      <c r="E39" s="200" t="s">
        <v>6</v>
      </c>
      <c r="F39" s="200"/>
      <c r="G39" s="200" t="s">
        <v>96</v>
      </c>
      <c r="H39" s="201" t="s">
        <v>21</v>
      </c>
      <c r="I39" s="202" t="s">
        <v>7</v>
      </c>
      <c r="J39" s="202"/>
      <c r="K39" s="198" t="s">
        <v>8</v>
      </c>
      <c r="L39" s="203" t="s">
        <v>9</v>
      </c>
      <c r="M39" s="265" t="s">
        <v>65</v>
      </c>
      <c r="N39" s="266">
        <f>Data!$D$52</f>
        <v>1.248532</v>
      </c>
    </row>
    <row r="40" spans="1:15" s="157" customFormat="1" ht="13" hidden="1" customHeight="1">
      <c r="A40" s="206" t="str">
        <f>IF(C40="","",SUMIF(EquityT!B$7:B$58,C40,EquityT!E$7:E$58))</f>
        <v/>
      </c>
      <c r="B40" s="192" t="str">
        <f>IF(C40="","",PROPER(VLOOKUP(C40,Data!$A$3:$B$33,2,FALSE)))</f>
        <v/>
      </c>
      <c r="C40" s="246"/>
      <c r="D40" s="192"/>
      <c r="E40" s="207" t="str">
        <f>IF(C40="","",SUMIF(EquityT!B:B,C40,EquityT!K:K))</f>
        <v/>
      </c>
      <c r="F40" s="208"/>
      <c r="G40" s="209" t="str">
        <f>IF(C40&gt;"",E40/A40,"")</f>
        <v/>
      </c>
      <c r="H40" s="209" t="str">
        <f>IF(C40&gt;"",VLOOKUP(C40,[2]Data!$A$3:$D$55,4,FALSE),"")</f>
        <v/>
      </c>
      <c r="I40" s="267">
        <f>IF(C40="",0,H40*A40)</f>
        <v>0</v>
      </c>
      <c r="J40" s="212"/>
      <c r="K40" s="268" t="str">
        <f>IF(C40="","",I40-E40)</f>
        <v/>
      </c>
      <c r="L40" s="214" t="str">
        <f>IF(C40="","",IF(I40&gt;0,1,-1)*K40/E40)</f>
        <v/>
      </c>
      <c r="M40" s="192"/>
      <c r="N40" s="257">
        <f>IF(I40="","",ROUND(I40*$N$39,2))</f>
        <v>0</v>
      </c>
    </row>
    <row r="41" spans="1:15" s="157" customFormat="1" hidden="1">
      <c r="A41" s="206" t="str">
        <f>IF(C41="","",SUMIF(EquityT!B$7:B$58,C41,EquityT!E$7:E$58))</f>
        <v/>
      </c>
      <c r="B41" s="192" t="str">
        <f>IF(C41="","",PROPER(VLOOKUP(C41,Data!$A$3:$B$33,2,FALSE)))</f>
        <v/>
      </c>
      <c r="C41" s="246"/>
      <c r="D41" s="192"/>
      <c r="E41" s="207" t="str">
        <f>IF(C41="","",SUMIF(EquityT!B:B,C41,EquityT!K:K))</f>
        <v/>
      </c>
      <c r="F41" s="208"/>
      <c r="G41" s="219"/>
      <c r="H41" s="249" t="str">
        <f>IF(C41&gt;"",VLOOKUP(C41,[2]Data!$A$3:$D$55,4,FALSE),"")</f>
        <v/>
      </c>
      <c r="I41" s="269" t="str">
        <f>IF(C41="","",H41*A41)</f>
        <v/>
      </c>
      <c r="J41" s="212"/>
      <c r="K41" s="269" t="str">
        <f>IF(C41="","",I41-E41)</f>
        <v/>
      </c>
      <c r="L41" s="270" t="str">
        <f>IF(C41="","",IF(I41&gt;0,1,-1)*K41/E41)</f>
        <v/>
      </c>
      <c r="M41" s="271"/>
      <c r="N41" s="272" t="str">
        <f>IF(I41="","",ROUND(I41*$N$39,2))</f>
        <v/>
      </c>
    </row>
    <row r="42" spans="1:15" s="157" customFormat="1" hidden="1">
      <c r="A42" s="206"/>
      <c r="B42" s="192"/>
      <c r="C42" s="215"/>
      <c r="D42" s="217"/>
      <c r="E42" s="207" t="str">
        <f>IF(C42="","",SUMIF(EquityT!B:B,C42,EquityT!K:K))</f>
        <v/>
      </c>
      <c r="F42" s="208"/>
      <c r="G42" s="219"/>
      <c r="H42" s="273"/>
      <c r="I42" s="274"/>
      <c r="J42" s="212"/>
      <c r="K42" s="275"/>
      <c r="L42" s="270"/>
      <c r="M42" s="192"/>
      <c r="N42" s="271"/>
    </row>
    <row r="43" spans="1:15" s="157" customFormat="1" hidden="1">
      <c r="A43" s="192"/>
      <c r="B43" s="191" t="s">
        <v>10</v>
      </c>
      <c r="C43" s="225"/>
      <c r="D43" s="225"/>
      <c r="E43" s="268">
        <f>SUM(E40:E41)</f>
        <v>0</v>
      </c>
      <c r="F43" s="227"/>
      <c r="G43" s="228"/>
      <c r="H43" s="254"/>
      <c r="I43" s="268">
        <f>SUM(I40:I41)</f>
        <v>0</v>
      </c>
      <c r="J43" s="218"/>
      <c r="K43" s="268">
        <f>SUM(K40:K41)</f>
        <v>0</v>
      </c>
      <c r="L43" s="214" t="str">
        <f>IF(E43=0,"",K43/E43)</f>
        <v/>
      </c>
      <c r="M43" s="192"/>
      <c r="N43" s="276">
        <f>ROUND(I43*$N$39,2)</f>
        <v>0</v>
      </c>
    </row>
    <row r="44" spans="1:15" s="157" customFormat="1" hidden="1">
      <c r="A44" s="192"/>
      <c r="B44" s="191" t="s">
        <v>11</v>
      </c>
      <c r="C44" s="192"/>
      <c r="D44" s="233"/>
      <c r="E44" s="268">
        <f>Cash!G17</f>
        <v>0</v>
      </c>
      <c r="F44" s="227"/>
      <c r="G44" s="228"/>
      <c r="H44" s="192"/>
      <c r="I44" s="268">
        <f>E44</f>
        <v>0</v>
      </c>
      <c r="J44" s="218"/>
      <c r="K44" s="663" t="str">
        <f>IF(ROUND(K43,2)=ROUND(I43-E43,2),"","UNREALIZED GAIN OUT OF BALANCE")</f>
        <v/>
      </c>
      <c r="L44" s="663"/>
      <c r="M44" s="192"/>
      <c r="N44" s="276">
        <f>ROUND(I44*$N$39,2)</f>
        <v>0</v>
      </c>
    </row>
    <row r="45" spans="1:15" s="157" customFormat="1" hidden="1">
      <c r="A45" s="192"/>
      <c r="B45" s="191" t="s">
        <v>12</v>
      </c>
      <c r="C45" s="233"/>
      <c r="D45" s="233"/>
      <c r="E45" s="250"/>
      <c r="F45" s="227"/>
      <c r="G45" s="228"/>
      <c r="H45" s="228"/>
      <c r="I45" s="268">
        <f>[2]Dividends!I25</f>
        <v>0</v>
      </c>
      <c r="J45" s="218"/>
      <c r="K45" s="663"/>
      <c r="L45" s="663"/>
      <c r="M45" s="192"/>
      <c r="N45" s="276">
        <f>ROUND(I45*$N$39,2)</f>
        <v>0</v>
      </c>
    </row>
    <row r="46" spans="1:15" s="157" customFormat="1" ht="13" hidden="1" thickBot="1">
      <c r="A46" s="192"/>
      <c r="B46" s="191" t="s">
        <v>13</v>
      </c>
      <c r="C46" s="233"/>
      <c r="D46" s="233"/>
      <c r="E46" s="277">
        <f>E44+E43</f>
        <v>0</v>
      </c>
      <c r="F46" s="227"/>
      <c r="G46" s="228"/>
      <c r="H46" s="233"/>
      <c r="I46" s="277">
        <f>I43+I44+I45</f>
        <v>0</v>
      </c>
      <c r="J46" s="218"/>
      <c r="K46" s="663"/>
      <c r="L46" s="663"/>
      <c r="M46" s="192"/>
      <c r="N46" s="259">
        <f>SUM(N43:N45)</f>
        <v>0</v>
      </c>
    </row>
    <row r="47" spans="1:15" s="157" customFormat="1" ht="13" hidden="1" thickTop="1">
      <c r="A47" s="192"/>
      <c r="B47" s="191"/>
      <c r="C47" s="233"/>
      <c r="D47" s="233"/>
      <c r="E47" s="278"/>
      <c r="F47" s="227"/>
      <c r="G47" s="228"/>
      <c r="H47" s="233"/>
      <c r="I47" s="278"/>
      <c r="J47" s="218"/>
      <c r="K47" s="218"/>
      <c r="L47" s="218"/>
      <c r="M47" s="192"/>
      <c r="N47" s="240" t="str">
        <f>IF(ABS(N46-(I46*N39))&gt;0.01,"N13-I13","")</f>
        <v/>
      </c>
    </row>
    <row r="48" spans="1:15" s="162" customFormat="1" hidden="1">
      <c r="A48" s="279"/>
      <c r="B48" s="279" t="s">
        <v>1</v>
      </c>
      <c r="C48" s="671" t="str">
        <f>Data!B53</f>
        <v>Canadian Dollars</v>
      </c>
      <c r="D48" s="671"/>
      <c r="E48" s="671"/>
      <c r="F48" s="279"/>
      <c r="G48" s="666" t="s">
        <v>58</v>
      </c>
      <c r="H48" s="666"/>
      <c r="I48" s="666"/>
      <c r="J48" s="280"/>
      <c r="K48" s="279" t="s">
        <v>2</v>
      </c>
      <c r="L48" s="279"/>
      <c r="M48" s="279"/>
      <c r="N48" s="279" t="s">
        <v>64</v>
      </c>
    </row>
    <row r="49" spans="1:82" s="157" customFormat="1" hidden="1">
      <c r="A49" s="198" t="s">
        <v>3</v>
      </c>
      <c r="B49" s="198" t="s">
        <v>4</v>
      </c>
      <c r="C49" s="198" t="s">
        <v>5</v>
      </c>
      <c r="D49" s="199"/>
      <c r="E49" s="200" t="s">
        <v>6</v>
      </c>
      <c r="F49" s="200"/>
      <c r="G49" s="200" t="s">
        <v>96</v>
      </c>
      <c r="H49" s="201" t="s">
        <v>21</v>
      </c>
      <c r="I49" s="202" t="s">
        <v>7</v>
      </c>
      <c r="J49" s="202"/>
      <c r="K49" s="198" t="s">
        <v>8</v>
      </c>
      <c r="L49" s="203" t="s">
        <v>9</v>
      </c>
      <c r="M49" s="204" t="s">
        <v>65</v>
      </c>
      <c r="N49" s="205">
        <f>Data!D53</f>
        <v>0.74473699999999998</v>
      </c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63"/>
      <c r="BG49" s="163"/>
      <c r="BH49" s="163"/>
      <c r="BI49" s="163"/>
      <c r="BJ49" s="163"/>
      <c r="BK49" s="163"/>
      <c r="BL49" s="163"/>
      <c r="BM49" s="163"/>
      <c r="BN49" s="163"/>
      <c r="BO49" s="163"/>
      <c r="BP49" s="163"/>
      <c r="BQ49" s="163"/>
      <c r="BR49" s="163"/>
      <c r="BS49" s="163"/>
      <c r="BT49" s="163"/>
      <c r="BU49" s="163"/>
      <c r="BV49" s="163"/>
      <c r="BW49" s="163"/>
      <c r="BX49" s="163"/>
      <c r="BY49" s="163"/>
      <c r="BZ49" s="163"/>
      <c r="CA49" s="163"/>
      <c r="CB49" s="163"/>
      <c r="CC49" s="163"/>
      <c r="CD49" s="163"/>
    </row>
    <row r="50" spans="1:82" s="157" customFormat="1" hidden="1">
      <c r="A50" s="206" t="str">
        <f>IF(C50="","",SUMIF(EquityT!B$7:B$58,C50,EquityT!E$7:E$58))</f>
        <v/>
      </c>
      <c r="B50" s="192" t="str">
        <f>IF(C50="","",PROPER(VLOOKUP(C50,Data!$A$3:$B$33,2,FALSE)))</f>
        <v/>
      </c>
      <c r="C50" s="246"/>
      <c r="D50" s="192"/>
      <c r="E50" s="207" t="str">
        <f>IF(C50="","",SUMIF(EquityT!B:B,C50,EquityT!K:K))</f>
        <v/>
      </c>
      <c r="F50" s="208"/>
      <c r="G50" s="209" t="str">
        <f t="shared" ref="G50" si="10">IF(C50&gt;"",E50/A50,"")</f>
        <v/>
      </c>
      <c r="H50" s="281" t="str">
        <f>IF(C50&gt;"",VLOOKUP(C50,[2]Data!$A$3:$D$55,4,FALSE),"")</f>
        <v/>
      </c>
      <c r="I50" s="281" t="str">
        <f>IF(C50="","",H50*A50)</f>
        <v/>
      </c>
      <c r="J50" s="212"/>
      <c r="K50" s="281" t="str">
        <f>IF(C50="","",I50-E50)</f>
        <v/>
      </c>
      <c r="L50" s="214" t="str">
        <f>IF(C50="","",IF(I50&gt;0,1,-1)*K50/E50)</f>
        <v/>
      </c>
      <c r="M50" s="215"/>
      <c r="N50" s="257" t="str">
        <f>IF(I50="","",ROUND(I50*$N$49,2))</f>
        <v/>
      </c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3"/>
      <c r="AE50" s="163"/>
      <c r="AF50" s="163"/>
      <c r="AG50" s="163"/>
      <c r="AH50" s="163"/>
      <c r="AI50" s="163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  <c r="BF50" s="163"/>
      <c r="BG50" s="163"/>
      <c r="BH50" s="163"/>
      <c r="BI50" s="163"/>
      <c r="BJ50" s="163"/>
      <c r="BK50" s="163"/>
      <c r="BL50" s="163"/>
      <c r="BM50" s="163"/>
      <c r="BN50" s="163"/>
      <c r="BO50" s="163"/>
      <c r="BP50" s="163"/>
      <c r="BQ50" s="163"/>
      <c r="BR50" s="163"/>
      <c r="BS50" s="163"/>
      <c r="BT50" s="163"/>
      <c r="BU50" s="163"/>
      <c r="BV50" s="163"/>
      <c r="BW50" s="163"/>
      <c r="BX50" s="163"/>
      <c r="BY50" s="163"/>
      <c r="BZ50" s="163"/>
      <c r="CA50" s="163"/>
      <c r="CB50" s="163"/>
      <c r="CC50" s="163"/>
      <c r="CD50" s="163"/>
    </row>
    <row r="51" spans="1:82" s="157" customFormat="1" hidden="1">
      <c r="A51" s="206" t="str">
        <f>IF(C51="","",SUMIF(EquityT!B$7:B$58,C51,EquityT!E$7:E$58))</f>
        <v/>
      </c>
      <c r="B51" s="192" t="str">
        <f>IF(C51="","",PROPER(VLOOKUP(C51,Data!$A$3:$B$33,2,FALSE)))</f>
        <v/>
      </c>
      <c r="C51" s="246"/>
      <c r="D51" s="192"/>
      <c r="E51" s="207" t="str">
        <f>IF(C51="","",SUMIF(EquityT!B:B,C51,EquityT!K:K))</f>
        <v/>
      </c>
      <c r="F51" s="208"/>
      <c r="G51" s="219"/>
      <c r="H51" s="282" t="str">
        <f>IF(C51&gt;"",VLOOKUP(C51,[2]Data!$A$3:$D$55,4,FALSE),"")</f>
        <v/>
      </c>
      <c r="I51" s="281" t="str">
        <f>IF(C51="","",H51*A51)</f>
        <v/>
      </c>
      <c r="J51" s="212"/>
      <c r="K51" s="281" t="str">
        <f>IF(C51="","",I51-E51)</f>
        <v/>
      </c>
      <c r="L51" s="214" t="str">
        <f>IF(C51="","",IF(I51&gt;0,1,-1)*K51/E51)</f>
        <v/>
      </c>
      <c r="M51" s="215"/>
      <c r="N51" s="257" t="str">
        <f>IF(I51="","",ROUND(I51*$N$49,2))</f>
        <v/>
      </c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3"/>
      <c r="AE51" s="163"/>
      <c r="AF51" s="163"/>
      <c r="AG51" s="163"/>
      <c r="AH51" s="163"/>
      <c r="AI51" s="163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  <c r="BF51" s="163"/>
      <c r="BG51" s="163"/>
      <c r="BH51" s="163"/>
      <c r="BI51" s="163"/>
      <c r="BJ51" s="163"/>
      <c r="BK51" s="163"/>
      <c r="BL51" s="163"/>
      <c r="BM51" s="163"/>
      <c r="BN51" s="163"/>
      <c r="BO51" s="163"/>
      <c r="BP51" s="163"/>
      <c r="BQ51" s="163"/>
      <c r="BR51" s="163"/>
      <c r="BS51" s="163"/>
      <c r="BT51" s="163"/>
      <c r="BU51" s="163"/>
      <c r="BV51" s="163"/>
      <c r="BW51" s="163"/>
      <c r="BX51" s="163"/>
      <c r="BY51" s="163"/>
      <c r="BZ51" s="163"/>
      <c r="CA51" s="163"/>
      <c r="CB51" s="163"/>
      <c r="CC51" s="163"/>
      <c r="CD51" s="163"/>
    </row>
    <row r="52" spans="1:82" s="157" customFormat="1" hidden="1">
      <c r="A52" s="206" t="str">
        <f>IF(C52="","",SUMIF(EquityT!B$7:B$58,C52,EquityT!E$7:E$58))</f>
        <v/>
      </c>
      <c r="B52" s="192" t="str">
        <f>IF(C52="","",PROPER(VLOOKUP(C52,Data!$A$3:$B$33,2,FALSE)))</f>
        <v/>
      </c>
      <c r="C52" s="215"/>
      <c r="D52" s="217"/>
      <c r="E52" s="283"/>
      <c r="F52" s="208"/>
      <c r="G52" s="219"/>
      <c r="H52" s="273"/>
      <c r="I52" s="283"/>
      <c r="J52" s="212"/>
      <c r="K52" s="275"/>
      <c r="L52" s="270"/>
      <c r="M52" s="215"/>
      <c r="N52" s="284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3"/>
      <c r="AE52" s="163"/>
      <c r="AF52" s="163"/>
      <c r="AG52" s="163"/>
      <c r="AH52" s="163"/>
      <c r="AI52" s="163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  <c r="BF52" s="163"/>
      <c r="BG52" s="163"/>
      <c r="BH52" s="163"/>
      <c r="BI52" s="163"/>
      <c r="BJ52" s="163"/>
      <c r="BK52" s="163"/>
      <c r="BL52" s="163"/>
      <c r="BM52" s="163"/>
      <c r="BN52" s="163"/>
      <c r="BO52" s="163"/>
      <c r="BP52" s="163"/>
      <c r="BQ52" s="163"/>
      <c r="BR52" s="163"/>
      <c r="BS52" s="163"/>
      <c r="BT52" s="163"/>
      <c r="BU52" s="163"/>
      <c r="BV52" s="163"/>
      <c r="BW52" s="163"/>
      <c r="BX52" s="163"/>
      <c r="BY52" s="163"/>
      <c r="BZ52" s="163"/>
      <c r="CA52" s="163"/>
      <c r="CB52" s="163"/>
      <c r="CC52" s="163"/>
      <c r="CD52" s="163"/>
    </row>
    <row r="53" spans="1:82" s="157" customFormat="1" hidden="1">
      <c r="A53" s="192"/>
      <c r="B53" s="191" t="s">
        <v>10</v>
      </c>
      <c r="C53" s="225"/>
      <c r="D53" s="225"/>
      <c r="E53" s="281">
        <f>SUM(E50:E51)</f>
        <v>0</v>
      </c>
      <c r="F53" s="227"/>
      <c r="G53" s="228"/>
      <c r="H53" s="254"/>
      <c r="I53" s="281">
        <f>SUM(I50:I51)</f>
        <v>0</v>
      </c>
      <c r="J53" s="218"/>
      <c r="K53" s="281">
        <f>SUM(K50:K51)</f>
        <v>0</v>
      </c>
      <c r="L53" s="214" t="str">
        <f>IF(E53=0,"",K53/E53)</f>
        <v/>
      </c>
      <c r="M53" s="192"/>
      <c r="N53" s="276">
        <f>ROUND(I53*$N$49,2)</f>
        <v>0</v>
      </c>
    </row>
    <row r="54" spans="1:82" s="157" customFormat="1" hidden="1">
      <c r="A54" s="192"/>
      <c r="B54" s="191" t="s">
        <v>11</v>
      </c>
      <c r="C54" s="192"/>
      <c r="D54" s="233"/>
      <c r="E54" s="281">
        <f>Cash!I17</f>
        <v>0</v>
      </c>
      <c r="F54" s="227"/>
      <c r="G54" s="228"/>
      <c r="H54" s="192"/>
      <c r="I54" s="281">
        <f>E54</f>
        <v>0</v>
      </c>
      <c r="J54" s="218"/>
      <c r="K54" s="663" t="str">
        <f>IF(ROUND(K53,2)=ROUND(I53-E53,2),"","UNREALIZED GAIN OUT OF BALANCE")</f>
        <v/>
      </c>
      <c r="L54" s="663"/>
      <c r="M54" s="192"/>
      <c r="N54" s="276">
        <f>ROUND(I54*$N$49,2)</f>
        <v>0</v>
      </c>
    </row>
    <row r="55" spans="1:82" s="157" customFormat="1" hidden="1">
      <c r="A55" s="192"/>
      <c r="B55" s="191" t="s">
        <v>12</v>
      </c>
      <c r="C55" s="233"/>
      <c r="D55" s="233"/>
      <c r="E55" s="281"/>
      <c r="F55" s="227"/>
      <c r="G55" s="228"/>
      <c r="H55" s="228"/>
      <c r="I55" s="281">
        <f>[2]Dividends!I31</f>
        <v>0</v>
      </c>
      <c r="J55" s="218"/>
      <c r="K55" s="663"/>
      <c r="L55" s="663"/>
      <c r="M55" s="192"/>
      <c r="N55" s="276">
        <f>ROUND(I55*$N$49,2)</f>
        <v>0</v>
      </c>
    </row>
    <row r="56" spans="1:82" s="157" customFormat="1" ht="13" hidden="1" thickBot="1">
      <c r="A56" s="192"/>
      <c r="B56" s="191" t="s">
        <v>13</v>
      </c>
      <c r="C56" s="233"/>
      <c r="D56" s="233"/>
      <c r="E56" s="285">
        <f>E54+E53</f>
        <v>0</v>
      </c>
      <c r="F56" s="227"/>
      <c r="G56" s="228"/>
      <c r="H56" s="233"/>
      <c r="I56" s="285">
        <f>I53+I54+I55</f>
        <v>0</v>
      </c>
      <c r="J56" s="218"/>
      <c r="K56" s="663"/>
      <c r="L56" s="663"/>
      <c r="M56" s="192"/>
      <c r="N56" s="259">
        <f>SUM(N53:N55)</f>
        <v>0</v>
      </c>
    </row>
    <row r="57" spans="1:82" s="157" customFormat="1" ht="13" hidden="1" thickTop="1">
      <c r="A57" s="192"/>
      <c r="B57" s="233"/>
      <c r="C57" s="233"/>
      <c r="D57" s="233"/>
      <c r="E57" s="281"/>
      <c r="F57" s="227"/>
      <c r="G57" s="228"/>
      <c r="H57" s="233"/>
      <c r="I57" s="218"/>
      <c r="J57" s="218"/>
      <c r="K57" s="218"/>
      <c r="L57" s="218"/>
      <c r="M57" s="192"/>
      <c r="N57" s="240" t="str">
        <f>IF(ABS(N56-(I56*N49))&gt;0.01,"N13-I13","")</f>
        <v/>
      </c>
    </row>
    <row r="58" spans="1:82" s="157" customFormat="1">
      <c r="A58" s="286"/>
      <c r="B58" s="286" t="s">
        <v>1</v>
      </c>
      <c r="C58" s="672" t="str">
        <f>Data!B54</f>
        <v>Chinese Yuan</v>
      </c>
      <c r="D58" s="672"/>
      <c r="E58" s="672"/>
      <c r="F58" s="286"/>
      <c r="G58" s="673" t="s">
        <v>58</v>
      </c>
      <c r="H58" s="673"/>
      <c r="I58" s="673"/>
      <c r="J58" s="287"/>
      <c r="K58" s="286" t="s">
        <v>2</v>
      </c>
      <c r="L58" s="286"/>
      <c r="M58" s="286"/>
      <c r="N58" s="286" t="s">
        <v>64</v>
      </c>
    </row>
    <row r="59" spans="1:82" s="157" customFormat="1">
      <c r="A59" s="198" t="s">
        <v>3</v>
      </c>
      <c r="B59" s="198" t="s">
        <v>4</v>
      </c>
      <c r="C59" s="198" t="s">
        <v>5</v>
      </c>
      <c r="D59" s="199"/>
      <c r="E59" s="200" t="s">
        <v>6</v>
      </c>
      <c r="F59" s="200"/>
      <c r="G59" s="200" t="s">
        <v>96</v>
      </c>
      <c r="H59" s="201" t="s">
        <v>21</v>
      </c>
      <c r="I59" s="202" t="s">
        <v>7</v>
      </c>
      <c r="J59" s="202"/>
      <c r="K59" s="198" t="s">
        <v>8</v>
      </c>
      <c r="L59" s="203" t="s">
        <v>9</v>
      </c>
      <c r="M59" s="204" t="s">
        <v>65</v>
      </c>
      <c r="N59" s="205">
        <f>Data!D54</f>
        <v>0.145126</v>
      </c>
    </row>
    <row r="60" spans="1:82" s="157" customFormat="1" ht="12" customHeight="1">
      <c r="A60" s="206">
        <f ca="1">IF(C60="","",SUMIF(EquityT!B$7:B$80,C60,EquityT!E$7:E$58))</f>
        <v>500</v>
      </c>
      <c r="B60" s="192" t="str">
        <f>IF(C60="","",PROPER(VLOOKUP(C60,Data!$A$3:$B$33,2,FALSE)))</f>
        <v>Citic Securities Co., Ltd.</v>
      </c>
      <c r="C60" s="288" t="s">
        <v>205</v>
      </c>
      <c r="D60" s="192"/>
      <c r="E60" s="207">
        <f>IF(C60="","",SUMIF(EquityT!B:B,C60,EquityT!K:K))</f>
        <v>8605</v>
      </c>
      <c r="F60" s="289"/>
      <c r="G60" s="290">
        <f t="shared" ref="G60:G61" ca="1" si="11">IF(C60&gt;"",E60/A60,"")</f>
        <v>17.21</v>
      </c>
      <c r="H60" s="291">
        <f>IF(C60&gt;"",VLOOKUP(C60,Data!$A$3:$D$55,4,FALSE),"")</f>
        <v>17.75</v>
      </c>
      <c r="I60" s="207">
        <f ca="1">IF(C60="","",H60*A60)</f>
        <v>8875</v>
      </c>
      <c r="J60" s="213"/>
      <c r="K60" s="207">
        <f ca="1">IF(C60="","",I60-E60)</f>
        <v>270</v>
      </c>
      <c r="L60" s="214">
        <f ca="1">IF(C60="","",IF(I60&gt;0,1,-1)*K60/E60)</f>
        <v>3.137710633352702E-2</v>
      </c>
      <c r="M60" s="216"/>
      <c r="N60" s="216">
        <f ca="1">IF(I60="","",ROUND(I60*$N$59,2))</f>
        <v>1287.99</v>
      </c>
    </row>
    <row r="61" spans="1:82" s="157" customFormat="1" ht="12" customHeight="1">
      <c r="A61" s="206" t="str">
        <f>IF(C61="","",SUMIF(EquityT!B$7:B$58,C61,EquityT!E$7:E$58))</f>
        <v/>
      </c>
      <c r="B61" s="192" t="str">
        <f>IF(C61="","",PROPER(VLOOKUP(C61,Data!$A$3:$B$33,2,FALSE)))</f>
        <v/>
      </c>
      <c r="C61" s="246"/>
      <c r="D61" s="192"/>
      <c r="E61" s="207" t="str">
        <f>IF(C61="","",SUMIF(EquityT!B:B,C61,EquityT!K:K))</f>
        <v/>
      </c>
      <c r="F61" s="289"/>
      <c r="G61" s="290" t="str">
        <f t="shared" si="11"/>
        <v/>
      </c>
      <c r="H61" s="291" t="str">
        <f>IF(C61&gt;"",VLOOKUP(C61,[2]Data!$A$3:$D$55,4,FALSE),"")</f>
        <v/>
      </c>
      <c r="I61" s="207" t="str">
        <f>IF(C61="","",H61*A61)</f>
        <v/>
      </c>
      <c r="J61" s="213"/>
      <c r="K61" s="207" t="str">
        <f>IF(C61="","",I61-E61)</f>
        <v/>
      </c>
      <c r="L61" s="214" t="str">
        <f>IF(C61="","",IF(I61&gt;0,1,-1)*K61/E61)</f>
        <v/>
      </c>
      <c r="M61" s="216"/>
      <c r="N61" s="216" t="str">
        <f t="shared" ref="N61" si="12">IF(I61="","",ROUND(I61*$N$59,2))</f>
        <v/>
      </c>
    </row>
    <row r="62" spans="1:82" s="157" customFormat="1">
      <c r="A62" s="206"/>
      <c r="B62" s="192"/>
      <c r="C62" s="215"/>
      <c r="D62" s="217"/>
      <c r="E62" s="283"/>
      <c r="F62" s="208"/>
      <c r="G62" s="219"/>
      <c r="H62" s="273"/>
      <c r="I62" s="283"/>
      <c r="J62" s="212"/>
      <c r="K62" s="275"/>
      <c r="L62" s="270"/>
      <c r="M62" s="215"/>
      <c r="N62" s="216"/>
    </row>
    <row r="63" spans="1:82" s="157" customFormat="1">
      <c r="A63" s="192"/>
      <c r="B63" s="191" t="s">
        <v>10</v>
      </c>
      <c r="C63" s="225"/>
      <c r="D63" s="225"/>
      <c r="E63" s="292">
        <f>SUM(E60:E62)</f>
        <v>8605</v>
      </c>
      <c r="F63" s="227"/>
      <c r="G63" s="228"/>
      <c r="H63" s="254"/>
      <c r="I63" s="292">
        <f ca="1">SUM(I60:I62)</f>
        <v>8875</v>
      </c>
      <c r="J63" s="218"/>
      <c r="K63" s="292">
        <f ca="1">SUM(K60:K62)</f>
        <v>270</v>
      </c>
      <c r="L63" s="214">
        <f ca="1">IF(E63=0,"",K63/E63)</f>
        <v>3.137710633352702E-2</v>
      </c>
      <c r="M63" s="192"/>
      <c r="N63" s="293">
        <f ca="1">ROUND(I63*$N$59,2)</f>
        <v>1287.99</v>
      </c>
    </row>
    <row r="64" spans="1:82" s="157" customFormat="1">
      <c r="A64" s="192"/>
      <c r="B64" s="191" t="s">
        <v>11</v>
      </c>
      <c r="C64" s="192"/>
      <c r="D64" s="233"/>
      <c r="E64" s="294">
        <f>Cash!K17</f>
        <v>-8633.24</v>
      </c>
      <c r="F64" s="227"/>
      <c r="G64" s="228"/>
      <c r="H64" s="192"/>
      <c r="I64" s="294">
        <f>E64</f>
        <v>-8633.24</v>
      </c>
      <c r="J64" s="218"/>
      <c r="K64" s="663" t="str">
        <f ca="1">IF(ROUND(K63,2)=ROUND(I63-E63,2),"","UNREALIZED GAIN OUT OF BALANCE")</f>
        <v/>
      </c>
      <c r="L64" s="663"/>
      <c r="M64" s="192"/>
      <c r="N64" s="293">
        <f>ROUND(I64*$N$59,2)</f>
        <v>-1252.9100000000001</v>
      </c>
    </row>
    <row r="65" spans="1:14" s="157" customFormat="1">
      <c r="A65" s="192"/>
      <c r="B65" s="191" t="s">
        <v>12</v>
      </c>
      <c r="C65" s="233"/>
      <c r="D65" s="233"/>
      <c r="E65" s="281"/>
      <c r="F65" s="227"/>
      <c r="G65" s="228"/>
      <c r="H65" s="228"/>
      <c r="I65" s="295">
        <f>Dividends!I38</f>
        <v>0</v>
      </c>
      <c r="J65" s="218"/>
      <c r="K65" s="663"/>
      <c r="L65" s="663"/>
      <c r="M65" s="192"/>
      <c r="N65" s="293">
        <f>ROUND(I65*$N$59,2)</f>
        <v>0</v>
      </c>
    </row>
    <row r="66" spans="1:14" s="157" customFormat="1" ht="13" thickBot="1">
      <c r="A66" s="192"/>
      <c r="B66" s="191" t="s">
        <v>13</v>
      </c>
      <c r="C66" s="233"/>
      <c r="D66" s="233"/>
      <c r="E66" s="296">
        <f>E64+E63</f>
        <v>-28.239999999999782</v>
      </c>
      <c r="F66" s="228"/>
      <c r="G66" s="228"/>
      <c r="H66" s="233"/>
      <c r="I66" s="296">
        <f ca="1">I63+I64+I65</f>
        <v>241.76000000000022</v>
      </c>
      <c r="J66" s="218"/>
      <c r="K66" s="663"/>
      <c r="L66" s="663"/>
      <c r="M66" s="192"/>
      <c r="N66" s="259">
        <f ca="1">SUM(N63:N65)</f>
        <v>35.079999999999927</v>
      </c>
    </row>
    <row r="67" spans="1:14" s="157" customFormat="1" ht="13" hidden="1" thickTop="1">
      <c r="A67" s="192"/>
      <c r="B67" s="233"/>
      <c r="C67" s="233"/>
      <c r="D67" s="233"/>
      <c r="E67" s="281"/>
      <c r="F67" s="228"/>
      <c r="G67" s="228"/>
      <c r="H67" s="233"/>
      <c r="I67" s="218"/>
      <c r="J67" s="218"/>
      <c r="K67" s="218"/>
      <c r="L67" s="218"/>
      <c r="M67" s="192"/>
      <c r="N67" s="240" t="str">
        <f ca="1">IF(ABS(N66-(I66*N59))&gt;0.01,"N13-I13","")</f>
        <v/>
      </c>
    </row>
    <row r="68" spans="1:14" s="157" customFormat="1" ht="13" hidden="1" thickBot="1">
      <c r="A68" s="192"/>
      <c r="B68" s="233"/>
      <c r="C68" s="233"/>
      <c r="D68" s="233"/>
      <c r="E68" s="281"/>
      <c r="F68" s="227"/>
      <c r="G68" s="228"/>
      <c r="H68" s="233"/>
      <c r="I68" s="218"/>
      <c r="J68" s="218"/>
      <c r="K68" s="218"/>
      <c r="L68" s="218"/>
      <c r="M68" s="192"/>
      <c r="N68" s="297"/>
    </row>
    <row r="69" spans="1:14" s="157" customFormat="1" hidden="1">
      <c r="A69" s="298"/>
      <c r="B69" s="298" t="s">
        <v>1</v>
      </c>
      <c r="C69" s="670" t="str">
        <f>Data!B55</f>
        <v>Japanese Yen</v>
      </c>
      <c r="D69" s="670"/>
      <c r="E69" s="670"/>
      <c r="F69" s="298"/>
      <c r="G69" s="667" t="s">
        <v>58</v>
      </c>
      <c r="H69" s="667"/>
      <c r="I69" s="667"/>
      <c r="J69" s="299"/>
      <c r="K69" s="298" t="s">
        <v>2</v>
      </c>
      <c r="L69" s="298"/>
      <c r="M69" s="298"/>
      <c r="N69" s="298" t="s">
        <v>64</v>
      </c>
    </row>
    <row r="70" spans="1:14" s="157" customFormat="1" hidden="1">
      <c r="A70" s="198" t="s">
        <v>3</v>
      </c>
      <c r="B70" s="198" t="s">
        <v>4</v>
      </c>
      <c r="C70" s="198" t="s">
        <v>5</v>
      </c>
      <c r="D70" s="199"/>
      <c r="E70" s="200" t="s">
        <v>6</v>
      </c>
      <c r="F70" s="200"/>
      <c r="G70" s="200" t="s">
        <v>96</v>
      </c>
      <c r="H70" s="201" t="s">
        <v>21</v>
      </c>
      <c r="I70" s="202" t="s">
        <v>7</v>
      </c>
      <c r="J70" s="202"/>
      <c r="K70" s="198" t="s">
        <v>8</v>
      </c>
      <c r="L70" s="203" t="s">
        <v>9</v>
      </c>
      <c r="M70" s="204" t="s">
        <v>65</v>
      </c>
      <c r="N70" s="205">
        <f>Data!$D$55</f>
        <v>8.7469999999999996E-3</v>
      </c>
    </row>
    <row r="71" spans="1:14" s="157" customFormat="1" ht="12" hidden="1" customHeight="1">
      <c r="A71" s="206" t="str">
        <f>IF(C71="","",SUMIF([2]EquityT!B$7:B$58,C71,[2]EquityT!E$7:E$58))</f>
        <v/>
      </c>
      <c r="B71" s="192" t="str">
        <f>IF(C71="","",PROPER(VLOOKUP(C71,[2]Data!$A$3:$B$33,2,FALSE)))</f>
        <v/>
      </c>
      <c r="C71" s="246"/>
      <c r="D71" s="192"/>
      <c r="E71" s="207" t="str">
        <f>IF(C71="","",SUMIF([2]EquityT!B$7:B$58,C71,[2]EquityT!K$7:K$58))</f>
        <v/>
      </c>
      <c r="F71" s="289"/>
      <c r="G71" s="290" t="str">
        <f t="shared" ref="G71:G72" si="13">IF(C71&gt;"",E71/A71,"")</f>
        <v/>
      </c>
      <c r="H71" s="291" t="str">
        <f>IF(C71&gt;"",VLOOKUP(C71,[2]Data!$A$3:$D$55,4,FALSE),"")</f>
        <v/>
      </c>
      <c r="I71" s="207" t="str">
        <f>IF(C71="","",H71*A71)</f>
        <v/>
      </c>
      <c r="J71" s="213"/>
      <c r="K71" s="207" t="str">
        <f>IF(C71="","",I71-E71)</f>
        <v/>
      </c>
      <c r="L71" s="300" t="str">
        <f>IF(C71="","",IF(I71&gt;0,1,-1)*K71/E71)</f>
        <v/>
      </c>
      <c r="M71" s="216"/>
      <c r="N71" s="216" t="str">
        <f>IF(I71="","",ROUND(I71*$N$70,2))</f>
        <v/>
      </c>
    </row>
    <row r="72" spans="1:14" s="157" customFormat="1" hidden="1">
      <c r="A72" s="206" t="str">
        <f>IF(C72="","",SUMIF([2]EquityT!B$7:B$58,C72,[2]EquityT!E$7:E$58))</f>
        <v/>
      </c>
      <c r="B72" s="192" t="str">
        <f>IF(C72="","",PROPER(VLOOKUP(C72,[2]Data!$A$3:$B$33,2,FALSE)))</f>
        <v/>
      </c>
      <c r="C72" s="246"/>
      <c r="D72" s="192"/>
      <c r="E72" s="207" t="str">
        <f>IF(C72="","",SUMIF([2]EquityT!B:B,C72,[2]EquityT!K:K))</f>
        <v/>
      </c>
      <c r="F72" s="289"/>
      <c r="G72" s="290" t="str">
        <f t="shared" si="13"/>
        <v/>
      </c>
      <c r="H72" s="291" t="str">
        <f>IF(C72&gt;"",VLOOKUP(C72,[2]Data!$A$3:$D$55,4,FALSE),"")</f>
        <v/>
      </c>
      <c r="I72" s="207" t="str">
        <f>IF(C72="","",H72*A72)</f>
        <v/>
      </c>
      <c r="J72" s="213"/>
      <c r="K72" s="207" t="str">
        <f>IF(C72="","",I72-E72)</f>
        <v/>
      </c>
      <c r="L72" s="214" t="str">
        <f>IF(C72="","",IF(I72&gt;0,1,-1)*K72/E72)</f>
        <v/>
      </c>
      <c r="M72" s="216"/>
      <c r="N72" s="216" t="str">
        <f>IF(I72="","",ROUND(I72*$N$70,2))</f>
        <v/>
      </c>
    </row>
    <row r="73" spans="1:14" s="157" customFormat="1" hidden="1">
      <c r="A73" s="206"/>
      <c r="B73" s="192"/>
      <c r="C73" s="215"/>
      <c r="D73" s="217"/>
      <c r="E73" s="283"/>
      <c r="F73" s="208"/>
      <c r="G73" s="219"/>
      <c r="H73" s="273"/>
      <c r="I73" s="283"/>
      <c r="J73" s="212"/>
      <c r="K73" s="275"/>
      <c r="L73" s="270"/>
      <c r="M73" s="215"/>
      <c r="N73" s="301" t="str">
        <f>IF(I73="","",ROUND(I73*$N$70,0))</f>
        <v/>
      </c>
    </row>
    <row r="74" spans="1:14" s="157" customFormat="1" hidden="1">
      <c r="A74" s="192"/>
      <c r="B74" s="191" t="s">
        <v>10</v>
      </c>
      <c r="C74" s="225"/>
      <c r="D74" s="225"/>
      <c r="E74" s="292">
        <f>SUM(E71:E73)</f>
        <v>0</v>
      </c>
      <c r="F74" s="227"/>
      <c r="G74" s="228"/>
      <c r="H74" s="254"/>
      <c r="I74" s="292">
        <f>SUM(I71:I73)</f>
        <v>0</v>
      </c>
      <c r="J74" s="292">
        <f t="shared" ref="J74:K74" si="14">SUM(J71:J73)</f>
        <v>0</v>
      </c>
      <c r="K74" s="292">
        <f t="shared" si="14"/>
        <v>0</v>
      </c>
      <c r="L74" s="214" t="str">
        <f>IF(E74=0,"",K74/E74)</f>
        <v/>
      </c>
      <c r="M74" s="192"/>
      <c r="N74" s="293">
        <f>ROUND(I74*$N$70,2)</f>
        <v>0</v>
      </c>
    </row>
    <row r="75" spans="1:14" s="157" customFormat="1" hidden="1">
      <c r="A75" s="192"/>
      <c r="B75" s="191" t="s">
        <v>11</v>
      </c>
      <c r="C75" s="192"/>
      <c r="D75" s="233"/>
      <c r="E75" s="294">
        <f>Cash!M17</f>
        <v>0</v>
      </c>
      <c r="F75" s="227"/>
      <c r="G75" s="228"/>
      <c r="H75" s="192"/>
      <c r="I75" s="294">
        <f>E75</f>
        <v>0</v>
      </c>
      <c r="J75" s="218"/>
      <c r="K75" s="663" t="str">
        <f>IF(ROUND(K74,2)=ROUND(I74-E74,2),"","UNREALIZED GAIN OUT OF BALANCE")</f>
        <v/>
      </c>
      <c r="L75" s="663"/>
      <c r="M75" s="192"/>
      <c r="N75" s="293">
        <f>ROUND(I75*$N$70,2)</f>
        <v>0</v>
      </c>
    </row>
    <row r="76" spans="1:14" s="157" customFormat="1" hidden="1">
      <c r="A76" s="192"/>
      <c r="B76" s="191" t="s">
        <v>12</v>
      </c>
      <c r="C76" s="233"/>
      <c r="D76" s="233"/>
      <c r="E76" s="281"/>
      <c r="F76" s="227"/>
      <c r="G76" s="228"/>
      <c r="H76" s="228"/>
      <c r="I76" s="295">
        <f>[2]Dividends!I42</f>
        <v>0</v>
      </c>
      <c r="J76" s="218"/>
      <c r="K76" s="663"/>
      <c r="L76" s="663"/>
      <c r="M76" s="192"/>
      <c r="N76" s="293">
        <f>ROUND(I76*$N$70,2)</f>
        <v>0</v>
      </c>
    </row>
    <row r="77" spans="1:14" s="157" customFormat="1" ht="13" hidden="1" thickBot="1">
      <c r="A77" s="192"/>
      <c r="B77" s="191" t="s">
        <v>13</v>
      </c>
      <c r="C77" s="233"/>
      <c r="D77" s="233"/>
      <c r="E77" s="296">
        <f>E75+E74</f>
        <v>0</v>
      </c>
      <c r="F77" s="228"/>
      <c r="G77" s="228"/>
      <c r="H77" s="233"/>
      <c r="I77" s="296">
        <f>I74+I75+I76</f>
        <v>0</v>
      </c>
      <c r="J77" s="218"/>
      <c r="K77" s="663"/>
      <c r="L77" s="663"/>
      <c r="M77" s="192"/>
      <c r="N77" s="259">
        <f>SUM(N74:N76)</f>
        <v>0</v>
      </c>
    </row>
    <row r="78" spans="1:14" s="157" customFormat="1" ht="13" hidden="1" thickTop="1">
      <c r="A78" s="192"/>
      <c r="B78" s="233"/>
      <c r="C78" s="233"/>
      <c r="D78" s="233"/>
      <c r="E78" s="281"/>
      <c r="F78" s="228"/>
      <c r="G78" s="228"/>
      <c r="H78" s="233"/>
      <c r="I78" s="218"/>
      <c r="J78" s="218"/>
      <c r="K78" s="218"/>
      <c r="L78" s="218"/>
      <c r="M78" s="192"/>
      <c r="N78" s="240" t="str">
        <f>IF(ABS(N77-(I77*N70))&gt;0.01,"N13-I13","")</f>
        <v/>
      </c>
    </row>
    <row r="79" spans="1:14" s="157" customFormat="1" ht="13" thickTop="1">
      <c r="A79" s="192"/>
      <c r="B79" s="192"/>
      <c r="C79" s="192"/>
      <c r="D79" s="192"/>
      <c r="E79" s="192"/>
      <c r="F79" s="192"/>
      <c r="G79" s="192"/>
      <c r="H79" s="192"/>
      <c r="I79" s="192"/>
      <c r="J79" s="192"/>
      <c r="K79" s="302"/>
      <c r="L79" s="302"/>
      <c r="M79" s="192"/>
      <c r="N79" s="303"/>
    </row>
    <row r="80" spans="1:14" s="157" customFormat="1" ht="13" thickBot="1">
      <c r="A80" s="192"/>
      <c r="B80" s="192"/>
      <c r="C80" s="192"/>
      <c r="D80" s="192"/>
      <c r="E80" s="192"/>
      <c r="F80" s="192"/>
      <c r="G80" s="192"/>
      <c r="H80" s="192"/>
      <c r="I80" s="668" t="s">
        <v>100</v>
      </c>
      <c r="J80" s="668"/>
      <c r="K80" s="668"/>
      <c r="L80" s="668"/>
      <c r="M80" s="192"/>
      <c r="N80" s="304">
        <f ca="1">SUM(N25,N36,N46,N56,N66,N77)</f>
        <v>3522816.24</v>
      </c>
    </row>
    <row r="81" spans="1:14" s="157" customFormat="1" ht="13" thickTop="1">
      <c r="A81" s="192"/>
      <c r="B81" s="192"/>
      <c r="C81" s="192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192"/>
    </row>
    <row r="82" spans="1:14">
      <c r="A82" s="669" t="s">
        <v>66</v>
      </c>
      <c r="B82" s="669"/>
      <c r="C82" s="669"/>
      <c r="D82" s="669"/>
      <c r="E82" s="669"/>
      <c r="F82" s="669"/>
      <c r="G82" s="669"/>
      <c r="H82" s="669"/>
      <c r="I82" s="252"/>
      <c r="J82" s="192"/>
      <c r="K82" s="305"/>
      <c r="L82" s="305"/>
      <c r="M82" s="305"/>
      <c r="N82" s="305"/>
    </row>
    <row r="83" spans="1:14" s="157" customFormat="1">
      <c r="A83" s="193"/>
      <c r="B83" s="194"/>
      <c r="C83" s="194"/>
      <c r="D83" s="194"/>
      <c r="E83" s="194" t="s">
        <v>7</v>
      </c>
      <c r="F83" s="194"/>
      <c r="G83" s="194" t="s">
        <v>67</v>
      </c>
      <c r="H83" s="197"/>
      <c r="I83" s="252"/>
      <c r="J83" s="192"/>
      <c r="K83" s="192"/>
      <c r="L83" s="252"/>
      <c r="M83" s="192"/>
      <c r="N83" s="192"/>
    </row>
    <row r="84" spans="1:14" s="157" customFormat="1">
      <c r="A84" s="192"/>
      <c r="B84" s="192"/>
      <c r="C84" s="192"/>
      <c r="D84" s="192"/>
      <c r="E84" s="252"/>
      <c r="F84" s="252"/>
      <c r="G84" s="306" t="s">
        <v>68</v>
      </c>
      <c r="H84" s="306" t="s">
        <v>69</v>
      </c>
      <c r="I84" s="252"/>
      <c r="J84" s="276"/>
      <c r="K84" s="192"/>
      <c r="L84" s="252"/>
      <c r="M84" s="192"/>
      <c r="N84" s="192"/>
    </row>
    <row r="85" spans="1:14" s="157" customFormat="1">
      <c r="A85" s="192"/>
      <c r="B85" s="307" t="s">
        <v>15</v>
      </c>
      <c r="C85" s="192"/>
      <c r="D85" s="192"/>
      <c r="E85" s="308">
        <f>[2]Cash!C4</f>
        <v>4000000</v>
      </c>
      <c r="F85" s="276"/>
      <c r="G85" s="192"/>
      <c r="H85" s="192"/>
      <c r="I85" s="192"/>
      <c r="J85" s="309"/>
      <c r="K85" s="192"/>
      <c r="L85" s="192"/>
      <c r="M85" s="192"/>
      <c r="N85" s="192"/>
    </row>
    <row r="86" spans="1:14" s="157" customFormat="1">
      <c r="A86" s="192"/>
      <c r="B86" s="310">
        <f>EDATE(B88,-2)</f>
        <v>42643</v>
      </c>
      <c r="C86" s="192"/>
      <c r="D86" s="192"/>
      <c r="E86" s="311">
        <v>4008348.58</v>
      </c>
      <c r="F86" s="312"/>
      <c r="G86" s="313">
        <f>E86/E85-1</f>
        <v>2.087144999999957E-3</v>
      </c>
      <c r="H86" s="313">
        <f>E86/$E$85-1</f>
        <v>2.087144999999957E-3</v>
      </c>
      <c r="I86" s="192"/>
      <c r="J86" s="192"/>
      <c r="K86" s="192"/>
      <c r="L86" s="192"/>
      <c r="M86" s="192"/>
      <c r="N86" s="192"/>
    </row>
    <row r="87" spans="1:14" s="157" customFormat="1">
      <c r="A87" s="192"/>
      <c r="B87" s="310">
        <f>EDATE(B88,-1)</f>
        <v>42673</v>
      </c>
      <c r="C87" s="192"/>
      <c r="D87" s="192"/>
      <c r="E87" s="311">
        <v>3631031.35</v>
      </c>
      <c r="F87" s="312"/>
      <c r="G87" s="313">
        <f>E87/E86-1</f>
        <v>-9.4132838616545644E-2</v>
      </c>
      <c r="H87" s="313">
        <f>E87/$E$85-1</f>
        <v>-9.2242162499999947E-2</v>
      </c>
      <c r="I87" s="192"/>
      <c r="J87" s="192"/>
      <c r="K87" s="192"/>
      <c r="L87" s="192"/>
      <c r="M87" s="192"/>
      <c r="N87" s="192"/>
    </row>
    <row r="88" spans="1:14" s="157" customFormat="1">
      <c r="A88" s="192"/>
      <c r="B88" s="307">
        <f>Date</f>
        <v>42704</v>
      </c>
      <c r="C88" s="192"/>
      <c r="D88" s="192"/>
      <c r="E88" s="309">
        <f ca="1">N80</f>
        <v>3522816.24</v>
      </c>
      <c r="F88" s="192"/>
      <c r="G88" s="313">
        <f ca="1">E88/E87-1</f>
        <v>-2.9802857526966764E-2</v>
      </c>
      <c r="H88" s="313">
        <f ca="1">E88/$E$85-1</f>
        <v>-0.11929593999999999</v>
      </c>
      <c r="I88" s="192"/>
      <c r="J88" s="192"/>
      <c r="K88" s="192"/>
      <c r="L88" s="192"/>
      <c r="M88" s="192"/>
      <c r="N88" s="192"/>
    </row>
    <row r="89" spans="1:14">
      <c r="A89" s="192"/>
      <c r="B89" s="192"/>
      <c r="C89" s="192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192"/>
    </row>
    <row r="90" spans="1:14">
      <c r="A90" s="192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</row>
  </sheetData>
  <mergeCells count="22">
    <mergeCell ref="G48:I48"/>
    <mergeCell ref="G69:I69"/>
    <mergeCell ref="I80:L80"/>
    <mergeCell ref="A82:H82"/>
    <mergeCell ref="K44:L46"/>
    <mergeCell ref="K54:L56"/>
    <mergeCell ref="K75:L77"/>
    <mergeCell ref="C69:E69"/>
    <mergeCell ref="C48:E48"/>
    <mergeCell ref="C58:E58"/>
    <mergeCell ref="G58:I58"/>
    <mergeCell ref="K64:L66"/>
    <mergeCell ref="L2:N2"/>
    <mergeCell ref="C3:E3"/>
    <mergeCell ref="G3:I3"/>
    <mergeCell ref="G27:I27"/>
    <mergeCell ref="G38:I38"/>
    <mergeCell ref="A2:C2"/>
    <mergeCell ref="K23:L25"/>
    <mergeCell ref="K34:L36"/>
    <mergeCell ref="C38:E38"/>
    <mergeCell ref="C27:E27"/>
  </mergeCells>
  <phoneticPr fontId="68" type="noConversion"/>
  <printOptions horizontalCentered="1"/>
  <pageMargins left="0.43000000000000005" right="0.43000000000000005" top="0.43000000000000005" bottom="1.2700000000000002" header="0.5" footer="0.5"/>
  <pageSetup orientation="landscape" horizontalDpi="300" verticalDpi="300"/>
  <headerFooter alignWithMargins="0">
    <oddFooter>&amp;L&amp;"Times New Roman,Italic"&amp;11&amp;K000000Investment Manager_x000D_Zhaochen Gao_x000D_(217) 323-3359&amp;R&amp;"Times New Roman,Bold Italic"&amp;11&amp;K000000LSXG Pension</oddFooter>
  </headerFooter>
  <rowBreaks count="2" manualBreakCount="2">
    <brk id="37" max="16383" man="1"/>
    <brk id="66" max="16383" man="1"/>
  </rowBreaks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W102"/>
  <sheetViews>
    <sheetView topLeftCell="A35" workbookViewId="0">
      <selection activeCell="L106" sqref="L106"/>
    </sheetView>
  </sheetViews>
  <sheetFormatPr baseColWidth="10" defaultColWidth="9.1640625" defaultRowHeight="12" x14ac:dyDescent="0"/>
  <cols>
    <col min="1" max="1" width="17.83203125" style="70" customWidth="1"/>
    <col min="2" max="2" width="6" style="70" customWidth="1"/>
    <col min="3" max="3" width="1.5" style="70" customWidth="1"/>
    <col min="4" max="4" width="12.33203125" style="70" customWidth="1"/>
    <col min="5" max="5" width="6.83203125" style="74" customWidth="1"/>
    <col min="6" max="6" width="8.1640625" style="70" customWidth="1"/>
    <col min="7" max="7" width="12.5" style="73" customWidth="1"/>
    <col min="8" max="8" width="8.5" style="72" customWidth="1"/>
    <col min="9" max="9" width="6.6640625" style="70" customWidth="1"/>
    <col min="10" max="10" width="12" style="71" bestFit="1" customWidth="1"/>
    <col min="11" max="11" width="12.33203125" style="70" customWidth="1"/>
    <col min="12" max="12" width="11.1640625" style="73" customWidth="1"/>
    <col min="13" max="13" width="10.6640625" style="70" bestFit="1" customWidth="1"/>
    <col min="14" max="14" width="14.33203125" style="70" customWidth="1"/>
    <col min="15" max="20" width="9.1640625" style="70"/>
    <col min="21" max="21" width="10.6640625" style="70" customWidth="1"/>
    <col min="22" max="16384" width="9.1640625" style="70"/>
  </cols>
  <sheetData>
    <row r="1" spans="1:23" ht="78.75" customHeight="1">
      <c r="A1" s="87"/>
      <c r="D1" s="675"/>
      <c r="E1" s="675"/>
      <c r="F1" s="675"/>
      <c r="G1" s="675"/>
      <c r="H1" s="675"/>
      <c r="L1" s="92"/>
    </row>
    <row r="2" spans="1:23" ht="18">
      <c r="A2" s="677" t="s">
        <v>74</v>
      </c>
      <c r="B2" s="677"/>
      <c r="C2" s="677"/>
      <c r="D2" s="677"/>
      <c r="E2" s="91"/>
      <c r="F2" s="90"/>
      <c r="G2" s="90"/>
      <c r="H2" s="90"/>
      <c r="I2" s="89"/>
      <c r="J2" s="88"/>
      <c r="K2" s="676">
        <f>Date</f>
        <v>42704</v>
      </c>
      <c r="L2" s="676"/>
    </row>
    <row r="3" spans="1:23" s="80" customFormat="1">
      <c r="A3" s="319" t="s">
        <v>18</v>
      </c>
      <c r="B3" s="319"/>
      <c r="C3" s="320"/>
      <c r="D3" s="679" t="s">
        <v>19</v>
      </c>
      <c r="E3" s="679"/>
      <c r="F3" s="319"/>
      <c r="G3" s="319" t="str">
        <f>Data!B50</f>
        <v>US Dollars</v>
      </c>
      <c r="H3" s="319"/>
      <c r="I3" s="319"/>
      <c r="J3" s="319"/>
      <c r="K3" s="319"/>
      <c r="L3" s="319"/>
    </row>
    <row r="4" spans="1:23" s="80" customFormat="1">
      <c r="A4" s="322" t="s">
        <v>4</v>
      </c>
      <c r="B4" s="322" t="s">
        <v>5</v>
      </c>
      <c r="C4" s="323" t="s">
        <v>40</v>
      </c>
      <c r="D4" s="324" t="s">
        <v>20</v>
      </c>
      <c r="E4" s="325" t="s">
        <v>3</v>
      </c>
      <c r="F4" s="324" t="s">
        <v>21</v>
      </c>
      <c r="G4" s="326" t="s">
        <v>22</v>
      </c>
      <c r="H4" s="327" t="s">
        <v>23</v>
      </c>
      <c r="I4" s="324" t="s">
        <v>24</v>
      </c>
      <c r="J4" s="328" t="s">
        <v>25</v>
      </c>
      <c r="K4" s="324" t="s">
        <v>6</v>
      </c>
      <c r="L4" s="329" t="s">
        <v>26</v>
      </c>
    </row>
    <row r="5" spans="1:23" s="80" customFormat="1" ht="15">
      <c r="A5" s="330" t="str">
        <f>IF(B5="","",PROPER(VLOOKUP(B5,Data!$A$3:$B$33,2,FALSE)))</f>
        <v>51Job</v>
      </c>
      <c r="B5" s="288" t="s">
        <v>157</v>
      </c>
      <c r="C5" s="288"/>
      <c r="D5" s="393">
        <v>42620.666666666664</v>
      </c>
      <c r="E5" s="394">
        <v>1000</v>
      </c>
      <c r="F5" s="395">
        <v>33.5</v>
      </c>
      <c r="G5" s="331">
        <f t="shared" ref="G5:G48" si="0">IF(D5="","",ROUND(E5*F5,2))</f>
        <v>33500</v>
      </c>
      <c r="H5" s="332">
        <f>IF(B5="","",10)</f>
        <v>10</v>
      </c>
      <c r="I5" s="333">
        <f t="shared" ref="I5:I48" si="1">IF(B5="","",IF(B5=B4,E5+I4,E5))</f>
        <v>1000</v>
      </c>
      <c r="J5" s="334">
        <f>IF(B5="","",IF(I5=0,0,IF(B5=B4,IF(E5*I4&gt;0,((J4*I4)+G5)/I5,IF(I4*I5&lt;=0,F5,J4)),F5)))</f>
        <v>33.5</v>
      </c>
      <c r="K5" s="331">
        <f t="shared" ref="K5:K48" si="2">IF(B5="","",ROUND(IF(B5&lt;&gt;B6,I5*J5,0),2))</f>
        <v>0</v>
      </c>
      <c r="L5" s="276"/>
      <c r="M5" s="124"/>
      <c r="N5" s="140"/>
      <c r="O5" s="125"/>
      <c r="P5" s="126"/>
      <c r="Q5" s="127"/>
      <c r="R5" s="93"/>
      <c r="S5" s="93"/>
      <c r="T5" s="128"/>
      <c r="U5" s="129"/>
      <c r="V5" s="93"/>
      <c r="W5" s="84"/>
    </row>
    <row r="6" spans="1:23" s="80" customFormat="1" ht="15">
      <c r="A6" s="330" t="str">
        <f>IF(B6="","",PROPER(VLOOKUP(B6,Data!$A$3:$B$33,2,FALSE)))</f>
        <v>51Job</v>
      </c>
      <c r="B6" s="288" t="s">
        <v>157</v>
      </c>
      <c r="C6" s="288"/>
      <c r="D6" s="393">
        <v>42669.666666666664</v>
      </c>
      <c r="E6" s="394">
        <v>-1000</v>
      </c>
      <c r="F6" s="395">
        <v>33.21</v>
      </c>
      <c r="G6" s="331">
        <f t="shared" si="0"/>
        <v>-33210</v>
      </c>
      <c r="H6" s="332">
        <f>IF(B6="","",10)</f>
        <v>10</v>
      </c>
      <c r="I6" s="333">
        <f t="shared" si="1"/>
        <v>0</v>
      </c>
      <c r="J6" s="334">
        <f t="shared" ref="J6:J48" si="3">IF(B6="","",IF(I6=0,0,IF(B6=B5,IF(E6*I5&gt;0,((J5*I5)+G6)/I6,IF(I5*I6&lt;=0,F6,J5)),F6)))</f>
        <v>0</v>
      </c>
      <c r="K6" s="331">
        <f t="shared" si="2"/>
        <v>0</v>
      </c>
      <c r="L6" s="276">
        <f>E5*(F6-F5)</f>
        <v>-289.99999999999915</v>
      </c>
      <c r="M6" s="124"/>
      <c r="N6" s="140"/>
      <c r="O6" s="125"/>
      <c r="P6" s="126"/>
      <c r="Q6" s="127"/>
      <c r="R6" s="93"/>
      <c r="S6" s="93"/>
      <c r="T6" s="128"/>
      <c r="U6" s="129"/>
      <c r="V6" s="93"/>
      <c r="W6" s="84"/>
    </row>
    <row r="7" spans="1:23" s="80" customFormat="1" ht="15">
      <c r="A7" s="330" t="str">
        <f>IF(B7="","",PROPER(VLOOKUP(B7,Data!$A$3:$B$33,2,FALSE)))</f>
        <v>Alibaba Group</v>
      </c>
      <c r="B7" s="288" t="s">
        <v>159</v>
      </c>
      <c r="C7" s="288"/>
      <c r="D7" s="393">
        <v>42620.666666666664</v>
      </c>
      <c r="E7" s="394">
        <v>1000</v>
      </c>
      <c r="F7" s="395">
        <v>102.32</v>
      </c>
      <c r="G7" s="331">
        <f t="shared" si="0"/>
        <v>102320</v>
      </c>
      <c r="H7" s="332">
        <f>IF(B7="","",10)</f>
        <v>10</v>
      </c>
      <c r="I7" s="333">
        <f t="shared" si="1"/>
        <v>1000</v>
      </c>
      <c r="J7" s="334">
        <f t="shared" si="3"/>
        <v>102.32</v>
      </c>
      <c r="K7" s="331">
        <f t="shared" si="2"/>
        <v>0</v>
      </c>
      <c r="L7" s="276"/>
      <c r="M7" s="124"/>
      <c r="N7" s="140"/>
      <c r="O7" s="125"/>
      <c r="P7" s="126"/>
      <c r="Q7" s="127"/>
      <c r="R7" s="93"/>
      <c r="S7" s="93"/>
      <c r="T7" s="128"/>
      <c r="U7" s="129"/>
      <c r="V7" s="93"/>
      <c r="W7" s="84"/>
    </row>
    <row r="8" spans="1:23" s="80" customFormat="1" ht="15">
      <c r="A8" s="330" t="str">
        <f>IF(B8="","",PROPER(VLOOKUP(B8,Data!$A$3:$B$33,2,FALSE)))</f>
        <v>Alibaba Group</v>
      </c>
      <c r="B8" s="288" t="s">
        <v>159</v>
      </c>
      <c r="C8" s="288"/>
      <c r="D8" s="393">
        <v>42667.666666666664</v>
      </c>
      <c r="E8" s="394">
        <v>5000</v>
      </c>
      <c r="F8" s="395">
        <v>104.5</v>
      </c>
      <c r="G8" s="331">
        <f t="shared" si="0"/>
        <v>522500</v>
      </c>
      <c r="H8" s="332">
        <f>IF(B8="","",10)</f>
        <v>10</v>
      </c>
      <c r="I8" s="333">
        <f t="shared" si="1"/>
        <v>6000</v>
      </c>
      <c r="J8" s="334">
        <f t="shared" si="3"/>
        <v>104.13666666666667</v>
      </c>
      <c r="K8" s="331">
        <f t="shared" si="2"/>
        <v>0</v>
      </c>
      <c r="L8" s="276"/>
      <c r="M8" s="124"/>
      <c r="N8" s="140"/>
      <c r="O8" s="125"/>
      <c r="P8" s="126"/>
      <c r="Q8" s="127"/>
      <c r="R8" s="93"/>
      <c r="S8" s="93"/>
      <c r="T8" s="128"/>
      <c r="U8" s="129"/>
      <c r="V8" s="93"/>
      <c r="W8" s="84"/>
    </row>
    <row r="9" spans="1:23" s="80" customFormat="1" ht="15">
      <c r="A9" s="330" t="str">
        <f>IF(B9="","",PROPER(VLOOKUP(B9,Data!$A$3:$B$33,2,FALSE)))</f>
        <v>Alibaba Group</v>
      </c>
      <c r="B9" s="288" t="s">
        <v>159</v>
      </c>
      <c r="C9" s="288"/>
      <c r="D9" s="393">
        <v>42670.666666666664</v>
      </c>
      <c r="E9" s="394">
        <v>-1000</v>
      </c>
      <c r="F9" s="395">
        <v>102.38</v>
      </c>
      <c r="G9" s="331">
        <f t="shared" si="0"/>
        <v>-102380</v>
      </c>
      <c r="H9" s="332">
        <f>IF(B9="","",10)</f>
        <v>10</v>
      </c>
      <c r="I9" s="333">
        <f t="shared" si="1"/>
        <v>5000</v>
      </c>
      <c r="J9" s="334">
        <f t="shared" si="3"/>
        <v>104.13666666666667</v>
      </c>
      <c r="K9" s="331">
        <f t="shared" si="2"/>
        <v>520683.33</v>
      </c>
      <c r="L9" s="276">
        <f>E7*(F9-(F7/6+F8*5/6))</f>
        <v>-1756.6666666666606</v>
      </c>
      <c r="M9" s="81"/>
      <c r="N9" s="140"/>
    </row>
    <row r="10" spans="1:23" s="80" customFormat="1" ht="15">
      <c r="A10" s="330" t="str">
        <f>IF(B10="","",PROPER(VLOOKUP(B10,Data!$A$3:$B$33,2,FALSE)))</f>
        <v>Alphabet Inc. Class A</v>
      </c>
      <c r="B10" s="288" t="s">
        <v>161</v>
      </c>
      <c r="C10" s="288"/>
      <c r="D10" s="393">
        <v>42636.666666666664</v>
      </c>
      <c r="E10" s="394">
        <v>1000</v>
      </c>
      <c r="F10" s="395">
        <v>814.96</v>
      </c>
      <c r="G10" s="331">
        <f t="shared" si="0"/>
        <v>814960</v>
      </c>
      <c r="H10" s="332">
        <f t="shared" ref="H10:H48" si="4">IF(B10="","",10)</f>
        <v>10</v>
      </c>
      <c r="I10" s="333">
        <f t="shared" si="1"/>
        <v>1000</v>
      </c>
      <c r="J10" s="334">
        <f t="shared" si="3"/>
        <v>814.96</v>
      </c>
      <c r="K10" s="331">
        <f>IF(B10="","",ROUND(IF(B10&lt;&gt;B12,I10*J10,0),2))</f>
        <v>814960</v>
      </c>
      <c r="L10" s="276"/>
      <c r="M10" s="124"/>
      <c r="N10" s="140"/>
      <c r="O10" s="125"/>
      <c r="P10" s="126"/>
      <c r="Q10" s="127"/>
      <c r="R10" s="93"/>
      <c r="S10" s="93"/>
      <c r="T10" s="128"/>
      <c r="U10" s="129"/>
      <c r="V10" s="93"/>
      <c r="W10" s="84"/>
    </row>
    <row r="11" spans="1:23" s="80" customFormat="1" ht="15">
      <c r="A11" s="330" t="str">
        <f>IF(B11="","",PROPER(VLOOKUP(B11,Data!$A$3:$B$33,2,FALSE)))</f>
        <v>Amazon.Com, Inc.</v>
      </c>
      <c r="B11" s="288" t="s">
        <v>163</v>
      </c>
      <c r="C11" s="288"/>
      <c r="D11" s="393">
        <v>42625.666666666664</v>
      </c>
      <c r="E11" s="394">
        <v>500</v>
      </c>
      <c r="F11" s="395">
        <v>771.49</v>
      </c>
      <c r="G11" s="331">
        <f t="shared" si="0"/>
        <v>385745</v>
      </c>
      <c r="H11" s="332">
        <f t="shared" si="4"/>
        <v>10</v>
      </c>
      <c r="I11" s="333">
        <f t="shared" si="1"/>
        <v>500</v>
      </c>
      <c r="J11" s="334"/>
      <c r="K11" s="331"/>
      <c r="L11" s="276"/>
      <c r="M11" s="124"/>
      <c r="N11" s="140"/>
      <c r="O11" s="125"/>
      <c r="P11" s="126"/>
      <c r="Q11" s="127"/>
      <c r="R11" s="93"/>
      <c r="S11" s="93"/>
      <c r="T11" s="128"/>
      <c r="U11" s="129"/>
      <c r="V11" s="93"/>
      <c r="W11" s="84"/>
    </row>
    <row r="12" spans="1:23" s="80" customFormat="1" ht="15">
      <c r="A12" s="330" t="str">
        <f>IF(B12="","",PROPER(VLOOKUP(B12,Data!$A$3:$B$33,2,FALSE)))</f>
        <v>Amazon.Com, Inc.</v>
      </c>
      <c r="B12" s="288" t="s">
        <v>163</v>
      </c>
      <c r="C12" s="288"/>
      <c r="D12" s="393">
        <v>42667.666666666664</v>
      </c>
      <c r="E12" s="394">
        <v>6000</v>
      </c>
      <c r="F12" s="395">
        <v>838.09</v>
      </c>
      <c r="G12" s="331">
        <f t="shared" si="0"/>
        <v>5028540</v>
      </c>
      <c r="H12" s="332">
        <f t="shared" ref="H12:H17" si="5">IF(B12="","",10)</f>
        <v>10</v>
      </c>
      <c r="I12" s="333">
        <f t="shared" si="1"/>
        <v>6500</v>
      </c>
      <c r="J12" s="334">
        <f>IF(B12="","",IF(I12=0,0,IF(B12=B10,IF(E12*I10&gt;0,((J10*I10)+G12)/I12,IF(I10*I12&lt;=0,F12,J10)),F12)))</f>
        <v>838.09</v>
      </c>
      <c r="K12" s="331">
        <f t="shared" si="2"/>
        <v>0</v>
      </c>
      <c r="L12" s="276"/>
      <c r="M12" s="124"/>
      <c r="N12" s="140"/>
      <c r="O12" s="125"/>
      <c r="P12" s="126"/>
      <c r="Q12" s="127"/>
      <c r="R12" s="93"/>
      <c r="S12" s="93"/>
      <c r="T12" s="128"/>
      <c r="U12" s="129"/>
      <c r="V12" s="93"/>
      <c r="W12" s="84"/>
    </row>
    <row r="13" spans="1:23" s="80" customFormat="1" ht="15">
      <c r="A13" s="330" t="str">
        <f>IF(B13="","",PROPER(VLOOKUP(B13,Data!$A$3:$B$33,2,FALSE)))</f>
        <v>Amazon.Com, Inc.</v>
      </c>
      <c r="B13" s="288" t="s">
        <v>163</v>
      </c>
      <c r="C13" s="288"/>
      <c r="D13" s="393">
        <v>42674.666666666664</v>
      </c>
      <c r="E13" s="394">
        <v>-6500</v>
      </c>
      <c r="F13" s="395">
        <v>789.82</v>
      </c>
      <c r="G13" s="331">
        <f t="shared" si="0"/>
        <v>-5133830</v>
      </c>
      <c r="H13" s="332">
        <f t="shared" si="5"/>
        <v>10</v>
      </c>
      <c r="I13" s="333">
        <f t="shared" si="1"/>
        <v>0</v>
      </c>
      <c r="J13" s="334">
        <f t="shared" si="3"/>
        <v>0</v>
      </c>
      <c r="K13" s="331">
        <f t="shared" si="2"/>
        <v>0</v>
      </c>
      <c r="L13" s="276">
        <f>E11*(F13-F11)+E12*(F13-F12)</f>
        <v>-280454.99999999988</v>
      </c>
      <c r="M13" s="124"/>
      <c r="N13" s="140"/>
      <c r="O13" s="125"/>
      <c r="P13" s="126"/>
      <c r="Q13" s="127"/>
      <c r="R13" s="93"/>
      <c r="S13" s="93"/>
      <c r="T13" s="128"/>
      <c r="U13" s="129"/>
      <c r="V13" s="93"/>
      <c r="W13" s="84"/>
    </row>
    <row r="14" spans="1:23" s="80" customFormat="1" ht="24" customHeight="1">
      <c r="A14" s="330" t="str">
        <f>IF(B14="","",PROPER(VLOOKUP(B14,Data!$A$3:$B$33,2,FALSE)))</f>
        <v>Ameren</v>
      </c>
      <c r="B14" s="288" t="s">
        <v>165</v>
      </c>
      <c r="C14" s="288"/>
      <c r="D14" s="393">
        <v>42640.666666666664</v>
      </c>
      <c r="E14" s="394">
        <v>2000</v>
      </c>
      <c r="F14" s="395">
        <v>50.56</v>
      </c>
      <c r="G14" s="331">
        <f t="shared" si="0"/>
        <v>101120</v>
      </c>
      <c r="H14" s="332">
        <f t="shared" si="5"/>
        <v>10</v>
      </c>
      <c r="I14" s="333">
        <f t="shared" si="1"/>
        <v>2000</v>
      </c>
      <c r="J14" s="334">
        <f t="shared" si="3"/>
        <v>50.56</v>
      </c>
      <c r="K14" s="331">
        <f t="shared" si="2"/>
        <v>101120</v>
      </c>
      <c r="L14" s="276"/>
      <c r="M14" s="130"/>
      <c r="N14" s="140"/>
      <c r="O14" s="131"/>
      <c r="T14" s="132"/>
    </row>
    <row r="15" spans="1:23" s="80" customFormat="1" ht="15">
      <c r="A15" s="330" t="str">
        <f>IF(B15="","",PROPER(VLOOKUP(B15,Data!$A$3:$B$33,2,FALSE)))</f>
        <v>Apple Inc.</v>
      </c>
      <c r="B15" s="288" t="s">
        <v>167</v>
      </c>
      <c r="C15" s="288"/>
      <c r="D15" s="393">
        <v>42620.666666666664</v>
      </c>
      <c r="E15" s="394">
        <v>1000</v>
      </c>
      <c r="F15" s="395">
        <v>108.36</v>
      </c>
      <c r="G15" s="331">
        <f t="shared" si="0"/>
        <v>108360</v>
      </c>
      <c r="H15" s="332">
        <f t="shared" si="5"/>
        <v>10</v>
      </c>
      <c r="I15" s="333">
        <f t="shared" si="1"/>
        <v>1000</v>
      </c>
      <c r="J15" s="334">
        <f t="shared" si="3"/>
        <v>108.36</v>
      </c>
      <c r="K15" s="331">
        <f t="shared" si="2"/>
        <v>0</v>
      </c>
      <c r="L15" s="276"/>
      <c r="M15" s="124"/>
      <c r="N15" s="140"/>
      <c r="O15" s="125"/>
      <c r="P15" s="126"/>
      <c r="Q15" s="127"/>
      <c r="R15" s="93"/>
      <c r="S15" s="93"/>
      <c r="T15" s="128"/>
      <c r="U15" s="129"/>
      <c r="V15" s="93"/>
      <c r="W15" s="84"/>
    </row>
    <row r="16" spans="1:23" s="80" customFormat="1" ht="15">
      <c r="A16" s="330" t="str">
        <f>IF(B16="","",PROPER(VLOOKUP(B16,Data!$A$3:$B$33,2,FALSE)))</f>
        <v>Apple Inc.</v>
      </c>
      <c r="B16" s="288" t="s">
        <v>167</v>
      </c>
      <c r="C16" s="288"/>
      <c r="D16" s="393">
        <v>42625.666666666664</v>
      </c>
      <c r="E16" s="288">
        <v>-500</v>
      </c>
      <c r="F16" s="395">
        <v>105.44</v>
      </c>
      <c r="G16" s="331">
        <f t="shared" si="0"/>
        <v>-52720</v>
      </c>
      <c r="H16" s="332">
        <f t="shared" si="5"/>
        <v>10</v>
      </c>
      <c r="I16" s="333">
        <f t="shared" si="1"/>
        <v>500</v>
      </c>
      <c r="J16" s="334">
        <f t="shared" si="3"/>
        <v>108.36</v>
      </c>
      <c r="K16" s="331">
        <f t="shared" si="2"/>
        <v>0</v>
      </c>
      <c r="L16" s="276">
        <f>E16*(F15-F16)</f>
        <v>-1460.0000000000009</v>
      </c>
      <c r="M16" s="124"/>
      <c r="N16" s="140"/>
      <c r="O16" s="125"/>
      <c r="P16" s="126"/>
      <c r="Q16" s="127"/>
      <c r="R16" s="93"/>
      <c r="S16" s="93"/>
      <c r="T16" s="128"/>
      <c r="U16" s="129"/>
      <c r="V16" s="93"/>
      <c r="W16" s="84"/>
    </row>
    <row r="17" spans="1:23" s="80" customFormat="1" ht="15">
      <c r="A17" s="330" t="str">
        <f>IF(B17="","",PROPER(VLOOKUP(B17,Data!$A$3:$B$33,2,FALSE)))</f>
        <v>Apple Inc.</v>
      </c>
      <c r="B17" s="288" t="s">
        <v>167</v>
      </c>
      <c r="C17" s="288"/>
      <c r="D17" s="393">
        <v>42667.666666666664</v>
      </c>
      <c r="E17" s="394">
        <v>5000</v>
      </c>
      <c r="F17" s="395">
        <v>117.65</v>
      </c>
      <c r="G17" s="331">
        <f t="shared" si="0"/>
        <v>588250</v>
      </c>
      <c r="H17" s="332">
        <f t="shared" si="5"/>
        <v>10</v>
      </c>
      <c r="I17" s="333">
        <f t="shared" si="1"/>
        <v>5500</v>
      </c>
      <c r="J17" s="334">
        <f t="shared" si="3"/>
        <v>116.80545454545455</v>
      </c>
      <c r="K17" s="331">
        <f t="shared" si="2"/>
        <v>642430</v>
      </c>
      <c r="L17" s="276"/>
      <c r="M17" s="124"/>
      <c r="N17" s="140"/>
      <c r="O17" s="125"/>
      <c r="P17" s="126"/>
      <c r="Q17" s="127"/>
      <c r="R17" s="93"/>
      <c r="S17" s="93"/>
      <c r="T17" s="128"/>
      <c r="U17" s="129"/>
      <c r="V17" s="93"/>
      <c r="W17" s="84"/>
    </row>
    <row r="18" spans="1:23" s="80" customFormat="1" ht="15">
      <c r="A18" s="330" t="str">
        <f>IF(B18="","",PROPER(VLOOKUP(B18,Data!$A$3:$B$33,2,FALSE)))</f>
        <v>Bank Of America</v>
      </c>
      <c r="B18" s="288" t="s">
        <v>169</v>
      </c>
      <c r="C18" s="288"/>
      <c r="D18" s="393">
        <v>42620.666666666664</v>
      </c>
      <c r="E18" s="394">
        <v>1000</v>
      </c>
      <c r="F18" s="395">
        <v>15.7</v>
      </c>
      <c r="G18" s="331">
        <f t="shared" si="0"/>
        <v>15700</v>
      </c>
      <c r="H18" s="332">
        <f t="shared" si="4"/>
        <v>10</v>
      </c>
      <c r="I18" s="333">
        <f t="shared" si="1"/>
        <v>1000</v>
      </c>
      <c r="J18" s="334">
        <f t="shared" si="3"/>
        <v>15.7</v>
      </c>
      <c r="K18" s="331">
        <f t="shared" si="2"/>
        <v>0</v>
      </c>
      <c r="L18" s="276"/>
      <c r="M18" s="124"/>
      <c r="N18" s="140"/>
    </row>
    <row r="19" spans="1:23" s="80" customFormat="1" ht="15">
      <c r="A19" s="330" t="str">
        <f>IF(B19="","",PROPER(VLOOKUP(B19,Data!$A$3:$B$33,2,FALSE)))</f>
        <v>Bank Of America</v>
      </c>
      <c r="B19" s="288" t="s">
        <v>169</v>
      </c>
      <c r="C19" s="288"/>
      <c r="D19" s="393">
        <v>42635.666666666664</v>
      </c>
      <c r="E19" s="394">
        <v>-5000</v>
      </c>
      <c r="F19" s="395">
        <v>15.6</v>
      </c>
      <c r="G19" s="331">
        <f t="shared" si="0"/>
        <v>-78000</v>
      </c>
      <c r="H19" s="332">
        <f t="shared" si="4"/>
        <v>10</v>
      </c>
      <c r="I19" s="333">
        <f t="shared" si="1"/>
        <v>-4000</v>
      </c>
      <c r="J19" s="334">
        <f t="shared" si="3"/>
        <v>15.6</v>
      </c>
      <c r="K19" s="331">
        <f t="shared" si="2"/>
        <v>-62400</v>
      </c>
      <c r="L19" s="276">
        <f>E18*(F19-F18)</f>
        <v>-99.999999999999645</v>
      </c>
      <c r="M19" s="130"/>
      <c r="N19" s="140"/>
      <c r="O19" s="131"/>
      <c r="T19" s="132"/>
    </row>
    <row r="20" spans="1:23" s="80" customFormat="1" ht="15" customHeight="1">
      <c r="A20" s="330" t="str">
        <f>IF(B20="","",PROPER(VLOOKUP(B20,Data!$A$3:$B$33,2,FALSE)))</f>
        <v>Barclays</v>
      </c>
      <c r="B20" s="288" t="s">
        <v>171</v>
      </c>
      <c r="C20" s="288"/>
      <c r="D20" s="393">
        <v>42621.666666666664</v>
      </c>
      <c r="E20" s="394">
        <v>1000</v>
      </c>
      <c r="F20" s="395">
        <v>9.23</v>
      </c>
      <c r="G20" s="331">
        <f t="shared" si="0"/>
        <v>9230</v>
      </c>
      <c r="H20" s="332">
        <f t="shared" si="4"/>
        <v>10</v>
      </c>
      <c r="I20" s="333">
        <f t="shared" si="1"/>
        <v>1000</v>
      </c>
      <c r="J20" s="334">
        <f t="shared" si="3"/>
        <v>9.23</v>
      </c>
      <c r="K20" s="331">
        <f t="shared" si="2"/>
        <v>0</v>
      </c>
      <c r="L20" s="276"/>
      <c r="M20" s="130"/>
      <c r="N20" s="140"/>
      <c r="O20" s="131"/>
      <c r="T20" s="132"/>
    </row>
    <row r="21" spans="1:23" s="80" customFormat="1" ht="24" customHeight="1">
      <c r="A21" s="330" t="str">
        <f>IF(B21="","",PROPER(VLOOKUP(B21,Data!$A$3:$B$33,2,FALSE)))</f>
        <v>Barclays</v>
      </c>
      <c r="B21" s="288" t="s">
        <v>171</v>
      </c>
      <c r="C21" s="288"/>
      <c r="D21" s="393">
        <v>42688.666666666664</v>
      </c>
      <c r="E21" s="394">
        <v>-1000</v>
      </c>
      <c r="F21" s="395">
        <v>10.55</v>
      </c>
      <c r="G21" s="331">
        <f t="shared" si="0"/>
        <v>-10550</v>
      </c>
      <c r="H21" s="332">
        <f t="shared" si="4"/>
        <v>10</v>
      </c>
      <c r="I21" s="333">
        <f t="shared" si="1"/>
        <v>0</v>
      </c>
      <c r="J21" s="334">
        <f t="shared" si="3"/>
        <v>0</v>
      </c>
      <c r="K21" s="331">
        <f t="shared" si="2"/>
        <v>0</v>
      </c>
      <c r="L21" s="276">
        <f>E20*(F21-F20)</f>
        <v>1320.0000000000002</v>
      </c>
      <c r="M21" s="130"/>
      <c r="N21" s="140"/>
      <c r="O21" s="131"/>
      <c r="T21" s="132"/>
    </row>
    <row r="22" spans="1:23" s="80" customFormat="1" ht="24" customHeight="1">
      <c r="A22" s="330" t="str">
        <f>IF(B22="","",PROPER(VLOOKUP(B22,Data!$A$3:$B$33,2,FALSE)))</f>
        <v>Cabot Oil &amp; Gas A</v>
      </c>
      <c r="B22" s="288" t="s">
        <v>173</v>
      </c>
      <c r="C22" s="288"/>
      <c r="D22" s="393">
        <v>42627.666666666664</v>
      </c>
      <c r="E22" s="394">
        <v>1000</v>
      </c>
      <c r="F22" s="395">
        <v>25.09</v>
      </c>
      <c r="G22" s="331">
        <f t="shared" si="0"/>
        <v>25090</v>
      </c>
      <c r="H22" s="332">
        <f t="shared" si="4"/>
        <v>10</v>
      </c>
      <c r="I22" s="333">
        <f t="shared" si="1"/>
        <v>1000</v>
      </c>
      <c r="J22" s="334">
        <f t="shared" si="3"/>
        <v>25.09</v>
      </c>
      <c r="K22" s="331">
        <f t="shared" si="2"/>
        <v>0</v>
      </c>
      <c r="L22" s="276"/>
      <c r="M22" s="130"/>
      <c r="N22" s="140"/>
      <c r="O22" s="131"/>
      <c r="T22" s="132"/>
    </row>
    <row r="23" spans="1:23" s="80" customFormat="1" ht="24" customHeight="1">
      <c r="A23" s="330" t="str">
        <f>IF(B23="","",PROPER(VLOOKUP(B23,Data!$A$3:$B$33,2,FALSE)))</f>
        <v>Cabot Oil &amp; Gas A</v>
      </c>
      <c r="B23" s="288" t="s">
        <v>173</v>
      </c>
      <c r="C23" s="288"/>
      <c r="D23" s="393">
        <v>42643.666666666664</v>
      </c>
      <c r="E23" s="394">
        <v>5000</v>
      </c>
      <c r="F23" s="395">
        <v>25.8</v>
      </c>
      <c r="G23" s="331">
        <f t="shared" si="0"/>
        <v>129000</v>
      </c>
      <c r="H23" s="332">
        <f t="shared" si="4"/>
        <v>10</v>
      </c>
      <c r="I23" s="333">
        <f t="shared" si="1"/>
        <v>6000</v>
      </c>
      <c r="J23" s="334">
        <f t="shared" si="3"/>
        <v>25.681666666666668</v>
      </c>
      <c r="K23" s="331">
        <f t="shared" si="2"/>
        <v>154090</v>
      </c>
      <c r="L23" s="276"/>
      <c r="M23" s="130"/>
      <c r="N23" s="140"/>
      <c r="O23" s="131"/>
      <c r="T23" s="132"/>
    </row>
    <row r="24" spans="1:23" s="80" customFormat="1" ht="24" customHeight="1">
      <c r="A24" s="330" t="str">
        <f>IF(B24="","",PROPER(VLOOKUP(B24,Data!$A$3:$B$33,2,FALSE)))</f>
        <v>Deutsche Bank</v>
      </c>
      <c r="B24" s="288" t="s">
        <v>175</v>
      </c>
      <c r="C24" s="288"/>
      <c r="D24" s="393">
        <v>42643.666666666664</v>
      </c>
      <c r="E24" s="394">
        <v>-2000</v>
      </c>
      <c r="F24" s="395">
        <v>13.09</v>
      </c>
      <c r="G24" s="331">
        <f t="shared" si="0"/>
        <v>-26180</v>
      </c>
      <c r="H24" s="332">
        <f t="shared" si="4"/>
        <v>10</v>
      </c>
      <c r="I24" s="333">
        <f t="shared" si="1"/>
        <v>-2000</v>
      </c>
      <c r="J24" s="334">
        <f t="shared" si="3"/>
        <v>13.09</v>
      </c>
      <c r="K24" s="331">
        <f t="shared" si="2"/>
        <v>-26180</v>
      </c>
      <c r="L24" s="276"/>
      <c r="M24" s="130"/>
      <c r="N24" s="140"/>
      <c r="O24" s="131"/>
      <c r="T24" s="132"/>
    </row>
    <row r="25" spans="1:23" s="80" customFormat="1" ht="24" customHeight="1">
      <c r="A25" s="330" t="str">
        <f>IF(B25="","",PROPER(VLOOKUP(B25,Data!$A$3:$B$33,2,FALSE)))</f>
        <v>Duke Energy</v>
      </c>
      <c r="B25" s="288" t="s">
        <v>177</v>
      </c>
      <c r="C25" s="288"/>
      <c r="D25" s="393">
        <v>42640.666666666664</v>
      </c>
      <c r="E25" s="394">
        <v>2000</v>
      </c>
      <c r="F25" s="395">
        <v>81.430000000000007</v>
      </c>
      <c r="G25" s="331">
        <f t="shared" si="0"/>
        <v>162860</v>
      </c>
      <c r="H25" s="332">
        <f t="shared" si="4"/>
        <v>10</v>
      </c>
      <c r="I25" s="333">
        <f t="shared" si="1"/>
        <v>2000</v>
      </c>
      <c r="J25" s="334">
        <f t="shared" si="3"/>
        <v>81.430000000000007</v>
      </c>
      <c r="K25" s="331">
        <f t="shared" si="2"/>
        <v>162860</v>
      </c>
      <c r="L25" s="276"/>
      <c r="M25" s="130"/>
      <c r="N25" s="140"/>
      <c r="O25" s="131"/>
      <c r="T25" s="132"/>
    </row>
    <row r="26" spans="1:23" s="80" customFormat="1" ht="17" customHeight="1">
      <c r="A26" s="330" t="str">
        <f>IF(B26="","",PROPER(VLOOKUP(B26,Data!$A$3:$B$33,2,FALSE)))</f>
        <v>Exxon Mobil Corporation</v>
      </c>
      <c r="B26" s="288" t="s">
        <v>179</v>
      </c>
      <c r="C26" s="288"/>
      <c r="D26" s="393">
        <v>42633.666666666664</v>
      </c>
      <c r="E26" s="394">
        <v>-2000</v>
      </c>
      <c r="F26" s="395">
        <v>82.54</v>
      </c>
      <c r="G26" s="331">
        <f t="shared" si="0"/>
        <v>-165080</v>
      </c>
      <c r="H26" s="332">
        <f>IF(B26="","",10)</f>
        <v>10</v>
      </c>
      <c r="I26" s="333">
        <f t="shared" si="1"/>
        <v>-2000</v>
      </c>
      <c r="J26" s="334">
        <f t="shared" si="3"/>
        <v>82.54</v>
      </c>
      <c r="K26" s="331">
        <f t="shared" si="2"/>
        <v>-165080</v>
      </c>
      <c r="L26" s="276"/>
      <c r="M26" s="130"/>
      <c r="N26" s="140"/>
      <c r="T26" s="132"/>
    </row>
    <row r="27" spans="1:23" s="80" customFormat="1" ht="24" customHeight="1">
      <c r="A27" s="330" t="str">
        <f>IF(B27="","",PROPER(VLOOKUP(B27,Data!$A$3:$B$33,2,FALSE)))</f>
        <v>Ford Motor Co.</v>
      </c>
      <c r="B27" s="288" t="s">
        <v>181</v>
      </c>
      <c r="C27" s="288"/>
      <c r="D27" s="393">
        <v>42627.666666666664</v>
      </c>
      <c r="E27" s="394">
        <v>3000</v>
      </c>
      <c r="F27" s="395">
        <v>12.14</v>
      </c>
      <c r="G27" s="331">
        <f t="shared" si="0"/>
        <v>36420</v>
      </c>
      <c r="H27" s="332">
        <f t="shared" si="4"/>
        <v>10</v>
      </c>
      <c r="I27" s="333">
        <f t="shared" si="1"/>
        <v>3000</v>
      </c>
      <c r="J27" s="334">
        <f t="shared" si="3"/>
        <v>12.14</v>
      </c>
      <c r="K27" s="331">
        <f t="shared" si="2"/>
        <v>36420</v>
      </c>
      <c r="L27" s="276"/>
      <c r="M27" s="130"/>
      <c r="N27" s="140"/>
      <c r="O27" s="131"/>
      <c r="T27" s="132"/>
    </row>
    <row r="28" spans="1:23" s="80" customFormat="1" ht="24" customHeight="1">
      <c r="A28" s="330" t="str">
        <f>IF(B28="","",PROPER(VLOOKUP(B28,Data!$A$3:$B$33,2,FALSE)))</f>
        <v>General Electric Co</v>
      </c>
      <c r="B28" s="288" t="s">
        <v>183</v>
      </c>
      <c r="C28" s="288"/>
      <c r="D28" s="393">
        <v>42625.666666666664</v>
      </c>
      <c r="E28" s="394">
        <v>1000</v>
      </c>
      <c r="F28" s="395">
        <v>30.49</v>
      </c>
      <c r="G28" s="331">
        <f t="shared" si="0"/>
        <v>30490</v>
      </c>
      <c r="H28" s="332">
        <f t="shared" si="4"/>
        <v>10</v>
      </c>
      <c r="I28" s="333">
        <f t="shared" si="1"/>
        <v>1000</v>
      </c>
      <c r="J28" s="334">
        <f t="shared" si="3"/>
        <v>30.49</v>
      </c>
      <c r="K28" s="331">
        <f t="shared" si="2"/>
        <v>30490</v>
      </c>
      <c r="L28" s="276"/>
      <c r="M28" s="130"/>
      <c r="N28" s="140"/>
      <c r="O28" s="131"/>
      <c r="T28" s="132"/>
    </row>
    <row r="29" spans="1:23" s="80" customFormat="1" ht="24" customHeight="1">
      <c r="A29" s="330" t="str">
        <f>IF(B29="","",PROPER(VLOOKUP(B29,Data!$A$3:$B$33,2,FALSE)))</f>
        <v>Jetblue Airways</v>
      </c>
      <c r="B29" s="288" t="s">
        <v>185</v>
      </c>
      <c r="C29" s="288"/>
      <c r="D29" s="393">
        <v>42625.666666666664</v>
      </c>
      <c r="E29" s="394">
        <v>1000</v>
      </c>
      <c r="F29" s="395">
        <v>16.78</v>
      </c>
      <c r="G29" s="331">
        <f t="shared" si="0"/>
        <v>16780</v>
      </c>
      <c r="H29" s="332">
        <f t="shared" si="4"/>
        <v>10</v>
      </c>
      <c r="I29" s="333">
        <f t="shared" si="1"/>
        <v>1000</v>
      </c>
      <c r="J29" s="334">
        <f t="shared" si="3"/>
        <v>16.78</v>
      </c>
      <c r="K29" s="331">
        <f t="shared" si="2"/>
        <v>0</v>
      </c>
      <c r="L29" s="276"/>
      <c r="M29" s="130"/>
      <c r="N29" s="140"/>
      <c r="O29" s="131"/>
      <c r="T29" s="132"/>
    </row>
    <row r="30" spans="1:23" s="80" customFormat="1" ht="24" customHeight="1">
      <c r="A30" s="330" t="str">
        <f>IF(B30="","",PROPER(VLOOKUP(B30,Data!$A$3:$B$33,2,FALSE)))</f>
        <v>Jetblue Airways</v>
      </c>
      <c r="B30" s="288" t="s">
        <v>185</v>
      </c>
      <c r="C30" s="288"/>
      <c r="D30" s="393">
        <v>42634.666666666664</v>
      </c>
      <c r="E30" s="394">
        <v>-1000</v>
      </c>
      <c r="F30" s="395">
        <v>17.190000000000001</v>
      </c>
      <c r="G30" s="331">
        <f t="shared" si="0"/>
        <v>-17190</v>
      </c>
      <c r="H30" s="332">
        <f t="shared" si="4"/>
        <v>10</v>
      </c>
      <c r="I30" s="333">
        <f t="shared" si="1"/>
        <v>0</v>
      </c>
      <c r="J30" s="334">
        <f t="shared" si="3"/>
        <v>0</v>
      </c>
      <c r="K30" s="331">
        <f t="shared" si="2"/>
        <v>0</v>
      </c>
      <c r="L30" s="276">
        <f>E29*(F30-F29)</f>
        <v>410.00000000000011</v>
      </c>
      <c r="M30" s="130"/>
      <c r="N30" s="140"/>
      <c r="O30" s="131"/>
      <c r="T30" s="132"/>
    </row>
    <row r="31" spans="1:23" s="80" customFormat="1" ht="24" customHeight="1">
      <c r="A31" s="330" t="str">
        <f>IF(B31="","",PROPER(VLOOKUP(B31,Data!$A$3:$B$33,2,FALSE)))</f>
        <v>Jetblue Airways</v>
      </c>
      <c r="B31" s="288" t="s">
        <v>185</v>
      </c>
      <c r="C31" s="288"/>
      <c r="D31" s="393">
        <v>42640.666666666664</v>
      </c>
      <c r="E31" s="394">
        <v>5000</v>
      </c>
      <c r="F31" s="395">
        <v>17.329999999999998</v>
      </c>
      <c r="G31" s="331">
        <f t="shared" si="0"/>
        <v>86650</v>
      </c>
      <c r="H31" s="332">
        <f t="shared" si="4"/>
        <v>10</v>
      </c>
      <c r="I31" s="333">
        <f t="shared" si="1"/>
        <v>5000</v>
      </c>
      <c r="J31" s="334">
        <f t="shared" si="3"/>
        <v>17.329999999999998</v>
      </c>
      <c r="K31" s="331">
        <f t="shared" si="2"/>
        <v>0</v>
      </c>
      <c r="L31" s="276"/>
      <c r="M31" s="130"/>
      <c r="N31" s="140"/>
      <c r="O31" s="131"/>
      <c r="T31" s="132"/>
    </row>
    <row r="32" spans="1:23" s="80" customFormat="1" ht="19" customHeight="1">
      <c r="A32" s="330" t="str">
        <f>IF(B32="","",PROPER(VLOOKUP(B32,Data!$A$3:$B$33,2,FALSE)))</f>
        <v>Jetblue Airways</v>
      </c>
      <c r="B32" s="288" t="s">
        <v>185</v>
      </c>
      <c r="C32" s="288"/>
      <c r="D32" s="393">
        <v>42670.666666666664</v>
      </c>
      <c r="E32" s="394">
        <v>-5000</v>
      </c>
      <c r="F32" s="395">
        <v>17.36</v>
      </c>
      <c r="G32" s="331">
        <f t="shared" si="0"/>
        <v>-86800</v>
      </c>
      <c r="H32" s="332">
        <f t="shared" si="4"/>
        <v>10</v>
      </c>
      <c r="I32" s="333">
        <f t="shared" si="1"/>
        <v>0</v>
      </c>
      <c r="J32" s="334">
        <f t="shared" si="3"/>
        <v>0</v>
      </c>
      <c r="K32" s="331">
        <f t="shared" si="2"/>
        <v>0</v>
      </c>
      <c r="L32" s="276">
        <f>E31*(F32-F31)</f>
        <v>150.00000000000568</v>
      </c>
      <c r="M32" s="130"/>
      <c r="N32" s="140"/>
      <c r="O32" s="131"/>
      <c r="T32" s="132"/>
    </row>
    <row r="33" spans="1:20" s="80" customFormat="1" ht="16" customHeight="1">
      <c r="A33" s="330" t="str">
        <f>IF(B33="","",PROPER(VLOOKUP(B33,Data!$A$3:$B$33,2,FALSE)))</f>
        <v>J P Morgan Chase &amp; Co</v>
      </c>
      <c r="B33" s="288" t="s">
        <v>187</v>
      </c>
      <c r="C33" s="288"/>
      <c r="D33" s="393">
        <v>42620.666666666664</v>
      </c>
      <c r="E33" s="394">
        <v>-2000</v>
      </c>
      <c r="F33" s="395">
        <v>67.16</v>
      </c>
      <c r="G33" s="331">
        <f t="shared" si="0"/>
        <v>-134320</v>
      </c>
      <c r="H33" s="332">
        <f t="shared" si="4"/>
        <v>10</v>
      </c>
      <c r="I33" s="333">
        <f t="shared" si="1"/>
        <v>-2000</v>
      </c>
      <c r="J33" s="334">
        <f t="shared" si="3"/>
        <v>67.16</v>
      </c>
      <c r="K33" s="331">
        <f t="shared" si="2"/>
        <v>-134320</v>
      </c>
      <c r="L33" s="276"/>
      <c r="M33" s="130"/>
      <c r="N33" s="140"/>
      <c r="O33" s="131"/>
      <c r="T33" s="132"/>
    </row>
    <row r="34" spans="1:20" s="80" customFormat="1" ht="21" customHeight="1">
      <c r="A34" s="330" t="str">
        <f>IF(B34="","",PROPER(VLOOKUP(B34,Data!$A$3:$B$33,2,FALSE)))</f>
        <v>Lan Airlines</v>
      </c>
      <c r="B34" s="288" t="s">
        <v>189</v>
      </c>
      <c r="C34" s="288"/>
      <c r="D34" s="393">
        <v>42625.666666666664</v>
      </c>
      <c r="E34" s="394">
        <v>1000</v>
      </c>
      <c r="F34" s="395">
        <v>7.93</v>
      </c>
      <c r="G34" s="331">
        <f t="shared" si="0"/>
        <v>7930</v>
      </c>
      <c r="H34" s="332">
        <f t="shared" si="4"/>
        <v>10</v>
      </c>
      <c r="I34" s="333">
        <f t="shared" si="1"/>
        <v>1000</v>
      </c>
      <c r="J34" s="334">
        <f t="shared" si="3"/>
        <v>7.93</v>
      </c>
      <c r="K34" s="331">
        <f t="shared" si="2"/>
        <v>0</v>
      </c>
      <c r="L34" s="276"/>
      <c r="M34" s="130"/>
      <c r="N34" s="140"/>
      <c r="T34" s="132"/>
    </row>
    <row r="35" spans="1:20" s="80" customFormat="1" ht="28" customHeight="1">
      <c r="A35" s="330" t="str">
        <f>IF(B35="","",PROPER(VLOOKUP(B35,Data!$A$3:$B$33,2,FALSE)))</f>
        <v>Lan Airlines</v>
      </c>
      <c r="B35" s="288" t="s">
        <v>189</v>
      </c>
      <c r="C35" s="288"/>
      <c r="D35" s="393">
        <v>42648.666666666664</v>
      </c>
      <c r="E35" s="394">
        <v>4000</v>
      </c>
      <c r="F35" s="395">
        <v>8.61</v>
      </c>
      <c r="G35" s="331">
        <f t="shared" si="0"/>
        <v>34440</v>
      </c>
      <c r="H35" s="332">
        <f t="shared" si="4"/>
        <v>10</v>
      </c>
      <c r="I35" s="333">
        <f t="shared" si="1"/>
        <v>5000</v>
      </c>
      <c r="J35" s="334">
        <f t="shared" si="3"/>
        <v>8.4740000000000002</v>
      </c>
      <c r="K35" s="331">
        <f t="shared" si="2"/>
        <v>0</v>
      </c>
      <c r="L35" s="276"/>
      <c r="M35" s="130"/>
      <c r="N35" s="140"/>
      <c r="T35" s="132"/>
    </row>
    <row r="36" spans="1:20" s="80" customFormat="1" ht="21" customHeight="1">
      <c r="A36" s="330" t="str">
        <f>IF(B36="","",PROPER(VLOOKUP(B36,Data!$A$3:$B$33,2,FALSE)))</f>
        <v>Lan Airlines</v>
      </c>
      <c r="B36" s="288" t="s">
        <v>189</v>
      </c>
      <c r="C36" s="288"/>
      <c r="D36" s="393">
        <v>42669.666666666664</v>
      </c>
      <c r="E36" s="394">
        <v>-5000</v>
      </c>
      <c r="F36" s="395">
        <v>9.66</v>
      </c>
      <c r="G36" s="331">
        <f t="shared" si="0"/>
        <v>-48300</v>
      </c>
      <c r="H36" s="332">
        <f t="shared" si="4"/>
        <v>10</v>
      </c>
      <c r="I36" s="333">
        <f t="shared" si="1"/>
        <v>0</v>
      </c>
      <c r="J36" s="334">
        <f t="shared" si="3"/>
        <v>0</v>
      </c>
      <c r="K36" s="331">
        <f t="shared" si="2"/>
        <v>0</v>
      </c>
      <c r="L36" s="276">
        <f>E34*(F36-F34)+E35*(F36-F35)</f>
        <v>5930.0000000000036</v>
      </c>
      <c r="M36" s="130"/>
      <c r="N36" s="140"/>
      <c r="O36" s="131"/>
      <c r="T36" s="132"/>
    </row>
    <row r="37" spans="1:20" s="80" customFormat="1" ht="20" customHeight="1">
      <c r="A37" s="330" t="str">
        <f>IF(B37="","",PROPER(VLOOKUP(B37,Data!$A$3:$B$33,2,FALSE)))</f>
        <v>Marriott Intl A</v>
      </c>
      <c r="B37" s="288" t="s">
        <v>191</v>
      </c>
      <c r="C37" s="288"/>
      <c r="D37" s="393">
        <v>42639.666666666664</v>
      </c>
      <c r="E37" s="394">
        <v>10000</v>
      </c>
      <c r="F37" s="395">
        <v>67.150000000000006</v>
      </c>
      <c r="G37" s="331">
        <f t="shared" si="0"/>
        <v>671500</v>
      </c>
      <c r="H37" s="332">
        <f t="shared" si="4"/>
        <v>10</v>
      </c>
      <c r="I37" s="333">
        <f t="shared" si="1"/>
        <v>10000</v>
      </c>
      <c r="J37" s="334">
        <f t="shared" si="3"/>
        <v>67.150000000000006</v>
      </c>
      <c r="K37" s="331">
        <f t="shared" si="2"/>
        <v>0</v>
      </c>
      <c r="L37" s="276"/>
      <c r="M37" s="130"/>
      <c r="N37" s="140"/>
      <c r="O37" s="131"/>
      <c r="T37" s="132"/>
    </row>
    <row r="38" spans="1:20" s="80" customFormat="1" ht="20" customHeight="1">
      <c r="A38" s="330" t="str">
        <f>IF(B38="","",PROPER(VLOOKUP(B38,Data!$A$3:$B$33,2,FALSE)))</f>
        <v>Marriott Intl A</v>
      </c>
      <c r="B38" s="288" t="s">
        <v>191</v>
      </c>
      <c r="C38" s="288"/>
      <c r="D38" s="393">
        <v>42688.666666666664</v>
      </c>
      <c r="E38" s="394">
        <v>-10000</v>
      </c>
      <c r="F38" s="395">
        <v>77.239999999999995</v>
      </c>
      <c r="G38" s="331">
        <f t="shared" si="0"/>
        <v>-772400</v>
      </c>
      <c r="H38" s="332">
        <f t="shared" si="4"/>
        <v>10</v>
      </c>
      <c r="I38" s="333">
        <f t="shared" si="1"/>
        <v>0</v>
      </c>
      <c r="J38" s="334">
        <f t="shared" si="3"/>
        <v>0</v>
      </c>
      <c r="K38" s="331">
        <f t="shared" si="2"/>
        <v>0</v>
      </c>
      <c r="L38" s="276">
        <f>E37*(F38-F37)</f>
        <v>100899.9999999999</v>
      </c>
      <c r="M38" s="130"/>
      <c r="N38" s="140"/>
      <c r="O38" s="131"/>
      <c r="T38" s="132"/>
    </row>
    <row r="39" spans="1:20" s="80" customFormat="1" ht="20" customHeight="1">
      <c r="A39" s="330" t="str">
        <f>IF(B39="","",PROPER(VLOOKUP(B39,Data!$A$3:$B$33,2,FALSE)))</f>
        <v>Nike Inc B</v>
      </c>
      <c r="B39" s="288" t="s">
        <v>193</v>
      </c>
      <c r="C39" s="288"/>
      <c r="D39" s="393">
        <v>42639.666666666664</v>
      </c>
      <c r="E39" s="394">
        <v>1000</v>
      </c>
      <c r="F39" s="395">
        <v>54.4</v>
      </c>
      <c r="G39" s="331">
        <f t="shared" si="0"/>
        <v>54400</v>
      </c>
      <c r="H39" s="332">
        <f t="shared" si="4"/>
        <v>10</v>
      </c>
      <c r="I39" s="333">
        <f t="shared" si="1"/>
        <v>1000</v>
      </c>
      <c r="J39" s="334">
        <f t="shared" si="3"/>
        <v>54.4</v>
      </c>
      <c r="K39" s="331">
        <f t="shared" si="2"/>
        <v>54400</v>
      </c>
      <c r="L39" s="276"/>
      <c r="M39" s="130"/>
      <c r="N39" s="140"/>
      <c r="O39" s="131"/>
      <c r="T39" s="132"/>
    </row>
    <row r="40" spans="1:20" s="80" customFormat="1" ht="20" customHeight="1">
      <c r="A40" s="330" t="str">
        <f>IF(B40="","",PROPER(VLOOKUP(B40,Data!$A$3:$B$33,2,FALSE)))</f>
        <v>Seneca Foods Corp A</v>
      </c>
      <c r="B40" s="288" t="s">
        <v>195</v>
      </c>
      <c r="C40" s="288"/>
      <c r="D40" s="393">
        <v>42627.666666666664</v>
      </c>
      <c r="E40" s="394">
        <v>-3000</v>
      </c>
      <c r="F40" s="395">
        <v>28.47</v>
      </c>
      <c r="G40" s="331">
        <f t="shared" si="0"/>
        <v>-85410</v>
      </c>
      <c r="H40" s="332">
        <f>IF(B40="","",10)</f>
        <v>10</v>
      </c>
      <c r="I40" s="333">
        <f t="shared" si="1"/>
        <v>-3000</v>
      </c>
      <c r="J40" s="334">
        <f t="shared" si="3"/>
        <v>28.47</v>
      </c>
      <c r="K40" s="331">
        <f t="shared" si="2"/>
        <v>-85410</v>
      </c>
      <c r="L40" s="276"/>
      <c r="M40" s="130"/>
      <c r="N40" s="140"/>
      <c r="O40" s="131"/>
      <c r="T40" s="132"/>
    </row>
    <row r="41" spans="1:20" s="80" customFormat="1" ht="20" customHeight="1">
      <c r="A41" s="330" t="str">
        <f>IF(B41="","",PROPER(VLOOKUP(B41,Data!$A$3:$B$33,2,FALSE)))</f>
        <v>Sorl Auto Parts</v>
      </c>
      <c r="B41" s="288" t="s">
        <v>197</v>
      </c>
      <c r="C41" s="288"/>
      <c r="D41" s="393">
        <v>42625.666666666664</v>
      </c>
      <c r="E41" s="394">
        <v>-2000</v>
      </c>
      <c r="F41" s="395">
        <v>3.55</v>
      </c>
      <c r="G41" s="331">
        <f t="shared" si="0"/>
        <v>-7100</v>
      </c>
      <c r="H41" s="332">
        <f>IF(B41="","",10)</f>
        <v>10</v>
      </c>
      <c r="I41" s="333">
        <f t="shared" si="1"/>
        <v>-2000</v>
      </c>
      <c r="J41" s="334">
        <f t="shared" si="3"/>
        <v>3.55</v>
      </c>
      <c r="K41" s="331">
        <f t="shared" si="2"/>
        <v>0</v>
      </c>
      <c r="L41" s="276"/>
      <c r="M41" s="130"/>
      <c r="N41" s="140"/>
      <c r="O41" s="131"/>
      <c r="T41" s="132"/>
    </row>
    <row r="42" spans="1:20" s="80" customFormat="1" ht="20" customHeight="1">
      <c r="A42" s="330" t="str">
        <f>IF(B42="","",PROPER(VLOOKUP(B42,Data!$A$3:$B$33,2,FALSE)))</f>
        <v>Sorl Auto Parts</v>
      </c>
      <c r="B42" s="288" t="s">
        <v>197</v>
      </c>
      <c r="C42" s="288"/>
      <c r="D42" s="393">
        <v>42648.666666666664</v>
      </c>
      <c r="E42" s="394">
        <v>5000</v>
      </c>
      <c r="F42" s="395">
        <v>4.01</v>
      </c>
      <c r="G42" s="331">
        <f t="shared" si="0"/>
        <v>20050</v>
      </c>
      <c r="H42" s="332">
        <f>IF(B42="","",10)</f>
        <v>10</v>
      </c>
      <c r="I42" s="333">
        <f t="shared" si="1"/>
        <v>3000</v>
      </c>
      <c r="J42" s="334">
        <f t="shared" si="3"/>
        <v>4.01</v>
      </c>
      <c r="K42" s="331">
        <f t="shared" si="2"/>
        <v>12030</v>
      </c>
      <c r="L42" s="276">
        <f>E41*(F42-F41)</f>
        <v>-919.99999999999989</v>
      </c>
      <c r="M42" s="130"/>
      <c r="N42" s="140"/>
      <c r="O42" s="131"/>
      <c r="T42" s="132"/>
    </row>
    <row r="43" spans="1:20" s="80" customFormat="1" ht="20" customHeight="1">
      <c r="A43" s="330" t="str">
        <f>IF(B43="","",PROPER(VLOOKUP(B43,Data!$A$3:$B$33,2,FALSE)))</f>
        <v>Starbucks Corporation</v>
      </c>
      <c r="B43" s="288" t="s">
        <v>199</v>
      </c>
      <c r="C43" s="288"/>
      <c r="D43" s="393">
        <v>42639.666666666664</v>
      </c>
      <c r="E43" s="394">
        <v>2000</v>
      </c>
      <c r="F43" s="395">
        <v>54.04</v>
      </c>
      <c r="G43" s="331">
        <f t="shared" si="0"/>
        <v>108080</v>
      </c>
      <c r="H43" s="332">
        <f t="shared" si="4"/>
        <v>10</v>
      </c>
      <c r="I43" s="333">
        <f t="shared" si="1"/>
        <v>2000</v>
      </c>
      <c r="J43" s="334">
        <f t="shared" si="3"/>
        <v>54.04</v>
      </c>
      <c r="K43" s="331">
        <f t="shared" si="2"/>
        <v>0</v>
      </c>
      <c r="L43" s="276"/>
      <c r="M43" s="130"/>
      <c r="N43" s="140"/>
      <c r="O43" s="131"/>
      <c r="T43" s="132"/>
    </row>
    <row r="44" spans="1:20" s="80" customFormat="1" ht="20" customHeight="1">
      <c r="A44" s="330" t="str">
        <f>IF(B44="","",PROPER(VLOOKUP(B44,Data!$A$3:$B$33,2,FALSE)))</f>
        <v>Starbucks Corporation</v>
      </c>
      <c r="B44" s="288" t="s">
        <v>199</v>
      </c>
      <c r="C44" s="288"/>
      <c r="D44" s="393">
        <v>42669.666666666664</v>
      </c>
      <c r="E44" s="394">
        <v>-2000</v>
      </c>
      <c r="F44" s="395">
        <v>53.63</v>
      </c>
      <c r="G44" s="331">
        <f t="shared" si="0"/>
        <v>-107260</v>
      </c>
      <c r="H44" s="332">
        <f t="shared" si="4"/>
        <v>10</v>
      </c>
      <c r="I44" s="333">
        <f t="shared" si="1"/>
        <v>0</v>
      </c>
      <c r="J44" s="334">
        <f t="shared" si="3"/>
        <v>0</v>
      </c>
      <c r="K44" s="331">
        <f t="shared" si="2"/>
        <v>0</v>
      </c>
      <c r="L44" s="276">
        <f>E43*(F44-F43)</f>
        <v>-819.99999999999318</v>
      </c>
      <c r="M44" s="130"/>
      <c r="N44" s="140"/>
      <c r="O44" s="131"/>
      <c r="T44" s="132"/>
    </row>
    <row r="45" spans="1:20" s="80" customFormat="1" ht="21" customHeight="1">
      <c r="A45" s="330" t="str">
        <f>IF(B45="","",PROPER(VLOOKUP(B45,Data!$A$3:$B$33,2,FALSE)))</f>
        <v>Wells Fargo &amp; Co</v>
      </c>
      <c r="B45" s="288" t="s">
        <v>201</v>
      </c>
      <c r="C45" s="288"/>
      <c r="D45" s="393">
        <v>42620.666666666664</v>
      </c>
      <c r="E45" s="394">
        <v>1000</v>
      </c>
      <c r="F45" s="395">
        <v>49.77</v>
      </c>
      <c r="G45" s="331">
        <f t="shared" si="0"/>
        <v>49770</v>
      </c>
      <c r="H45" s="332">
        <f t="shared" si="4"/>
        <v>10</v>
      </c>
      <c r="I45" s="333">
        <f t="shared" si="1"/>
        <v>1000</v>
      </c>
      <c r="J45" s="334">
        <f t="shared" si="3"/>
        <v>49.77</v>
      </c>
      <c r="K45" s="331">
        <f t="shared" si="2"/>
        <v>0</v>
      </c>
      <c r="L45" s="276"/>
      <c r="M45" s="130"/>
      <c r="N45" s="140"/>
      <c r="O45" s="131"/>
      <c r="T45" s="132"/>
    </row>
    <row r="46" spans="1:20" s="80" customFormat="1" ht="18" customHeight="1">
      <c r="A46" s="330" t="str">
        <f>IF(B46="","",PROPER(VLOOKUP(B46,Data!$A$3:$B$33,2,FALSE)))</f>
        <v>Wells Fargo &amp; Co</v>
      </c>
      <c r="B46" s="288" t="s">
        <v>201</v>
      </c>
      <c r="C46" s="288"/>
      <c r="D46" s="393">
        <v>42643.666666666664</v>
      </c>
      <c r="E46" s="394">
        <v>-5000</v>
      </c>
      <c r="F46" s="395">
        <v>44.28</v>
      </c>
      <c r="G46" s="331">
        <f t="shared" si="0"/>
        <v>-221400</v>
      </c>
      <c r="H46" s="332">
        <f t="shared" si="4"/>
        <v>10</v>
      </c>
      <c r="I46" s="333">
        <f t="shared" si="1"/>
        <v>-4000</v>
      </c>
      <c r="J46" s="334">
        <f t="shared" si="3"/>
        <v>44.28</v>
      </c>
      <c r="K46" s="331">
        <f t="shared" si="2"/>
        <v>-177120</v>
      </c>
      <c r="L46" s="276">
        <f>E45*(F46-F45)</f>
        <v>-5490.0000000000018</v>
      </c>
      <c r="M46" s="130"/>
      <c r="N46" s="140"/>
      <c r="O46" s="131"/>
      <c r="T46" s="132"/>
    </row>
    <row r="47" spans="1:20" s="80" customFormat="1" ht="19" customHeight="1">
      <c r="A47" s="330" t="str">
        <f>IF(B47="","",PROPER(VLOOKUP(B47,Data!$A$3:$B$33,2,FALSE)))</f>
        <v>Yahoo</v>
      </c>
      <c r="B47" s="288" t="s">
        <v>203</v>
      </c>
      <c r="C47" s="288"/>
      <c r="D47" s="393">
        <v>42639.666666666664</v>
      </c>
      <c r="E47" s="394">
        <v>1000</v>
      </c>
      <c r="F47" s="395">
        <v>42.29</v>
      </c>
      <c r="G47" s="331">
        <f t="shared" si="0"/>
        <v>42290</v>
      </c>
      <c r="H47" s="332">
        <f t="shared" si="4"/>
        <v>10</v>
      </c>
      <c r="I47" s="333">
        <f t="shared" si="1"/>
        <v>1000</v>
      </c>
      <c r="J47" s="334">
        <f t="shared" si="3"/>
        <v>42.29</v>
      </c>
      <c r="K47" s="331">
        <f t="shared" si="2"/>
        <v>0</v>
      </c>
      <c r="L47" s="276"/>
      <c r="M47" s="130"/>
      <c r="N47" s="140"/>
      <c r="T47" s="132"/>
    </row>
    <row r="48" spans="1:20" s="80" customFormat="1" ht="15">
      <c r="A48" s="330" t="str">
        <f>IF(B48="","",PROPER(VLOOKUP(B48,Data!$A$3:$B$33,2,FALSE)))</f>
        <v>Yahoo</v>
      </c>
      <c r="B48" s="288" t="s">
        <v>203</v>
      </c>
      <c r="C48" s="288"/>
      <c r="D48" s="393">
        <v>42669.666666666664</v>
      </c>
      <c r="E48" s="394">
        <v>-1000</v>
      </c>
      <c r="F48" s="395">
        <v>42.08</v>
      </c>
      <c r="G48" s="331">
        <f t="shared" si="0"/>
        <v>-42080</v>
      </c>
      <c r="H48" s="332">
        <f t="shared" si="4"/>
        <v>10</v>
      </c>
      <c r="I48" s="333">
        <f t="shared" si="1"/>
        <v>0</v>
      </c>
      <c r="J48" s="334">
        <f t="shared" si="3"/>
        <v>0</v>
      </c>
      <c r="K48" s="331">
        <f t="shared" si="2"/>
        <v>0</v>
      </c>
      <c r="L48" s="392">
        <f>E47*(F48-F47)</f>
        <v>-210.00000000000085</v>
      </c>
      <c r="M48" s="131"/>
      <c r="N48" s="140"/>
      <c r="Q48" s="132"/>
    </row>
    <row r="49" spans="1:23" s="80" customFormat="1">
      <c r="A49" s="330"/>
      <c r="B49" s="190"/>
      <c r="C49" s="330"/>
      <c r="D49" s="330"/>
      <c r="E49" s="335"/>
      <c r="F49" s="336"/>
      <c r="G49" s="337">
        <f>SUM(G5:G48)</f>
        <v>2061765</v>
      </c>
      <c r="H49" s="337">
        <f>SUM(H5:H48)</f>
        <v>440</v>
      </c>
      <c r="I49" s="338"/>
      <c r="J49" s="339"/>
      <c r="K49" s="337">
        <f>SUM(K5:K48)</f>
        <v>1878973.33</v>
      </c>
      <c r="L49" s="340">
        <f>ROUND(SUM(L5:L48),2)</f>
        <v>-182791.67</v>
      </c>
      <c r="M49" s="133"/>
      <c r="O49" s="131"/>
      <c r="T49" s="132"/>
    </row>
    <row r="50" spans="1:23" s="80" customFormat="1">
      <c r="A50" s="330"/>
      <c r="B50" s="330"/>
      <c r="C50" s="330"/>
      <c r="D50" s="330"/>
      <c r="E50" s="335"/>
      <c r="F50" s="336"/>
      <c r="G50" s="341"/>
      <c r="H50" s="341"/>
      <c r="I50" s="342"/>
      <c r="J50" s="678" t="str">
        <f>IF(ROUND(L49,3)=ROUND((K49-G49),4),"","CAPITAL GAINS OUT OF BALANCE BY "&amp;TEXT(L49-K49+G49,"0.0000"))</f>
        <v/>
      </c>
      <c r="K50" s="678"/>
      <c r="L50" s="678"/>
      <c r="M50" s="133"/>
      <c r="O50" s="131"/>
      <c r="T50" s="132"/>
    </row>
    <row r="51" spans="1:23" s="80" customFormat="1" hidden="1">
      <c r="A51" s="241" t="s">
        <v>18</v>
      </c>
      <c r="B51" s="242"/>
      <c r="C51" s="343"/>
      <c r="D51" s="665" t="s">
        <v>19</v>
      </c>
      <c r="E51" s="665"/>
      <c r="F51" s="242"/>
      <c r="G51" s="242" t="str">
        <f>Data!B51</f>
        <v>Euro</v>
      </c>
      <c r="H51" s="242"/>
      <c r="I51" s="242"/>
      <c r="J51" s="242"/>
      <c r="K51" s="242"/>
      <c r="L51" s="245"/>
      <c r="M51" s="133"/>
    </row>
    <row r="52" spans="1:23" s="80" customFormat="1" hidden="1">
      <c r="A52" s="344" t="s">
        <v>4</v>
      </c>
      <c r="B52" s="344" t="s">
        <v>5</v>
      </c>
      <c r="C52" s="344"/>
      <c r="D52" s="344" t="s">
        <v>20</v>
      </c>
      <c r="E52" s="344" t="s">
        <v>3</v>
      </c>
      <c r="F52" s="344" t="s">
        <v>21</v>
      </c>
      <c r="G52" s="344" t="s">
        <v>22</v>
      </c>
      <c r="H52" s="344" t="s">
        <v>23</v>
      </c>
      <c r="I52" s="345" t="s">
        <v>24</v>
      </c>
      <c r="J52" s="344" t="s">
        <v>25</v>
      </c>
      <c r="K52" s="344" t="s">
        <v>6</v>
      </c>
      <c r="L52" s="344" t="s">
        <v>26</v>
      </c>
      <c r="M52" s="133"/>
    </row>
    <row r="53" spans="1:23" s="80" customFormat="1" hidden="1">
      <c r="A53" s="192"/>
      <c r="B53" s="246"/>
      <c r="C53" s="192"/>
      <c r="D53" s="346"/>
      <c r="E53" s="347"/>
      <c r="F53" s="348"/>
      <c r="G53" s="267"/>
      <c r="H53" s="349"/>
      <c r="I53" s="350"/>
      <c r="J53" s="351"/>
      <c r="K53" s="352"/>
      <c r="L53" s="291"/>
      <c r="M53" s="124"/>
      <c r="N53"/>
      <c r="O53" s="125"/>
      <c r="P53" s="126"/>
      <c r="Q53" s="127"/>
      <c r="R53" s="93"/>
      <c r="S53" s="93"/>
      <c r="T53" s="128"/>
      <c r="U53" s="129"/>
      <c r="V53" s="93"/>
      <c r="W53" s="84"/>
    </row>
    <row r="54" spans="1:23" s="80" customFormat="1" ht="12" hidden="1" customHeight="1">
      <c r="A54" s="192" t="str">
        <f>IF(B54="","",PROPER(VLOOKUP(B54,[3]Data!$A$3:$B$33,2,FALSE)))</f>
        <v/>
      </c>
      <c r="B54" s="246"/>
      <c r="C54" s="192"/>
      <c r="D54" s="346"/>
      <c r="E54" s="347"/>
      <c r="F54" s="348"/>
      <c r="G54" s="267" t="str">
        <f t="shared" ref="G54:G56" si="6">IF(B54="","",ROUND(E54*F54,2))</f>
        <v/>
      </c>
      <c r="H54" s="349" t="str">
        <f t="shared" ref="H54:H57" si="7">IF(B54="","",10)</f>
        <v/>
      </c>
      <c r="I54" s="350" t="str">
        <f t="shared" ref="I54:I56" si="8">IF(B54="","",IF(B54=B53,E54+I53,E54))</f>
        <v/>
      </c>
      <c r="J54" s="351" t="str">
        <f t="shared" ref="J54:J56" si="9">IF(B54="","",IF(I54=0,0,IF(B54=B53,IF(E54*E53&gt;0,((J53*I53)+G54)/I54,J53),F54)))</f>
        <v/>
      </c>
      <c r="K54" s="352" t="str">
        <f t="shared" ref="K54:K56" si="10">IF(B54="","",ROUND(IF(B54&lt;&gt;B55,I54*J54,0),2))</f>
        <v/>
      </c>
      <c r="L54" s="207"/>
      <c r="M54" s="133"/>
      <c r="O54" s="131"/>
      <c r="T54" s="132"/>
    </row>
    <row r="55" spans="1:23" s="80" customFormat="1" ht="12" hidden="1" customHeight="1">
      <c r="A55" s="192" t="str">
        <f>IF(B55="","",PROPER(VLOOKUP(B55,[3]Data!$A$3:$B$33,2,FALSE)))</f>
        <v/>
      </c>
      <c r="B55" s="246"/>
      <c r="C55" s="192"/>
      <c r="D55" s="346"/>
      <c r="E55" s="347"/>
      <c r="F55" s="348"/>
      <c r="G55" s="267" t="str">
        <f t="shared" si="6"/>
        <v/>
      </c>
      <c r="H55" s="349" t="str">
        <f t="shared" si="7"/>
        <v/>
      </c>
      <c r="I55" s="350" t="str">
        <f t="shared" si="8"/>
        <v/>
      </c>
      <c r="J55" s="351" t="str">
        <f t="shared" si="9"/>
        <v/>
      </c>
      <c r="K55" s="352" t="str">
        <f t="shared" si="10"/>
        <v/>
      </c>
      <c r="L55" s="207"/>
      <c r="M55" s="133"/>
      <c r="O55" s="131"/>
      <c r="T55" s="132"/>
    </row>
    <row r="56" spans="1:23" s="80" customFormat="1" ht="12" hidden="1" customHeight="1">
      <c r="A56" s="192" t="str">
        <f>IF(B56="","",PROPER(VLOOKUP(B56,[3]Data!$A$3:$B$33,2,FALSE)))</f>
        <v/>
      </c>
      <c r="B56" s="246"/>
      <c r="C56" s="192"/>
      <c r="D56" s="346"/>
      <c r="E56" s="347"/>
      <c r="F56" s="348"/>
      <c r="G56" s="267" t="str">
        <f t="shared" si="6"/>
        <v/>
      </c>
      <c r="H56" s="349" t="str">
        <f t="shared" si="7"/>
        <v/>
      </c>
      <c r="I56" s="350" t="str">
        <f t="shared" si="8"/>
        <v/>
      </c>
      <c r="J56" s="351" t="str">
        <f t="shared" si="9"/>
        <v/>
      </c>
      <c r="K56" s="352" t="str">
        <f t="shared" si="10"/>
        <v/>
      </c>
      <c r="L56" s="207"/>
      <c r="M56" s="133"/>
      <c r="O56" s="131"/>
      <c r="T56" s="132"/>
    </row>
    <row r="57" spans="1:23" s="80" customFormat="1" ht="12" hidden="1" customHeight="1">
      <c r="A57" s="192" t="str">
        <f>IF(B57="","",PROPER(VLOOKUP(B57,[3]Data!$A$3:$B$33,2,FALSE)))</f>
        <v/>
      </c>
      <c r="B57" s="246"/>
      <c r="C57" s="192"/>
      <c r="D57" s="346"/>
      <c r="E57" s="347"/>
      <c r="F57" s="348"/>
      <c r="G57" s="267" t="str">
        <f>IF(B57="","",ROUND(E57*F57,2))</f>
        <v/>
      </c>
      <c r="H57" s="349" t="str">
        <f t="shared" si="7"/>
        <v/>
      </c>
      <c r="I57" s="350" t="str">
        <f>IF(B57="","",IF(B57=B54,E57+I54,E57))</f>
        <v/>
      </c>
      <c r="J57" s="351" t="str">
        <f>IF(B57="","",IF(I57=0,0,IF(B57=B54,IF(E57*E54&gt;0,((J54*I54)+G57)/I57,J54),F57)))</f>
        <v/>
      </c>
      <c r="K57" s="267" t="str">
        <f>IF(B57="","",ROUND(IF(B57&lt;&gt;B59,I57*J57,0),2))</f>
        <v/>
      </c>
      <c r="L57" s="353"/>
    </row>
    <row r="58" spans="1:23" s="80" customFormat="1" hidden="1">
      <c r="A58" s="192"/>
      <c r="B58" s="246"/>
      <c r="C58" s="192"/>
      <c r="D58" s="192"/>
      <c r="E58" s="354"/>
      <c r="F58" s="355"/>
      <c r="G58" s="356">
        <f>SUM(G53:G57)</f>
        <v>0</v>
      </c>
      <c r="H58" s="356">
        <f>SUM(H53:H57)</f>
        <v>0</v>
      </c>
      <c r="I58" s="233"/>
      <c r="J58" s="357"/>
      <c r="K58" s="253">
        <f>SUM(K53:K57)</f>
        <v>0</v>
      </c>
      <c r="L58" s="253">
        <f>SUM(L53:L57)</f>
        <v>0</v>
      </c>
    </row>
    <row r="59" spans="1:23" s="80" customFormat="1" ht="15" hidden="1" customHeight="1">
      <c r="A59" s="192"/>
      <c r="B59" s="192"/>
      <c r="C59" s="192"/>
      <c r="D59" s="192"/>
      <c r="E59" s="354"/>
      <c r="F59" s="355"/>
      <c r="G59" s="309"/>
      <c r="H59" s="267"/>
      <c r="I59" s="192"/>
      <c r="J59" s="674" t="str">
        <f>IF(ROUND(L58,3)=ROUND((K58-G58),3),"","CAPITAL GAINS OUT OF BALANCE")</f>
        <v/>
      </c>
      <c r="K59" s="674"/>
      <c r="L59" s="674"/>
    </row>
    <row r="60" spans="1:23" s="80" customFormat="1" hidden="1">
      <c r="A60" s="261" t="s">
        <v>18</v>
      </c>
      <c r="B60" s="262"/>
      <c r="C60" s="358"/>
      <c r="D60" s="664" t="s">
        <v>19</v>
      </c>
      <c r="E60" s="664"/>
      <c r="F60" s="359"/>
      <c r="G60" s="262" t="str">
        <f>Data!B52</f>
        <v>Pounds Sterling</v>
      </c>
      <c r="H60" s="262"/>
      <c r="I60" s="262"/>
      <c r="J60" s="360"/>
      <c r="K60" s="360"/>
      <c r="L60" s="361"/>
    </row>
    <row r="61" spans="1:23" s="80" customFormat="1" hidden="1">
      <c r="A61" s="344" t="s">
        <v>4</v>
      </c>
      <c r="B61" s="344" t="s">
        <v>5</v>
      </c>
      <c r="C61" s="344"/>
      <c r="D61" s="344" t="s">
        <v>20</v>
      </c>
      <c r="E61" s="344" t="s">
        <v>3</v>
      </c>
      <c r="F61" s="362" t="s">
        <v>21</v>
      </c>
      <c r="G61" s="344" t="s">
        <v>22</v>
      </c>
      <c r="H61" s="344" t="s">
        <v>23</v>
      </c>
      <c r="I61" s="345" t="s">
        <v>24</v>
      </c>
      <c r="J61" s="344" t="s">
        <v>25</v>
      </c>
      <c r="K61" s="344" t="s">
        <v>6</v>
      </c>
      <c r="L61" s="344" t="s">
        <v>26</v>
      </c>
    </row>
    <row r="62" spans="1:23" s="80" customFormat="1" hidden="1">
      <c r="A62" s="192"/>
      <c r="B62" s="246"/>
      <c r="C62" s="192"/>
      <c r="D62" s="346"/>
      <c r="E62" s="347"/>
      <c r="F62" s="348"/>
      <c r="G62" s="267" t="str">
        <f t="shared" ref="G62:G64" si="11">IF(B62="","",ROUND(E62*F62,2))</f>
        <v/>
      </c>
      <c r="H62" s="349" t="str">
        <f t="shared" ref="H62:H65" si="12">IF(B62="","",10)</f>
        <v/>
      </c>
      <c r="I62" s="350" t="str">
        <f t="shared" ref="I62:I65" si="13">IF(B62="","",IF(B62=B61,E62+I61,E62))</f>
        <v/>
      </c>
      <c r="J62" s="351" t="str">
        <f t="shared" ref="J62:J65" si="14">IF(B62="","",IF(I62=0,0,IF(B62=B61,IF(E62*E61&gt;0,((J61*I61)+G62)/I62,J61),F62)))</f>
        <v/>
      </c>
      <c r="K62" s="267" t="str">
        <f t="shared" ref="K62:K65" si="15">IF(B62="","",ROUND(IF(B62&lt;&gt;B63,I62*J62,0),2))</f>
        <v/>
      </c>
      <c r="L62" s="291"/>
    </row>
    <row r="63" spans="1:23" s="80" customFormat="1" hidden="1">
      <c r="A63" s="192"/>
      <c r="B63" s="246"/>
      <c r="C63" s="192"/>
      <c r="D63" s="346"/>
      <c r="E63" s="347"/>
      <c r="F63" s="348"/>
      <c r="G63" s="267" t="str">
        <f t="shared" si="11"/>
        <v/>
      </c>
      <c r="H63" s="349" t="str">
        <f t="shared" si="12"/>
        <v/>
      </c>
      <c r="I63" s="350" t="str">
        <f t="shared" si="13"/>
        <v/>
      </c>
      <c r="J63" s="351" t="str">
        <f t="shared" si="14"/>
        <v/>
      </c>
      <c r="K63" s="267" t="str">
        <f t="shared" si="15"/>
        <v/>
      </c>
      <c r="L63" s="291"/>
    </row>
    <row r="64" spans="1:23" s="80" customFormat="1" ht="11" hidden="1" customHeight="1">
      <c r="A64" s="192" t="str">
        <f>IF(B64="","",PROPER(VLOOKUP(B64,[3]Data!$A$3:$B$33,2,FALSE)))</f>
        <v/>
      </c>
      <c r="B64" s="246"/>
      <c r="C64" s="192"/>
      <c r="D64" s="346"/>
      <c r="E64" s="347"/>
      <c r="F64" s="348"/>
      <c r="G64" s="267" t="str">
        <f t="shared" si="11"/>
        <v/>
      </c>
      <c r="H64" s="349" t="str">
        <f t="shared" si="12"/>
        <v/>
      </c>
      <c r="I64" s="350" t="str">
        <f t="shared" si="13"/>
        <v/>
      </c>
      <c r="J64" s="351" t="str">
        <f t="shared" si="14"/>
        <v/>
      </c>
      <c r="K64" s="267" t="str">
        <f t="shared" si="15"/>
        <v/>
      </c>
      <c r="L64" s="291"/>
    </row>
    <row r="65" spans="1:12" s="80" customFormat="1" hidden="1">
      <c r="A65" s="192" t="str">
        <f>IF(B65="","",PROPER(VLOOKUP(B65,[3]Data!$A$3:$B$33,2,FALSE)))</f>
        <v/>
      </c>
      <c r="B65" s="246"/>
      <c r="C65" s="192"/>
      <c r="D65" s="346"/>
      <c r="E65" s="347"/>
      <c r="F65" s="348"/>
      <c r="G65" s="267" t="str">
        <f>IF(B65="","",ROUND(E65*F65,2))</f>
        <v/>
      </c>
      <c r="H65" s="349" t="str">
        <f t="shared" si="12"/>
        <v/>
      </c>
      <c r="I65" s="350" t="str">
        <f t="shared" si="13"/>
        <v/>
      </c>
      <c r="J65" s="351" t="str">
        <f t="shared" si="14"/>
        <v/>
      </c>
      <c r="K65" s="267" t="str">
        <f t="shared" si="15"/>
        <v/>
      </c>
      <c r="L65" s="291"/>
    </row>
    <row r="66" spans="1:12" s="80" customFormat="1" ht="15" hidden="1" customHeight="1">
      <c r="A66" s="192"/>
      <c r="B66" s="192"/>
      <c r="C66" s="192"/>
      <c r="D66" s="192"/>
      <c r="E66" s="354"/>
      <c r="F66" s="355"/>
      <c r="G66" s="363">
        <f>SUM(G62:G64)</f>
        <v>0</v>
      </c>
      <c r="H66" s="363">
        <f>SUM(H62:H64)</f>
        <v>0</v>
      </c>
      <c r="I66" s="233"/>
      <c r="J66" s="357"/>
      <c r="K66" s="363">
        <f>SUM(K62:K64)</f>
        <v>0</v>
      </c>
      <c r="L66" s="363">
        <f>SUM(L62:L64)</f>
        <v>0</v>
      </c>
    </row>
    <row r="67" spans="1:12" s="80" customFormat="1" hidden="1">
      <c r="A67" s="192"/>
      <c r="B67" s="192"/>
      <c r="C67" s="192"/>
      <c r="D67" s="192"/>
      <c r="E67" s="354"/>
      <c r="F67" s="355"/>
      <c r="G67" s="309"/>
      <c r="H67" s="267"/>
      <c r="I67" s="192"/>
      <c r="J67" s="681" t="str">
        <f>IF(ROUND(L66,3)=ROUND((K66-G66),3),"","CAPITAL GAINS OUT OF BALANCE")</f>
        <v/>
      </c>
      <c r="K67" s="681"/>
      <c r="L67" s="681"/>
    </row>
    <row r="68" spans="1:12" s="80" customFormat="1" hidden="1">
      <c r="A68" s="364" t="s">
        <v>18</v>
      </c>
      <c r="B68" s="279"/>
      <c r="C68" s="365"/>
      <c r="D68" s="671" t="s">
        <v>19</v>
      </c>
      <c r="E68" s="671"/>
      <c r="F68" s="366"/>
      <c r="G68" s="279" t="str">
        <f>Data!B53</f>
        <v>Canadian Dollars</v>
      </c>
      <c r="H68" s="279"/>
      <c r="I68" s="279"/>
      <c r="J68" s="279"/>
      <c r="K68" s="279"/>
      <c r="L68" s="367"/>
    </row>
    <row r="69" spans="1:12" s="80" customFormat="1" ht="16" hidden="1" customHeight="1">
      <c r="A69" s="344" t="s">
        <v>4</v>
      </c>
      <c r="B69" s="344" t="s">
        <v>5</v>
      </c>
      <c r="C69" s="344"/>
      <c r="D69" s="344" t="s">
        <v>20</v>
      </c>
      <c r="E69" s="344" t="s">
        <v>3</v>
      </c>
      <c r="F69" s="362" t="s">
        <v>21</v>
      </c>
      <c r="G69" s="344" t="s">
        <v>22</v>
      </c>
      <c r="H69" s="344" t="s">
        <v>23</v>
      </c>
      <c r="I69" s="344" t="s">
        <v>24</v>
      </c>
      <c r="J69" s="344" t="s">
        <v>25</v>
      </c>
      <c r="K69" s="344" t="s">
        <v>6</v>
      </c>
      <c r="L69" s="344" t="s">
        <v>26</v>
      </c>
    </row>
    <row r="70" spans="1:12" s="80" customFormat="1" ht="11" hidden="1" customHeight="1">
      <c r="A70" s="192" t="str">
        <f>IF(B70="","",PROPER(VLOOKUP(B70,[3]Data!$A$3:$B$33,2,FALSE)))</f>
        <v/>
      </c>
      <c r="B70" s="246"/>
      <c r="C70" s="192"/>
      <c r="D70" s="346"/>
      <c r="E70" s="347"/>
      <c r="F70" s="348"/>
      <c r="G70" s="267" t="str">
        <f>IF(B70="","",ROUND(E70*F70,2))</f>
        <v/>
      </c>
      <c r="H70" s="349" t="str">
        <f t="shared" ref="H70:H72" si="16">IF(B70="","",10)</f>
        <v/>
      </c>
      <c r="I70" s="350" t="str">
        <f>IF(B70="","",IF(B70=B69,E70+I69,E70))</f>
        <v/>
      </c>
      <c r="J70" s="351" t="str">
        <f>IF(B70="","",IF(I70=0,0,IF(B70=B69,IF(E70*E69&gt;0,((J69*I69)+G70)/I70,J69),F70)))</f>
        <v/>
      </c>
      <c r="K70" s="267" t="str">
        <f>IF(B70="","",ROUND(IF(B70&lt;&gt;B71,I70*J70,0),2))</f>
        <v/>
      </c>
      <c r="L70" s="353"/>
    </row>
    <row r="71" spans="1:12" s="80" customFormat="1" ht="11" hidden="1" customHeight="1">
      <c r="A71" s="192" t="str">
        <f>IF(B71="","",PROPER(VLOOKUP(B71,[3]Data!$A$3:$B$33,2,FALSE)))</f>
        <v/>
      </c>
      <c r="B71" s="246"/>
      <c r="C71" s="192"/>
      <c r="D71" s="346"/>
      <c r="E71" s="347"/>
      <c r="F71" s="348"/>
      <c r="G71" s="267" t="str">
        <f>IF(B71="","",ROUND(E71*F71,2))</f>
        <v/>
      </c>
      <c r="H71" s="349" t="str">
        <f t="shared" si="16"/>
        <v/>
      </c>
      <c r="I71" s="350" t="str">
        <f>IF(B71="","",IF(B71=B70,E71+I70,E71))</f>
        <v/>
      </c>
      <c r="J71" s="351" t="str">
        <f>IF(B71="","",IF(I71=0,0,IF(B71=B70,IF(E71*E70&gt;0,((J70*I70)+G71)/I71,J70),F71)))</f>
        <v/>
      </c>
      <c r="K71" s="267" t="str">
        <f>IF(B71="","",ROUND(IF(B71&lt;&gt;B72,I71*J71,0),2))</f>
        <v/>
      </c>
      <c r="L71" s="291"/>
    </row>
    <row r="72" spans="1:12" s="80" customFormat="1" hidden="1">
      <c r="A72" s="192" t="str">
        <f>IF(B72="","",PROPER(VLOOKUP(B72,[3]Data!$A$3:$B$33,2,FALSE)))</f>
        <v/>
      </c>
      <c r="B72" s="246"/>
      <c r="C72" s="192"/>
      <c r="D72" s="346"/>
      <c r="E72" s="347"/>
      <c r="F72" s="348"/>
      <c r="G72" s="267" t="str">
        <f>IF(B72="","",ROUND(E72*F72,2))</f>
        <v/>
      </c>
      <c r="H72" s="349" t="str">
        <f t="shared" si="16"/>
        <v/>
      </c>
      <c r="I72" s="350" t="str">
        <f>IF(B72="","",IF(B72=B70,E72+I70,E72))</f>
        <v/>
      </c>
      <c r="J72" s="351" t="str">
        <f>IF(B72="","",IF(I72=0,0,IF(B72=B70,IF(E72*E70&gt;0,((J70*I70)+G72)/I72,J70),F72)))</f>
        <v/>
      </c>
      <c r="K72" s="267" t="str">
        <f>IF(B72="","",ROUND(IF(B72&lt;&gt;B73,I72*J72,0),2))</f>
        <v/>
      </c>
      <c r="L72" s="282"/>
    </row>
    <row r="73" spans="1:12" s="80" customFormat="1" hidden="1">
      <c r="A73" s="192"/>
      <c r="B73" s="246"/>
      <c r="C73" s="192"/>
      <c r="D73" s="192"/>
      <c r="E73" s="354"/>
      <c r="F73" s="355"/>
      <c r="G73" s="368">
        <f>SUM(G70:G72)</f>
        <v>0</v>
      </c>
      <c r="H73" s="368">
        <f>SUM(H70:H72)</f>
        <v>0</v>
      </c>
      <c r="I73" s="369"/>
      <c r="J73" s="369"/>
      <c r="K73" s="368">
        <f>SUM(K70:K72)</f>
        <v>0</v>
      </c>
      <c r="L73" s="368">
        <f>SUM(L70:L72)</f>
        <v>0</v>
      </c>
    </row>
    <row r="74" spans="1:12" s="80" customFormat="1" ht="15" hidden="1" customHeight="1">
      <c r="A74" s="192"/>
      <c r="B74" s="246"/>
      <c r="C74" s="192"/>
      <c r="D74" s="192"/>
      <c r="E74" s="354"/>
      <c r="F74" s="355"/>
      <c r="G74" s="309"/>
      <c r="H74" s="267"/>
      <c r="I74" s="192"/>
      <c r="J74" s="680" t="str">
        <f>IF(ROUND(L73,3)=ROUND((K73-G73),3),"","CAPITAL GAINS OUT OF BALANCE")</f>
        <v/>
      </c>
      <c r="K74" s="680"/>
      <c r="L74" s="680"/>
    </row>
    <row r="75" spans="1:12" s="80" customFormat="1">
      <c r="A75" s="370" t="s">
        <v>18</v>
      </c>
      <c r="B75" s="286"/>
      <c r="C75" s="371"/>
      <c r="D75" s="672" t="s">
        <v>19</v>
      </c>
      <c r="E75" s="672"/>
      <c r="F75" s="372"/>
      <c r="G75" s="286" t="s">
        <v>102</v>
      </c>
      <c r="H75" s="286"/>
      <c r="I75" s="286"/>
      <c r="J75" s="286"/>
      <c r="K75" s="286"/>
      <c r="L75" s="373"/>
    </row>
    <row r="76" spans="1:12" s="80" customFormat="1" ht="13" customHeight="1">
      <c r="A76" s="344" t="s">
        <v>4</v>
      </c>
      <c r="B76" s="344" t="s">
        <v>5</v>
      </c>
      <c r="C76" s="344"/>
      <c r="D76" s="344" t="s">
        <v>20</v>
      </c>
      <c r="E76" s="344" t="s">
        <v>3</v>
      </c>
      <c r="F76" s="362" t="s">
        <v>21</v>
      </c>
      <c r="G76" s="344" t="s">
        <v>22</v>
      </c>
      <c r="H76" s="344" t="s">
        <v>23</v>
      </c>
      <c r="I76" s="344" t="s">
        <v>24</v>
      </c>
      <c r="J76" s="344" t="s">
        <v>25</v>
      </c>
      <c r="K76" s="344" t="s">
        <v>6</v>
      </c>
      <c r="L76" s="344" t="s">
        <v>26</v>
      </c>
    </row>
    <row r="77" spans="1:12" s="80" customFormat="1" ht="11" hidden="1" customHeight="1">
      <c r="A77" s="192" t="str">
        <f>IF(B77="","",PROPER(VLOOKUP(B77,[3]Data!$A$3:$B$33,2,FALSE)))</f>
        <v/>
      </c>
      <c r="B77" s="246"/>
      <c r="C77" s="192"/>
      <c r="D77" s="346"/>
      <c r="E77" s="347"/>
      <c r="F77" s="348"/>
      <c r="G77" s="374" t="str">
        <f>IF(B77="","",ROUND(E77*F77,2))</f>
        <v/>
      </c>
      <c r="H77" s="349" t="str">
        <f t="shared" ref="H77:H78" si="17">IF(B77="","",10)</f>
        <v/>
      </c>
      <c r="I77" s="350" t="str">
        <f>IF(B77="","",IF(B77=B76,E77+I76,E77))</f>
        <v/>
      </c>
      <c r="J77" s="375" t="str">
        <f>IF(B77="","",IF(I77=0,0,IF(B77=B76,IF(E77*E76&gt;0,((J76*I76)+G77)/I77,J76),F77)))</f>
        <v/>
      </c>
      <c r="K77" s="374" t="str">
        <f>IF(B77="","",ROUND(IF(B77&lt;&gt;B78,I77*J77,0),2))</f>
        <v/>
      </c>
      <c r="L77" s="353"/>
    </row>
    <row r="78" spans="1:12" s="80" customFormat="1" ht="11" hidden="1" customHeight="1">
      <c r="A78" s="192" t="str">
        <f>IF(B78="","",PROPER(VLOOKUP(B78,[3]Data!$A$3:$B$33,2,FALSE)))</f>
        <v/>
      </c>
      <c r="B78" s="246"/>
      <c r="C78" s="192"/>
      <c r="D78" s="346"/>
      <c r="E78" s="347"/>
      <c r="F78" s="348"/>
      <c r="G78" s="206" t="str">
        <f>IF(B78="","",ROUND(E78*F78,2))</f>
        <v/>
      </c>
      <c r="H78" s="349" t="str">
        <f t="shared" si="17"/>
        <v/>
      </c>
      <c r="I78" s="350" t="str">
        <f>IF(B78="","",IF(B78=B77,E78+I77,E78))</f>
        <v/>
      </c>
      <c r="J78" s="375" t="str">
        <f>IF(B78="","",IF(I78=0,0,IF(B78=B77,IF(E78*E77&gt;0,((J77*I77)+G78)/I78,J77),F78)))</f>
        <v/>
      </c>
      <c r="K78" s="374" t="str">
        <f>IF(B78="","",ROUND(IF(B78&lt;&gt;#REF!,I78*J78,0),2))</f>
        <v/>
      </c>
      <c r="L78" s="291"/>
    </row>
    <row r="79" spans="1:12" s="80" customFormat="1">
      <c r="A79" s="330" t="str">
        <f>IF(B79="","",PROPER(VLOOKUP(B79,Data!$A$2:$Q$61,2,FALSE)))</f>
        <v>Citic Securities Co., Ltd.</v>
      </c>
      <c r="B79" s="288" t="s">
        <v>205</v>
      </c>
      <c r="C79" s="288"/>
      <c r="D79" s="393">
        <v>42692.666666666664</v>
      </c>
      <c r="E79" s="288">
        <v>500</v>
      </c>
      <c r="F79" s="395">
        <v>17.21</v>
      </c>
      <c r="G79" s="331">
        <f>IF(D79="","",ROUND(E79*F79,2))</f>
        <v>8605</v>
      </c>
      <c r="H79" s="332">
        <f>IF(B79="","",10)</f>
        <v>10</v>
      </c>
      <c r="I79" s="333">
        <f>IF(B79="","",IF(B79=O14,E79+V14,E79))</f>
        <v>500</v>
      </c>
      <c r="J79" s="334">
        <f>IF(B79="","",IF(I79=0,0,IF(B79=O14,IF(E79*V14&gt;0,((W14*V14)+G79)/I79,IF(V14*I79&lt;0,F79,W14)),F79)))</f>
        <v>17.21</v>
      </c>
      <c r="K79" s="331">
        <f>IF(B79="","",ROUND(IF(B79&lt;&gt;O24,I79*J79,0),2))</f>
        <v>8605</v>
      </c>
      <c r="L79" s="276"/>
    </row>
    <row r="80" spans="1:12" s="80" customFormat="1">
      <c r="A80" s="330"/>
      <c r="B80" s="376"/>
      <c r="C80" s="330"/>
      <c r="D80" s="330"/>
      <c r="E80" s="335"/>
      <c r="F80" s="377"/>
      <c r="G80" s="378">
        <f>SUM(G79:G79)</f>
        <v>8605</v>
      </c>
      <c r="H80" s="378">
        <f>SUM(H79:H79)</f>
        <v>10</v>
      </c>
      <c r="I80" s="342"/>
      <c r="J80" s="379"/>
      <c r="K80" s="380">
        <f>SUM(K79:K79)</f>
        <v>8605</v>
      </c>
      <c r="L80" s="380">
        <f>SUM(L77:L79)</f>
        <v>0</v>
      </c>
    </row>
    <row r="81" spans="1:14" hidden="1">
      <c r="A81" s="192"/>
      <c r="B81" s="192"/>
      <c r="C81" s="192"/>
      <c r="D81" s="192"/>
      <c r="E81" s="354"/>
      <c r="F81" s="192"/>
      <c r="G81" s="276"/>
      <c r="H81" s="267"/>
      <c r="I81" s="192"/>
      <c r="J81" s="680" t="str">
        <f>IF(ROUND(L80,3)=ROUND((K80-G80),3),"","CAPITAL GAINS OUT OF BALANCE")</f>
        <v/>
      </c>
      <c r="K81" s="680"/>
      <c r="L81" s="680"/>
    </row>
    <row r="82" spans="1:14" hidden="1">
      <c r="A82" s="381" t="s">
        <v>18</v>
      </c>
      <c r="B82" s="298"/>
      <c r="C82" s="382"/>
      <c r="D82" s="670" t="s">
        <v>19</v>
      </c>
      <c r="E82" s="670"/>
      <c r="F82" s="383"/>
      <c r="G82" s="298" t="str">
        <f>Data!B55</f>
        <v>Japanese Yen</v>
      </c>
      <c r="H82" s="298"/>
      <c r="I82" s="298"/>
      <c r="J82" s="298"/>
      <c r="K82" s="298"/>
      <c r="L82" s="384"/>
    </row>
    <row r="83" spans="1:14" hidden="1">
      <c r="A83" s="344" t="s">
        <v>4</v>
      </c>
      <c r="B83" s="344" t="s">
        <v>5</v>
      </c>
      <c r="C83" s="344"/>
      <c r="D83" s="344" t="s">
        <v>20</v>
      </c>
      <c r="E83" s="344" t="s">
        <v>3</v>
      </c>
      <c r="F83" s="362" t="s">
        <v>21</v>
      </c>
      <c r="G83" s="344" t="s">
        <v>22</v>
      </c>
      <c r="H83" s="344" t="s">
        <v>23</v>
      </c>
      <c r="I83" s="344" t="s">
        <v>24</v>
      </c>
      <c r="J83" s="344" t="s">
        <v>25</v>
      </c>
      <c r="K83" s="344" t="s">
        <v>6</v>
      </c>
      <c r="L83" s="344" t="s">
        <v>26</v>
      </c>
    </row>
    <row r="84" spans="1:14" ht="12" hidden="1" customHeight="1">
      <c r="A84" s="192" t="str">
        <f>IF(B84="","",PROPER(VLOOKUP(B84,[3]Data!$A$3:$B$33,2,FALSE)))</f>
        <v/>
      </c>
      <c r="B84" s="246"/>
      <c r="C84" s="192"/>
      <c r="D84" s="346"/>
      <c r="E84" s="347"/>
      <c r="F84" s="348"/>
      <c r="G84" s="374" t="str">
        <f>IF(B84="","",ROUND(E84*F84,2))</f>
        <v/>
      </c>
      <c r="H84" s="349" t="str">
        <f t="shared" ref="H84:H85" si="18">IF(B84="","",10)</f>
        <v/>
      </c>
      <c r="I84" s="350" t="str">
        <f>IF(B84="","",IF(B84=B83,E84+I83,E84))</f>
        <v/>
      </c>
      <c r="J84" s="375" t="str">
        <f>IF(B84="","",IF(I84=0,0,IF(B84=B83,IF(E84*E83&gt;0,((J83*I83)+G84)/I84,J83),F84)))</f>
        <v/>
      </c>
      <c r="K84" s="374" t="str">
        <f>IF(B84="","",ROUND(IF(B84&lt;&gt;B85,I84*J84,0),2))</f>
        <v/>
      </c>
      <c r="L84" s="353"/>
    </row>
    <row r="85" spans="1:14" ht="12" hidden="1" customHeight="1">
      <c r="A85" s="192" t="str">
        <f>IF(B85="","",PROPER(VLOOKUP(B85,[3]Data!$A$3:$B$33,2,FALSE)))</f>
        <v/>
      </c>
      <c r="B85" s="246"/>
      <c r="C85" s="192"/>
      <c r="D85" s="346"/>
      <c r="E85" s="347"/>
      <c r="F85" s="348"/>
      <c r="G85" s="206" t="str">
        <f>IF(B85="","",ROUND(E85*F85,2))</f>
        <v/>
      </c>
      <c r="H85" s="349" t="str">
        <f t="shared" si="18"/>
        <v/>
      </c>
      <c r="I85" s="350" t="str">
        <f>IF(B85="","",IF(B85=B84,E85+I84,E85))</f>
        <v/>
      </c>
      <c r="J85" s="375" t="str">
        <f>IF(B85="","",IF(I85=0,0,IF(B85=B84,IF(E85*E84&gt;0,((J84*I84)+G85)/I85,J84),F85)))</f>
        <v/>
      </c>
      <c r="K85" s="267" t="str">
        <f>IF(B85="","",ROUND(IF(B85&lt;&gt;B86,I85*J85,0),2))</f>
        <v/>
      </c>
      <c r="L85" s="291"/>
    </row>
    <row r="86" spans="1:14" hidden="1">
      <c r="A86" s="192"/>
      <c r="B86" s="246"/>
      <c r="C86" s="192"/>
      <c r="D86" s="385"/>
      <c r="E86" s="354"/>
      <c r="F86" s="386"/>
      <c r="G86" s="206"/>
      <c r="H86" s="206"/>
      <c r="I86" s="350"/>
      <c r="J86" s="375"/>
      <c r="K86" s="267"/>
      <c r="L86" s="353"/>
    </row>
    <row r="87" spans="1:14" hidden="1">
      <c r="A87" s="192" t="str">
        <f>IF(B87="","",PROPER(VLOOKUP(B87,[3]Data!$A$3:$B$33,2,FALSE)))</f>
        <v/>
      </c>
      <c r="B87" s="246"/>
      <c r="C87" s="192"/>
      <c r="D87" s="192"/>
      <c r="E87" s="354"/>
      <c r="F87" s="387"/>
      <c r="G87" s="388">
        <f>SUM(G84:G85)</f>
        <v>0</v>
      </c>
      <c r="H87" s="388">
        <f>SUM(H84:H85)</f>
        <v>0</v>
      </c>
      <c r="I87" s="369"/>
      <c r="J87" s="369"/>
      <c r="K87" s="388">
        <f>SUM(K84:K85)</f>
        <v>0</v>
      </c>
      <c r="L87" s="388">
        <f>SUM(L84:L85)</f>
        <v>0</v>
      </c>
    </row>
    <row r="88" spans="1:14" hidden="1">
      <c r="A88" s="330"/>
      <c r="B88" s="330"/>
      <c r="C88" s="330"/>
      <c r="D88" s="330"/>
      <c r="E88" s="335"/>
      <c r="F88" s="330"/>
      <c r="G88" s="389"/>
      <c r="H88" s="390"/>
      <c r="I88" s="330"/>
      <c r="J88" s="391"/>
      <c r="K88" s="330"/>
      <c r="L88" s="389"/>
      <c r="N88" s="70" t="s">
        <v>243</v>
      </c>
    </row>
    <row r="89" spans="1:14">
      <c r="A89" s="330"/>
      <c r="B89" s="330"/>
      <c r="C89" s="330"/>
      <c r="D89" s="330"/>
      <c r="E89" s="335"/>
      <c r="F89" s="330"/>
      <c r="G89" s="389"/>
      <c r="H89" s="390"/>
      <c r="I89" s="330"/>
      <c r="J89" s="391"/>
      <c r="K89" s="330"/>
      <c r="L89" s="389"/>
    </row>
    <row r="90" spans="1:14">
      <c r="A90" s="330"/>
      <c r="B90" s="330"/>
      <c r="C90" s="330"/>
      <c r="D90" s="330"/>
      <c r="E90" s="335"/>
      <c r="F90" s="330"/>
      <c r="G90" s="389"/>
      <c r="H90" s="390"/>
      <c r="I90" s="330"/>
      <c r="J90" s="391"/>
      <c r="K90" s="330"/>
      <c r="L90" s="389"/>
    </row>
    <row r="91" spans="1:14">
      <c r="A91" s="330"/>
      <c r="B91" s="330"/>
      <c r="C91" s="330"/>
      <c r="D91" s="330"/>
      <c r="E91" s="335"/>
      <c r="F91" s="330"/>
      <c r="G91" s="389"/>
      <c r="H91" s="390"/>
      <c r="I91" s="330"/>
      <c r="J91" s="391"/>
      <c r="K91" s="330"/>
      <c r="L91" s="389"/>
    </row>
    <row r="92" spans="1:14">
      <c r="A92" s="330"/>
      <c r="B92" s="330"/>
      <c r="C92" s="330"/>
      <c r="D92" s="330"/>
      <c r="E92" s="335"/>
      <c r="F92" s="330"/>
      <c r="G92" s="389"/>
      <c r="H92" s="390"/>
      <c r="I92" s="330"/>
      <c r="J92" s="391"/>
      <c r="K92" s="330"/>
      <c r="L92" s="389"/>
    </row>
    <row r="93" spans="1:14">
      <c r="A93" s="330"/>
      <c r="B93" s="330"/>
      <c r="C93" s="330"/>
      <c r="D93" s="330"/>
      <c r="E93" s="335"/>
      <c r="F93" s="330"/>
      <c r="G93" s="389"/>
      <c r="H93" s="390"/>
      <c r="I93" s="330"/>
      <c r="J93" s="391"/>
      <c r="K93" s="330"/>
      <c r="L93" s="389"/>
    </row>
    <row r="94" spans="1:14">
      <c r="A94" s="330"/>
      <c r="B94" s="330"/>
      <c r="C94" s="330"/>
      <c r="D94" s="330"/>
      <c r="E94" s="335"/>
      <c r="F94" s="330"/>
      <c r="G94" s="389"/>
      <c r="H94" s="390"/>
      <c r="I94" s="330"/>
      <c r="J94" s="391"/>
      <c r="K94" s="330"/>
      <c r="L94" s="389"/>
    </row>
    <row r="95" spans="1:14">
      <c r="A95" s="330"/>
      <c r="B95" s="330"/>
      <c r="C95" s="330"/>
      <c r="D95" s="330"/>
      <c r="E95" s="335"/>
      <c r="F95" s="330"/>
      <c r="G95" s="389"/>
      <c r="H95" s="390"/>
      <c r="I95" s="330"/>
      <c r="J95" s="391"/>
      <c r="K95" s="330"/>
      <c r="L95" s="389"/>
    </row>
    <row r="96" spans="1:14">
      <c r="A96" s="330"/>
      <c r="B96" s="330"/>
      <c r="C96" s="330"/>
      <c r="D96" s="330"/>
      <c r="E96" s="335"/>
      <c r="F96" s="330"/>
      <c r="G96" s="389"/>
      <c r="H96" s="390"/>
      <c r="I96" s="330"/>
      <c r="J96" s="391"/>
      <c r="K96" s="330"/>
      <c r="L96" s="389"/>
    </row>
    <row r="97" spans="1:12">
      <c r="A97" s="330"/>
      <c r="B97" s="330"/>
      <c r="C97" s="330"/>
      <c r="D97" s="330"/>
      <c r="E97" s="335"/>
      <c r="F97" s="330"/>
      <c r="G97" s="389"/>
      <c r="H97" s="390"/>
      <c r="I97" s="330"/>
      <c r="J97" s="391"/>
      <c r="K97" s="330"/>
      <c r="L97" s="389"/>
    </row>
    <row r="98" spans="1:12">
      <c r="A98" s="330"/>
      <c r="B98" s="330"/>
      <c r="C98" s="330"/>
      <c r="D98" s="330"/>
      <c r="E98" s="335"/>
      <c r="F98" s="330"/>
      <c r="G98" s="389"/>
      <c r="H98" s="390"/>
      <c r="I98" s="330"/>
      <c r="J98" s="391"/>
      <c r="K98" s="330"/>
      <c r="L98" s="389"/>
    </row>
    <row r="99" spans="1:12">
      <c r="A99" s="330"/>
      <c r="B99" s="330"/>
      <c r="C99" s="330"/>
      <c r="D99" s="330"/>
      <c r="E99" s="335"/>
      <c r="F99" s="330"/>
      <c r="G99" s="389"/>
      <c r="H99" s="390"/>
      <c r="I99" s="330"/>
      <c r="J99" s="391"/>
      <c r="K99" s="330"/>
      <c r="L99" s="389"/>
    </row>
    <row r="100" spans="1:12">
      <c r="A100" s="330"/>
      <c r="B100" s="330"/>
      <c r="C100" s="330"/>
      <c r="D100" s="330"/>
      <c r="E100" s="335"/>
      <c r="F100" s="330"/>
      <c r="G100" s="389"/>
      <c r="H100" s="390"/>
      <c r="I100" s="330"/>
      <c r="J100" s="391"/>
      <c r="K100" s="330"/>
      <c r="L100" s="389"/>
    </row>
    <row r="101" spans="1:12">
      <c r="A101" s="330"/>
      <c r="B101" s="330"/>
      <c r="C101" s="330"/>
      <c r="D101" s="330"/>
      <c r="E101" s="335"/>
      <c r="F101" s="330"/>
      <c r="G101" s="389"/>
      <c r="H101" s="390"/>
      <c r="I101" s="330"/>
      <c r="J101" s="391"/>
      <c r="K101" s="330"/>
      <c r="L101" s="389"/>
    </row>
    <row r="102" spans="1:12">
      <c r="A102" s="330"/>
      <c r="B102" s="330"/>
      <c r="C102" s="330"/>
      <c r="D102" s="330"/>
      <c r="E102" s="335"/>
      <c r="F102" s="330"/>
      <c r="G102" s="389"/>
      <c r="H102" s="390"/>
      <c r="I102" s="330"/>
      <c r="J102" s="391"/>
      <c r="K102" s="330"/>
      <c r="L102" s="389"/>
    </row>
  </sheetData>
  <mergeCells count="14">
    <mergeCell ref="J81:L81"/>
    <mergeCell ref="D82:E82"/>
    <mergeCell ref="J67:L67"/>
    <mergeCell ref="D68:E68"/>
    <mergeCell ref="J74:L74"/>
    <mergeCell ref="D75:E75"/>
    <mergeCell ref="J59:L59"/>
    <mergeCell ref="D60:E60"/>
    <mergeCell ref="D1:H1"/>
    <mergeCell ref="K2:L2"/>
    <mergeCell ref="A2:D2"/>
    <mergeCell ref="J50:L50"/>
    <mergeCell ref="D3:E3"/>
    <mergeCell ref="D51:E51"/>
  </mergeCells>
  <phoneticPr fontId="68" type="noConversion"/>
  <printOptions horizontalCentered="1"/>
  <pageMargins left="0.43000000000000005" right="0.43000000000000005" top="0.43000000000000005" bottom="1.2700000000000002" header="0.5" footer="0.5"/>
  <pageSetup orientation="landscape" horizontalDpi="300" verticalDpi="300"/>
  <headerFooter alignWithMargins="0">
    <oddFooter>&amp;L&amp;"Times New Roman,Italic"&amp;11&amp;K000000Investment Manager_x000D_Zhaochen Gao_x000D_(217) 323-3359&amp;R&amp;"Times New Roman,Bold Italic"&amp;11&amp;K000000LSXG Pension</oddFooter>
  </headerFooter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F35"/>
  <sheetViews>
    <sheetView topLeftCell="A5" zoomScale="125" zoomScaleNormal="125" zoomScalePageLayoutView="125" workbookViewId="0">
      <selection activeCell="P32" sqref="P32"/>
    </sheetView>
  </sheetViews>
  <sheetFormatPr baseColWidth="10" defaultColWidth="9.1640625" defaultRowHeight="12" x14ac:dyDescent="0"/>
  <cols>
    <col min="1" max="1" width="14.5" style="70" customWidth="1"/>
    <col min="2" max="2" width="1.5" style="70" customWidth="1"/>
    <col min="3" max="3" width="6" style="70" customWidth="1"/>
    <col min="4" max="4" width="9.33203125" style="70" customWidth="1"/>
    <col min="5" max="5" width="1.6640625" style="70" customWidth="1"/>
    <col min="6" max="6" width="6.5" style="70" customWidth="1"/>
    <col min="7" max="7" width="6" style="70" customWidth="1"/>
    <col min="8" max="8" width="1.5" style="74" customWidth="1"/>
    <col min="9" max="9" width="5.5" style="74" customWidth="1"/>
    <col min="10" max="10" width="6.83203125" style="70" customWidth="1"/>
    <col min="11" max="11" width="2" style="73" customWidth="1"/>
    <col min="12" max="12" width="5" style="73" customWidth="1"/>
    <col min="13" max="13" width="6.6640625" style="72" customWidth="1"/>
    <col min="14" max="14" width="1.6640625" style="72" customWidth="1"/>
    <col min="15" max="15" width="5.83203125" style="72" customWidth="1"/>
    <col min="16" max="16" width="7.6640625" style="72" customWidth="1"/>
    <col min="17" max="17" width="1.6640625" style="72" customWidth="1"/>
    <col min="18" max="18" width="5.1640625" style="72" customWidth="1"/>
    <col min="19" max="19" width="6.33203125" style="72" customWidth="1"/>
    <col min="20" max="20" width="1.33203125" style="70" customWidth="1"/>
    <col min="21" max="21" width="7" style="70" customWidth="1"/>
    <col min="22" max="22" width="3.5" style="71" customWidth="1"/>
    <col min="23" max="23" width="5.5" style="70" customWidth="1"/>
    <col min="24" max="24" width="2.5" style="70" customWidth="1"/>
    <col min="25" max="26" width="9.1640625" style="70"/>
    <col min="27" max="27" width="7.5" style="70" customWidth="1"/>
    <col min="28" max="16384" width="9.1640625" style="70"/>
  </cols>
  <sheetData>
    <row r="1" spans="1:26" ht="78.75" customHeight="1">
      <c r="A1" s="87"/>
      <c r="B1" s="87"/>
      <c r="C1" s="87"/>
      <c r="G1" s="675"/>
      <c r="H1" s="675"/>
      <c r="I1" s="675"/>
      <c r="J1" s="675"/>
      <c r="K1" s="675"/>
      <c r="L1" s="675"/>
      <c r="M1" s="675"/>
      <c r="N1" s="86"/>
      <c r="O1" s="120"/>
      <c r="P1" s="120"/>
      <c r="Q1" s="120"/>
      <c r="R1" s="86"/>
      <c r="S1" s="86"/>
    </row>
    <row r="2" spans="1:26" ht="18">
      <c r="A2" s="687" t="s">
        <v>75</v>
      </c>
      <c r="B2" s="687"/>
      <c r="C2" s="687"/>
      <c r="D2" s="687"/>
      <c r="E2" s="687"/>
      <c r="F2" s="687"/>
      <c r="G2" s="687"/>
      <c r="H2" s="687"/>
      <c r="I2" s="687"/>
      <c r="J2" s="687"/>
      <c r="K2" s="687"/>
      <c r="L2" s="687"/>
      <c r="M2" s="687"/>
      <c r="N2" s="687"/>
      <c r="O2" s="687"/>
      <c r="P2" s="687"/>
      <c r="Q2" s="85"/>
      <c r="R2" s="85"/>
      <c r="S2" s="676">
        <f>Title!B4</f>
        <v>42704</v>
      </c>
      <c r="T2" s="684"/>
      <c r="U2" s="676"/>
      <c r="V2" s="676"/>
      <c r="W2" s="676"/>
    </row>
    <row r="3" spans="1:26" s="82" customFormat="1">
      <c r="A3" s="396" t="s">
        <v>20</v>
      </c>
      <c r="B3" s="397" t="s">
        <v>84</v>
      </c>
      <c r="C3" s="685" t="str">
        <f>Data!B50</f>
        <v>US Dollars</v>
      </c>
      <c r="D3" s="686"/>
      <c r="E3" s="398" t="s">
        <v>84</v>
      </c>
      <c r="F3" s="697" t="str">
        <f>Data!B51</f>
        <v>Euro</v>
      </c>
      <c r="G3" s="698"/>
      <c r="H3" s="398" t="s">
        <v>84</v>
      </c>
      <c r="I3" s="688" t="str">
        <f>Data!B52</f>
        <v>Pounds Sterling</v>
      </c>
      <c r="J3" s="689"/>
      <c r="K3" s="398" t="s">
        <v>84</v>
      </c>
      <c r="L3" s="690" t="str">
        <f>Data!B53</f>
        <v>Canadian Dollars</v>
      </c>
      <c r="M3" s="691"/>
      <c r="N3" s="399" t="s">
        <v>84</v>
      </c>
      <c r="O3" s="699" t="str">
        <f>Data!B54</f>
        <v>Chinese Yuan</v>
      </c>
      <c r="P3" s="700"/>
      <c r="Q3" s="399" t="s">
        <v>84</v>
      </c>
      <c r="R3" s="692" t="str">
        <f>Data!B55</f>
        <v>Japanese Yen</v>
      </c>
      <c r="S3" s="693"/>
      <c r="T3" s="397"/>
      <c r="U3" s="682" t="s">
        <v>107</v>
      </c>
      <c r="V3" s="683"/>
      <c r="W3" s="400" t="s">
        <v>104</v>
      </c>
      <c r="X3" s="102"/>
      <c r="Y3" s="102"/>
    </row>
    <row r="4" spans="1:26" s="80" customFormat="1" ht="12" customHeight="1">
      <c r="A4" s="401"/>
      <c r="B4" s="335"/>
      <c r="C4" s="335" t="str">
        <f t="shared" ref="C4:C15" si="0">IF(D4=0,"",IF(D4&gt;0,"Buy","Sell"))</f>
        <v/>
      </c>
      <c r="D4" s="402"/>
      <c r="E4" s="403"/>
      <c r="F4" s="335" t="str">
        <f t="shared" ref="F4:F11" si="1">IF(G4=0,"",IF(G4&gt;0,"Buy","Sell"))</f>
        <v/>
      </c>
      <c r="G4" s="404"/>
      <c r="H4" s="405"/>
      <c r="I4" s="335"/>
      <c r="J4" s="406"/>
      <c r="K4" s="341"/>
      <c r="L4" s="335" t="str">
        <f t="shared" ref="L4:L11" si="2">IF(M4=0,"",IF(M4&gt;0,"Buy","Sell"))</f>
        <v/>
      </c>
      <c r="M4" s="407"/>
      <c r="N4" s="341"/>
      <c r="O4" s="335" t="str">
        <f t="shared" ref="O4:O6" si="3">IF(P4=0,"",IF(P4&gt;0,"Buy","Sell"))</f>
        <v/>
      </c>
      <c r="P4" s="443"/>
      <c r="Q4" s="341"/>
      <c r="R4" s="335" t="str">
        <f t="shared" ref="R4:R11" si="4">IF(S4=0,"",IF(S4&gt;0,"Buy","Sell"))</f>
        <v/>
      </c>
      <c r="S4" s="408"/>
      <c r="T4" s="330"/>
      <c r="U4" s="409" t="str">
        <f>IF(MAX(D4,G4,J4,M4,P4,S4)*MIN(D4,G4,J4,M4,P4,S4)&lt;-0.0001,-MAX(D4,G4,J4,M4,P4,S4)/MIN(D4,G4,J4,M4,P4,S4),"")</f>
        <v/>
      </c>
      <c r="V4" s="409" t="str">
        <f>IF(MAX(D4,G4,J4,M4,P4,S4)&gt;0,1/U4,"")</f>
        <v/>
      </c>
      <c r="W4" s="341" t="str">
        <f>IF(MAX(D4,G4,J4,M4,P4,S4)&gt;0,10,"")</f>
        <v/>
      </c>
      <c r="X4" s="70"/>
      <c r="Y4" s="103"/>
      <c r="Z4" s="84"/>
    </row>
    <row r="5" spans="1:26" s="80" customFormat="1" ht="18" customHeight="1">
      <c r="A5" s="401"/>
      <c r="B5" s="335"/>
      <c r="C5" s="335" t="str">
        <f>IF(D5=0,"",IF(D5&gt;0,"Buy","Sell"))</f>
        <v/>
      </c>
      <c r="D5" s="402"/>
      <c r="E5" s="389"/>
      <c r="F5" s="335" t="str">
        <f t="shared" si="1"/>
        <v/>
      </c>
      <c r="G5" s="404"/>
      <c r="H5" s="389"/>
      <c r="I5" s="335" t="str">
        <f t="shared" ref="I5:I15" si="5">IF(J5=0,"",IF(J5&gt;0,"Buy","Sell"))</f>
        <v/>
      </c>
      <c r="J5" s="410"/>
      <c r="K5" s="389"/>
      <c r="L5" s="335" t="str">
        <f t="shared" si="2"/>
        <v/>
      </c>
      <c r="M5" s="407"/>
      <c r="N5" s="411"/>
      <c r="O5" s="335" t="str">
        <f t="shared" si="3"/>
        <v/>
      </c>
      <c r="P5" s="412"/>
      <c r="Q5" s="411"/>
      <c r="R5" s="335" t="str">
        <f t="shared" si="4"/>
        <v/>
      </c>
      <c r="S5" s="413"/>
      <c r="T5" s="330"/>
      <c r="U5" s="409" t="str">
        <f t="shared" ref="U5:U15" si="6">IF(MAX(D5,G5,J5,M5,P5,S5)*MIN(D5,G5,J5,M5,P5,S5)&lt;-0.0001,-MAX(D5,G5,J5,M5,P5,S5)/MIN(D5,G5,J5,M5,P5,S5),"")</f>
        <v/>
      </c>
      <c r="V5" s="409" t="str">
        <f t="shared" ref="V5:V16" si="7">IF(MAX(D5,G5,J5,M5,P5,S5)&gt;0,1/U5,"")</f>
        <v/>
      </c>
      <c r="W5" s="341" t="str">
        <f t="shared" ref="W5:W15" si="8">IF(MAX(D5,G5,J5,M5,P5,S5)&gt;0,10,"")</f>
        <v/>
      </c>
      <c r="X5" s="70"/>
      <c r="Y5" s="70"/>
    </row>
    <row r="6" spans="1:26" s="80" customFormat="1" ht="14" customHeight="1">
      <c r="A6" s="401"/>
      <c r="B6" s="335"/>
      <c r="C6" s="335" t="str">
        <f t="shared" si="0"/>
        <v/>
      </c>
      <c r="D6" s="402"/>
      <c r="E6" s="389"/>
      <c r="F6" s="335" t="str">
        <f t="shared" si="1"/>
        <v/>
      </c>
      <c r="G6" s="404"/>
      <c r="H6" s="389"/>
      <c r="I6" s="335" t="str">
        <f t="shared" si="5"/>
        <v/>
      </c>
      <c r="J6" s="410"/>
      <c r="K6" s="389"/>
      <c r="L6" s="335" t="str">
        <f t="shared" si="2"/>
        <v/>
      </c>
      <c r="M6" s="407"/>
      <c r="N6" s="411"/>
      <c r="O6" s="335" t="str">
        <f t="shared" si="3"/>
        <v/>
      </c>
      <c r="P6" s="412"/>
      <c r="Q6" s="411"/>
      <c r="R6" s="335" t="str">
        <f t="shared" si="4"/>
        <v/>
      </c>
      <c r="S6" s="413"/>
      <c r="T6" s="330"/>
      <c r="U6" s="409" t="str">
        <f t="shared" ref="U6" si="9">IF(MAX(D6,G6,J6,M6,P6,S6)*MIN(D6,G6,J6,M6,P6,S6)&lt;-0.0001,-MAX(D6,G6,J6,M6,P6,S6)/MIN(D6,G6,J6,M6,P6,S6),"")</f>
        <v/>
      </c>
      <c r="V6" s="409" t="str">
        <f t="shared" ref="V6" si="10">IF(MAX(D6,G6,J6,M6,P6,S6)&gt;0,1/U6,"")</f>
        <v/>
      </c>
      <c r="W6" s="341" t="str">
        <f t="shared" si="8"/>
        <v/>
      </c>
      <c r="X6" s="70"/>
      <c r="Y6" s="70"/>
    </row>
    <row r="7" spans="1:26" s="80" customFormat="1" ht="16" customHeight="1">
      <c r="A7" s="401"/>
      <c r="B7" s="414"/>
      <c r="C7" s="335" t="str">
        <f t="shared" si="0"/>
        <v/>
      </c>
      <c r="D7" s="402"/>
      <c r="E7" s="330"/>
      <c r="F7" s="335" t="str">
        <f t="shared" si="1"/>
        <v/>
      </c>
      <c r="G7" s="404"/>
      <c r="H7" s="330"/>
      <c r="I7" s="335" t="str">
        <f t="shared" si="5"/>
        <v/>
      </c>
      <c r="J7" s="410"/>
      <c r="K7" s="330"/>
      <c r="L7" s="335" t="str">
        <f t="shared" si="2"/>
        <v/>
      </c>
      <c r="M7" s="407"/>
      <c r="N7" s="392"/>
      <c r="O7" s="392"/>
      <c r="P7" s="415"/>
      <c r="Q7" s="392"/>
      <c r="R7" s="335" t="str">
        <f t="shared" si="4"/>
        <v/>
      </c>
      <c r="S7" s="413"/>
      <c r="T7" s="330"/>
      <c r="U7" s="409" t="str">
        <f t="shared" si="6"/>
        <v/>
      </c>
      <c r="V7" s="409" t="str">
        <f t="shared" si="7"/>
        <v/>
      </c>
      <c r="W7" s="341" t="str">
        <f t="shared" si="8"/>
        <v/>
      </c>
      <c r="X7" s="70"/>
      <c r="Y7" s="70"/>
    </row>
    <row r="8" spans="1:26" s="80" customFormat="1" ht="16" customHeight="1">
      <c r="A8" s="416"/>
      <c r="B8" s="414"/>
      <c r="C8" s="335" t="str">
        <f t="shared" si="0"/>
        <v/>
      </c>
      <c r="D8" s="402"/>
      <c r="E8" s="330"/>
      <c r="F8" s="335" t="str">
        <f t="shared" si="1"/>
        <v/>
      </c>
      <c r="G8" s="404"/>
      <c r="H8" s="335"/>
      <c r="I8" s="335" t="str">
        <f t="shared" si="5"/>
        <v/>
      </c>
      <c r="J8" s="410"/>
      <c r="K8" s="330"/>
      <c r="L8" s="335" t="str">
        <f t="shared" si="2"/>
        <v/>
      </c>
      <c r="M8" s="417"/>
      <c r="N8" s="390"/>
      <c r="O8" s="390"/>
      <c r="P8" s="418"/>
      <c r="Q8" s="390"/>
      <c r="R8" s="335" t="str">
        <f t="shared" si="4"/>
        <v/>
      </c>
      <c r="S8" s="413"/>
      <c r="T8" s="330"/>
      <c r="U8" s="409" t="str">
        <f t="shared" si="6"/>
        <v/>
      </c>
      <c r="V8" s="409" t="str">
        <f t="shared" si="7"/>
        <v/>
      </c>
      <c r="W8" s="341" t="str">
        <f t="shared" si="8"/>
        <v/>
      </c>
      <c r="X8" s="70"/>
      <c r="Y8" s="70"/>
    </row>
    <row r="9" spans="1:26" s="80" customFormat="1" ht="15" customHeight="1">
      <c r="A9" s="416"/>
      <c r="B9" s="414"/>
      <c r="C9" s="335" t="str">
        <f t="shared" si="0"/>
        <v/>
      </c>
      <c r="D9" s="402"/>
      <c r="E9" s="330"/>
      <c r="F9" s="335" t="str">
        <f t="shared" si="1"/>
        <v/>
      </c>
      <c r="G9" s="404"/>
      <c r="H9" s="335"/>
      <c r="I9" s="335" t="str">
        <f t="shared" si="5"/>
        <v/>
      </c>
      <c r="J9" s="410"/>
      <c r="K9" s="330"/>
      <c r="L9" s="335" t="str">
        <f t="shared" si="2"/>
        <v/>
      </c>
      <c r="M9" s="417"/>
      <c r="N9" s="390"/>
      <c r="O9" s="390"/>
      <c r="P9" s="418"/>
      <c r="Q9" s="390"/>
      <c r="R9" s="335" t="str">
        <f t="shared" si="4"/>
        <v/>
      </c>
      <c r="S9" s="413"/>
      <c r="T9" s="330"/>
      <c r="U9" s="409" t="str">
        <f t="shared" si="6"/>
        <v/>
      </c>
      <c r="V9" s="409" t="str">
        <f t="shared" si="7"/>
        <v/>
      </c>
      <c r="W9" s="341" t="str">
        <f t="shared" si="8"/>
        <v/>
      </c>
      <c r="X9" s="70"/>
      <c r="Y9" s="70"/>
    </row>
    <row r="10" spans="1:26" s="80" customFormat="1" ht="18" customHeight="1">
      <c r="A10" s="416"/>
      <c r="B10" s="414"/>
      <c r="C10" s="335" t="str">
        <f t="shared" si="0"/>
        <v/>
      </c>
      <c r="D10" s="402"/>
      <c r="E10" s="330"/>
      <c r="F10" s="335" t="str">
        <f t="shared" si="1"/>
        <v/>
      </c>
      <c r="G10" s="404"/>
      <c r="H10" s="335"/>
      <c r="I10" s="335" t="str">
        <f t="shared" si="5"/>
        <v/>
      </c>
      <c r="J10" s="410"/>
      <c r="K10" s="330"/>
      <c r="L10" s="335" t="str">
        <f t="shared" si="2"/>
        <v/>
      </c>
      <c r="M10" s="417"/>
      <c r="N10" s="390"/>
      <c r="O10" s="390"/>
      <c r="P10" s="418"/>
      <c r="Q10" s="390"/>
      <c r="R10" s="335" t="str">
        <f t="shared" si="4"/>
        <v/>
      </c>
      <c r="S10" s="413"/>
      <c r="T10" s="330"/>
      <c r="U10" s="409" t="str">
        <f t="shared" si="6"/>
        <v/>
      </c>
      <c r="V10" s="409" t="str">
        <f t="shared" si="7"/>
        <v/>
      </c>
      <c r="W10" s="341" t="str">
        <f t="shared" si="8"/>
        <v/>
      </c>
      <c r="X10" s="70"/>
      <c r="Y10" s="70"/>
    </row>
    <row r="11" spans="1:26" s="80" customFormat="1" ht="14" customHeight="1">
      <c r="A11" s="416"/>
      <c r="B11" s="414"/>
      <c r="C11" s="335" t="str">
        <f t="shared" si="0"/>
        <v/>
      </c>
      <c r="D11" s="402"/>
      <c r="E11" s="330"/>
      <c r="F11" s="335" t="str">
        <f t="shared" si="1"/>
        <v/>
      </c>
      <c r="G11" s="404"/>
      <c r="H11" s="335"/>
      <c r="I11" s="335" t="str">
        <f t="shared" si="5"/>
        <v/>
      </c>
      <c r="J11" s="410"/>
      <c r="K11" s="330"/>
      <c r="L11" s="335" t="str">
        <f t="shared" si="2"/>
        <v/>
      </c>
      <c r="M11" s="417"/>
      <c r="N11" s="390"/>
      <c r="O11" s="390"/>
      <c r="P11" s="418"/>
      <c r="Q11" s="390"/>
      <c r="R11" s="335" t="str">
        <f t="shared" si="4"/>
        <v/>
      </c>
      <c r="S11" s="413"/>
      <c r="T11" s="330"/>
      <c r="U11" s="409" t="str">
        <f t="shared" si="6"/>
        <v/>
      </c>
      <c r="V11" s="409" t="str">
        <f t="shared" si="7"/>
        <v/>
      </c>
      <c r="W11" s="341" t="str">
        <f t="shared" si="8"/>
        <v/>
      </c>
      <c r="X11" s="70"/>
      <c r="Y11" s="70"/>
    </row>
    <row r="12" spans="1:26" s="80" customFormat="1" ht="18" customHeight="1">
      <c r="A12" s="416"/>
      <c r="B12" s="414"/>
      <c r="C12" s="335" t="str">
        <f t="shared" si="0"/>
        <v/>
      </c>
      <c r="D12" s="402"/>
      <c r="E12" s="330"/>
      <c r="F12" s="335"/>
      <c r="G12" s="404"/>
      <c r="H12" s="335"/>
      <c r="I12" s="335" t="str">
        <f t="shared" si="5"/>
        <v/>
      </c>
      <c r="J12" s="410"/>
      <c r="K12" s="330"/>
      <c r="L12" s="335"/>
      <c r="M12" s="417"/>
      <c r="N12" s="390"/>
      <c r="O12" s="390"/>
      <c r="P12" s="418"/>
      <c r="Q12" s="390"/>
      <c r="R12" s="335"/>
      <c r="S12" s="413"/>
      <c r="T12" s="330"/>
      <c r="U12" s="409" t="str">
        <f t="shared" si="6"/>
        <v/>
      </c>
      <c r="V12" s="409" t="str">
        <f t="shared" si="7"/>
        <v/>
      </c>
      <c r="W12" s="341" t="str">
        <f t="shared" si="8"/>
        <v/>
      </c>
      <c r="X12" s="70"/>
      <c r="Y12" s="70"/>
    </row>
    <row r="13" spans="1:26" s="80" customFormat="1" ht="16" customHeight="1">
      <c r="A13" s="416"/>
      <c r="B13" s="414"/>
      <c r="C13" s="335" t="str">
        <f t="shared" si="0"/>
        <v/>
      </c>
      <c r="D13" s="402"/>
      <c r="E13" s="330"/>
      <c r="F13" s="335"/>
      <c r="G13" s="404"/>
      <c r="H13" s="335"/>
      <c r="I13" s="335" t="str">
        <f t="shared" si="5"/>
        <v/>
      </c>
      <c r="J13" s="410"/>
      <c r="K13" s="330"/>
      <c r="L13" s="335"/>
      <c r="M13" s="417"/>
      <c r="N13" s="390"/>
      <c r="O13" s="390"/>
      <c r="P13" s="418"/>
      <c r="Q13" s="390"/>
      <c r="R13" s="335"/>
      <c r="S13" s="413"/>
      <c r="T13" s="330"/>
      <c r="U13" s="409" t="str">
        <f t="shared" si="6"/>
        <v/>
      </c>
      <c r="V13" s="409" t="str">
        <f t="shared" si="7"/>
        <v/>
      </c>
      <c r="W13" s="341" t="str">
        <f t="shared" si="8"/>
        <v/>
      </c>
      <c r="X13" s="70"/>
      <c r="Y13" s="70"/>
    </row>
    <row r="14" spans="1:26" s="80" customFormat="1" ht="11" customHeight="1">
      <c r="A14" s="416"/>
      <c r="B14" s="414"/>
      <c r="C14" s="335" t="str">
        <f t="shared" si="0"/>
        <v/>
      </c>
      <c r="D14" s="402"/>
      <c r="E14" s="330"/>
      <c r="F14" s="335"/>
      <c r="G14" s="404"/>
      <c r="H14" s="335"/>
      <c r="I14" s="335" t="str">
        <f t="shared" si="5"/>
        <v/>
      </c>
      <c r="J14" s="410"/>
      <c r="K14" s="330"/>
      <c r="L14" s="335" t="str">
        <f>IF(M14=0,"",IF(M14&gt;0,"Buy","Sell"))</f>
        <v/>
      </c>
      <c r="M14" s="417"/>
      <c r="N14" s="390"/>
      <c r="O14" s="390"/>
      <c r="P14" s="418"/>
      <c r="Q14" s="390"/>
      <c r="R14" s="335"/>
      <c r="S14" s="413"/>
      <c r="T14" s="330"/>
      <c r="U14" s="409" t="str">
        <f t="shared" si="6"/>
        <v/>
      </c>
      <c r="V14" s="409" t="str">
        <f t="shared" si="7"/>
        <v/>
      </c>
      <c r="W14" s="341" t="str">
        <f t="shared" si="8"/>
        <v/>
      </c>
      <c r="X14" s="70"/>
      <c r="Y14" s="70"/>
    </row>
    <row r="15" spans="1:26" s="80" customFormat="1" ht="17" customHeight="1">
      <c r="A15" s="416"/>
      <c r="B15" s="414"/>
      <c r="C15" s="335" t="str">
        <f t="shared" si="0"/>
        <v/>
      </c>
      <c r="D15" s="402"/>
      <c r="E15" s="330"/>
      <c r="F15" s="335"/>
      <c r="G15" s="404"/>
      <c r="H15" s="335"/>
      <c r="I15" s="335" t="str">
        <f t="shared" si="5"/>
        <v/>
      </c>
      <c r="J15" s="419"/>
      <c r="K15" s="330"/>
      <c r="L15" s="335"/>
      <c r="M15" s="417"/>
      <c r="N15" s="390"/>
      <c r="O15" s="390"/>
      <c r="P15" s="418"/>
      <c r="Q15" s="390"/>
      <c r="R15" s="335"/>
      <c r="S15" s="413"/>
      <c r="T15" s="330"/>
      <c r="U15" s="409" t="str">
        <f t="shared" si="6"/>
        <v/>
      </c>
      <c r="V15" s="409" t="str">
        <f t="shared" si="7"/>
        <v/>
      </c>
      <c r="W15" s="341" t="str">
        <f t="shared" si="8"/>
        <v/>
      </c>
      <c r="X15" s="70"/>
      <c r="Y15" s="70"/>
    </row>
    <row r="16" spans="1:26" s="80" customFormat="1">
      <c r="A16" s="416"/>
      <c r="B16" s="414"/>
      <c r="C16" s="335" t="str">
        <f>IF(D16=0,"",IF(D16&gt;0,"Purchase","Sale"))</f>
        <v/>
      </c>
      <c r="D16" s="389"/>
      <c r="E16" s="330"/>
      <c r="F16" s="335" t="str">
        <f>IF(G16=0,"",IF(G16&gt;0,"Purchase","Sale"))</f>
        <v/>
      </c>
      <c r="G16" s="420"/>
      <c r="H16" s="335"/>
      <c r="I16" s="335" t="str">
        <f>IF(J16=0,"",IF(J16&gt;0,"Purchase","Sale"))</f>
        <v/>
      </c>
      <c r="J16" s="419"/>
      <c r="K16" s="330"/>
      <c r="L16" s="335" t="str">
        <f>IF(M16=0,"",IF(M16&gt;0,"Buy","Sell"))</f>
        <v/>
      </c>
      <c r="M16" s="417"/>
      <c r="N16" s="390"/>
      <c r="O16" s="390"/>
      <c r="P16" s="418"/>
      <c r="Q16" s="390"/>
      <c r="R16" s="390"/>
      <c r="S16" s="421"/>
      <c r="T16" s="330"/>
      <c r="U16" s="422" t="str">
        <f>IF(MAX(D16,G16,J16,M16)*MIN(D16,G16,J16,M16)&lt;-0.0001,-MAX(D16,G16,J16,M16)/MIN(D16,G16,J16,M16),"")</f>
        <v/>
      </c>
      <c r="V16" s="409" t="str">
        <f t="shared" si="7"/>
        <v/>
      </c>
      <c r="W16" s="341" t="str">
        <f>IF(MAX(D16,G16,J16,M16)&gt;0,10,"")</f>
        <v/>
      </c>
      <c r="X16" s="70"/>
      <c r="Y16" s="70"/>
    </row>
    <row r="17" spans="1:32" s="80" customFormat="1" ht="13" thickBot="1">
      <c r="A17" s="423"/>
      <c r="B17" s="423"/>
      <c r="C17" s="335"/>
      <c r="D17" s="424">
        <f>SUM(D4:D16)</f>
        <v>0</v>
      </c>
      <c r="E17" s="330"/>
      <c r="F17" s="330"/>
      <c r="G17" s="425">
        <f>SUM(G4:G16)</f>
        <v>0</v>
      </c>
      <c r="H17" s="414"/>
      <c r="I17" s="414"/>
      <c r="J17" s="426">
        <f>SUM(J4:J16)</f>
        <v>0</v>
      </c>
      <c r="K17" s="330"/>
      <c r="L17" s="330"/>
      <c r="M17" s="427">
        <f>SUM(M4:M16)</f>
        <v>0</v>
      </c>
      <c r="N17" s="411"/>
      <c r="O17" s="411"/>
      <c r="P17" s="428">
        <f>SUM(P4:P16)</f>
        <v>0</v>
      </c>
      <c r="Q17" s="411"/>
      <c r="R17" s="411"/>
      <c r="S17" s="428">
        <f>SUM(S4:S16)</f>
        <v>0</v>
      </c>
      <c r="T17" s="330"/>
      <c r="U17" s="422"/>
      <c r="V17" s="391"/>
      <c r="W17" s="424">
        <f>SUM(W4:W16)</f>
        <v>0</v>
      </c>
      <c r="X17" s="70"/>
      <c r="Y17" s="70"/>
    </row>
    <row r="18" spans="1:32" s="80" customFormat="1" ht="13" thickTop="1">
      <c r="A18" s="429"/>
      <c r="B18" s="430"/>
      <c r="C18" s="430"/>
      <c r="D18" s="389"/>
      <c r="E18" s="330"/>
      <c r="F18" s="330"/>
      <c r="G18" s="420"/>
      <c r="H18" s="414"/>
      <c r="I18" s="414"/>
      <c r="J18" s="419"/>
      <c r="K18" s="330"/>
      <c r="L18" s="330"/>
      <c r="M18" s="390"/>
      <c r="N18" s="390"/>
      <c r="O18" s="390"/>
      <c r="P18" s="390"/>
      <c r="Q18" s="390"/>
      <c r="R18" s="390"/>
      <c r="S18" s="390"/>
      <c r="T18" s="330"/>
      <c r="U18" s="330"/>
      <c r="V18" s="391"/>
      <c r="W18" s="330"/>
      <c r="X18" s="70"/>
      <c r="Y18" s="70"/>
    </row>
    <row r="19" spans="1:32" s="80" customFormat="1">
      <c r="A19" s="429"/>
      <c r="B19" s="430"/>
      <c r="C19" s="430"/>
      <c r="D19" s="389"/>
      <c r="E19" s="330"/>
      <c r="F19" s="330"/>
      <c r="G19" s="420"/>
      <c r="H19" s="414"/>
      <c r="I19" s="414"/>
      <c r="J19" s="419"/>
      <c r="K19" s="330"/>
      <c r="L19" s="330"/>
      <c r="M19" s="390"/>
      <c r="N19" s="390"/>
      <c r="O19" s="390"/>
      <c r="P19" s="390"/>
      <c r="Q19" s="390"/>
      <c r="R19" s="390"/>
      <c r="S19" s="390"/>
      <c r="T19" s="330"/>
      <c r="U19" s="330"/>
      <c r="V19" s="391"/>
      <c r="W19" s="330"/>
      <c r="X19" s="70"/>
      <c r="Y19" s="70"/>
    </row>
    <row r="20" spans="1:32" s="80" customFormat="1">
      <c r="A20" s="429"/>
      <c r="B20" s="430"/>
      <c r="C20" s="430"/>
      <c r="D20" s="330"/>
      <c r="E20" s="330"/>
      <c r="F20" s="330"/>
      <c r="G20" s="403"/>
      <c r="H20" s="423"/>
      <c r="I20" s="423"/>
      <c r="J20" s="419"/>
      <c r="K20" s="330"/>
      <c r="L20" s="330"/>
      <c r="M20" s="390"/>
      <c r="N20" s="390"/>
      <c r="O20" s="390"/>
      <c r="P20" s="390"/>
      <c r="Q20" s="390"/>
      <c r="R20" s="390"/>
      <c r="S20" s="390"/>
      <c r="T20" s="330"/>
      <c r="U20" s="330"/>
      <c r="V20" s="391"/>
      <c r="W20" s="330"/>
      <c r="X20" s="70"/>
      <c r="Y20" s="70"/>
    </row>
    <row r="21" spans="1:32">
      <c r="A21" s="696" t="s">
        <v>62</v>
      </c>
      <c r="B21" s="696"/>
      <c r="C21" s="696"/>
      <c r="D21" s="696"/>
      <c r="E21" s="696"/>
      <c r="F21" s="696"/>
      <c r="G21" s="696"/>
      <c r="H21" s="403"/>
      <c r="I21" s="403"/>
      <c r="J21" s="431"/>
      <c r="K21" s="403"/>
      <c r="L21" s="403"/>
      <c r="M21" s="432"/>
      <c r="N21" s="432"/>
      <c r="O21" s="432"/>
      <c r="P21" s="432"/>
      <c r="Q21" s="432"/>
      <c r="R21" s="432"/>
      <c r="S21" s="432"/>
      <c r="T21" s="403"/>
      <c r="U21" s="403"/>
      <c r="V21" s="403"/>
      <c r="W21" s="403"/>
    </row>
    <row r="22" spans="1:32" s="82" customFormat="1">
      <c r="A22" s="396"/>
      <c r="B22" s="433"/>
      <c r="C22" s="685" t="str">
        <f>C3</f>
        <v>US Dollars</v>
      </c>
      <c r="D22" s="686"/>
      <c r="E22" s="434"/>
      <c r="F22" s="694" t="str">
        <f>F3</f>
        <v>Euro</v>
      </c>
      <c r="G22" s="695"/>
      <c r="H22" s="434"/>
      <c r="I22" s="688" t="str">
        <f>I3</f>
        <v>Pounds Sterling</v>
      </c>
      <c r="J22" s="689"/>
      <c r="K22" s="434"/>
      <c r="L22" s="690" t="str">
        <f>L3</f>
        <v>Canadian Dollars</v>
      </c>
      <c r="M22" s="691"/>
      <c r="N22" s="399"/>
      <c r="O22" s="699" t="str">
        <f>O3</f>
        <v>Chinese Yuan</v>
      </c>
      <c r="P22" s="700"/>
      <c r="Q22" s="399"/>
      <c r="R22" s="692" t="str">
        <f>R3</f>
        <v>Japanese Yen</v>
      </c>
      <c r="S22" s="693"/>
      <c r="T22" s="433"/>
      <c r="U22" s="435"/>
      <c r="V22" s="321"/>
      <c r="W22" s="436"/>
      <c r="X22" s="102"/>
      <c r="Y22" s="102"/>
      <c r="AB22" s="80"/>
      <c r="AC22" s="80"/>
    </row>
    <row r="23" spans="1:32" s="80" customFormat="1">
      <c r="A23" s="444">
        <v>42643.999305555553</v>
      </c>
      <c r="B23" s="437"/>
      <c r="C23" s="438">
        <v>2.5000000000000001E-3</v>
      </c>
      <c r="D23" s="439">
        <v>1353.58</v>
      </c>
      <c r="E23" s="445"/>
      <c r="F23" s="446"/>
      <c r="G23" s="447"/>
      <c r="H23" s="448"/>
      <c r="I23" s="446"/>
      <c r="J23" s="449"/>
      <c r="K23" s="450"/>
      <c r="L23" s="446"/>
      <c r="M23" s="451"/>
      <c r="N23" s="451"/>
      <c r="O23" s="451"/>
      <c r="P23" s="451"/>
      <c r="Q23" s="407"/>
      <c r="R23" s="440"/>
      <c r="S23" s="441"/>
      <c r="T23" s="342"/>
      <c r="U23" s="422"/>
      <c r="V23" s="422"/>
      <c r="W23" s="341"/>
      <c r="X23" s="70"/>
      <c r="Y23" s="70"/>
    </row>
    <row r="24" spans="1:32" s="80" customFormat="1">
      <c r="A24" s="444">
        <v>42674.999305555553</v>
      </c>
      <c r="B24" s="437"/>
      <c r="C24" s="438">
        <v>2.5000000000000001E-3</v>
      </c>
      <c r="D24" s="439">
        <v>584.41</v>
      </c>
      <c r="E24" s="450"/>
      <c r="F24" s="446"/>
      <c r="G24" s="447"/>
      <c r="H24" s="450"/>
      <c r="I24" s="446"/>
      <c r="J24" s="445"/>
      <c r="K24" s="450"/>
      <c r="L24" s="446"/>
      <c r="M24" s="451"/>
      <c r="N24" s="451"/>
      <c r="O24" s="451"/>
      <c r="P24" s="451"/>
      <c r="Q24" s="407"/>
      <c r="R24" s="440"/>
      <c r="S24" s="441"/>
      <c r="T24" s="330"/>
      <c r="U24" s="422"/>
      <c r="V24" s="422"/>
      <c r="W24" s="341"/>
      <c r="X24" s="70"/>
      <c r="Y24" s="70"/>
    </row>
    <row r="25" spans="1:32" s="80" customFormat="1">
      <c r="A25" s="444">
        <v>42704.999305555553</v>
      </c>
      <c r="B25" s="437"/>
      <c r="C25" s="438">
        <v>2.5000000000000001E-3</v>
      </c>
      <c r="D25" s="439">
        <v>654.80999999999995</v>
      </c>
      <c r="E25" s="450"/>
      <c r="F25" s="446">
        <v>0</v>
      </c>
      <c r="G25" s="447"/>
      <c r="H25" s="450"/>
      <c r="I25" s="446">
        <v>7.4999999999999997E-3</v>
      </c>
      <c r="J25" s="449"/>
      <c r="K25" s="450"/>
      <c r="L25" s="446">
        <v>5.0000000000000001E-3</v>
      </c>
      <c r="M25" s="451"/>
      <c r="N25" s="451"/>
      <c r="O25" s="452">
        <v>4.3499999999999997E-2</v>
      </c>
      <c r="P25" s="453"/>
      <c r="Q25" s="451"/>
      <c r="R25" s="452">
        <v>0</v>
      </c>
      <c r="S25" s="441"/>
      <c r="T25" s="330"/>
      <c r="U25" s="422"/>
      <c r="V25" s="422"/>
      <c r="W25" s="341"/>
      <c r="X25" s="70"/>
      <c r="Y25" s="70"/>
    </row>
    <row r="26" spans="1:32" s="80" customFormat="1">
      <c r="A26" s="444">
        <v>42704.999305555553</v>
      </c>
      <c r="B26" s="437"/>
      <c r="C26" s="438">
        <v>2.2499999999999999E-2</v>
      </c>
      <c r="D26" s="439">
        <v>-1938.03</v>
      </c>
      <c r="E26" s="450"/>
      <c r="F26" s="446">
        <v>0.02</v>
      </c>
      <c r="G26" s="447"/>
      <c r="H26" s="450"/>
      <c r="I26" s="446">
        <v>2.75E-2</v>
      </c>
      <c r="J26" s="449"/>
      <c r="K26" s="450"/>
      <c r="L26" s="446">
        <v>2.5000000000000001E-2</v>
      </c>
      <c r="M26" s="451"/>
      <c r="N26" s="451"/>
      <c r="O26" s="452">
        <v>6.3500000000000001E-2</v>
      </c>
      <c r="P26" s="453">
        <v>-18.239999999999998</v>
      </c>
      <c r="Q26" s="451"/>
      <c r="R26" s="452">
        <v>0.02</v>
      </c>
      <c r="S26" s="441"/>
      <c r="T26" s="330"/>
      <c r="U26" s="422"/>
      <c r="V26" s="422"/>
      <c r="W26" s="341"/>
      <c r="X26" s="70"/>
      <c r="Y26" s="70"/>
    </row>
    <row r="27" spans="1:32" s="80" customFormat="1" ht="14" thickBot="1">
      <c r="A27" s="416"/>
      <c r="B27" s="423"/>
      <c r="C27" s="335"/>
      <c r="D27" s="424">
        <f>SUM(D23:D26)</f>
        <v>654.76999999999975</v>
      </c>
      <c r="E27" s="330"/>
      <c r="F27" s="330"/>
      <c r="G27" s="425">
        <f>SUM(G23:G25)</f>
        <v>0</v>
      </c>
      <c r="H27" s="414"/>
      <c r="I27" s="414"/>
      <c r="J27" s="426">
        <f>SUM(J23:J25)</f>
        <v>0</v>
      </c>
      <c r="K27" s="330"/>
      <c r="L27" s="330"/>
      <c r="M27" s="427">
        <f>SUM(M23:M25)</f>
        <v>0</v>
      </c>
      <c r="N27" s="411"/>
      <c r="O27" s="411"/>
      <c r="P27" s="442">
        <f>SUM(P23:P26)</f>
        <v>-18.239999999999998</v>
      </c>
      <c r="Q27" s="411"/>
      <c r="R27" s="411"/>
      <c r="S27" s="442">
        <f>SUM(S21:S25)</f>
        <v>0</v>
      </c>
      <c r="T27" s="330"/>
      <c r="U27" s="330"/>
      <c r="V27" s="391"/>
      <c r="W27" s="341"/>
      <c r="X27" s="70"/>
      <c r="Y27" s="117"/>
      <c r="Z27" s="117"/>
      <c r="AC27" s="109"/>
      <c r="AD27" s="109"/>
      <c r="AE27" s="109"/>
      <c r="AF27" s="70"/>
    </row>
    <row r="28" spans="1:32" s="80" customFormat="1" ht="14" thickTop="1">
      <c r="A28" s="416"/>
      <c r="B28" s="430"/>
      <c r="C28" s="430"/>
      <c r="D28" s="389"/>
      <c r="E28" s="330"/>
      <c r="F28" s="330"/>
      <c r="G28" s="403"/>
      <c r="H28" s="414"/>
      <c r="I28" s="414"/>
      <c r="J28" s="419"/>
      <c r="K28" s="330"/>
      <c r="L28" s="330"/>
      <c r="M28" s="411"/>
      <c r="N28" s="411"/>
      <c r="O28" s="411"/>
      <c r="P28" s="411"/>
      <c r="Q28" s="411"/>
      <c r="R28" s="411"/>
      <c r="S28" s="411"/>
      <c r="T28" s="330"/>
      <c r="U28" s="330"/>
      <c r="V28" s="391"/>
      <c r="W28" s="403"/>
      <c r="X28" s="70"/>
      <c r="Y28" s="117"/>
      <c r="Z28" s="117"/>
      <c r="AC28" s="109"/>
      <c r="AD28" s="109"/>
      <c r="AE28" s="109"/>
      <c r="AF28" s="70"/>
    </row>
    <row r="29" spans="1:32" ht="13">
      <c r="A29" s="416"/>
      <c r="B29" s="330"/>
      <c r="C29" s="330"/>
      <c r="D29" s="389"/>
      <c r="E29" s="330"/>
      <c r="F29" s="330"/>
      <c r="G29" s="330"/>
      <c r="H29" s="335"/>
      <c r="I29" s="335"/>
      <c r="J29" s="419"/>
      <c r="K29" s="389"/>
      <c r="L29" s="389"/>
      <c r="M29" s="411"/>
      <c r="N29" s="411"/>
      <c r="O29" s="411"/>
      <c r="P29" s="411"/>
      <c r="Q29" s="411"/>
      <c r="R29" s="411"/>
      <c r="S29" s="411"/>
      <c r="T29" s="330"/>
      <c r="U29" s="330"/>
      <c r="V29" s="391"/>
      <c r="W29" s="403"/>
      <c r="Y29" s="117"/>
      <c r="Z29" s="117"/>
      <c r="AC29" s="109"/>
      <c r="AD29" s="109"/>
      <c r="AE29" s="109"/>
    </row>
    <row r="30" spans="1:32" ht="13">
      <c r="A30" s="79"/>
      <c r="D30" s="73"/>
      <c r="J30" s="77"/>
      <c r="M30" s="76"/>
      <c r="N30" s="76"/>
      <c r="O30" s="76"/>
      <c r="P30" s="76"/>
      <c r="Q30" s="76"/>
      <c r="R30" s="76"/>
      <c r="S30" s="76"/>
      <c r="W30" s="78"/>
      <c r="AC30" s="109"/>
      <c r="AD30" s="109"/>
      <c r="AE30" s="110"/>
    </row>
    <row r="31" spans="1:32" ht="13">
      <c r="J31" s="77"/>
      <c r="M31" s="118"/>
      <c r="N31" s="76"/>
      <c r="O31" s="76"/>
      <c r="P31" s="76"/>
      <c r="Q31" s="76"/>
      <c r="R31" s="76"/>
      <c r="S31" s="76"/>
      <c r="AC31" s="109"/>
      <c r="AD31" s="109"/>
      <c r="AE31" s="109"/>
    </row>
    <row r="32" spans="1:32">
      <c r="H32" s="70"/>
      <c r="I32" s="70"/>
      <c r="M32" s="76"/>
      <c r="N32" s="76"/>
      <c r="O32" s="76"/>
      <c r="P32" s="76"/>
      <c r="Q32" s="76"/>
      <c r="R32" s="76"/>
      <c r="S32" s="76"/>
    </row>
    <row r="33" spans="4:22">
      <c r="D33" s="80"/>
      <c r="G33" s="75"/>
      <c r="H33" s="70"/>
      <c r="I33" s="70"/>
      <c r="K33" s="70"/>
      <c r="L33" s="70"/>
      <c r="M33" s="70"/>
      <c r="N33" s="70"/>
      <c r="O33" s="70"/>
      <c r="P33" s="70"/>
      <c r="Q33" s="70"/>
      <c r="R33" s="70"/>
      <c r="S33" s="70"/>
      <c r="V33" s="70"/>
    </row>
    <row r="34" spans="4:22">
      <c r="D34" s="80"/>
    </row>
    <row r="35" spans="4:22">
      <c r="D35" s="80"/>
    </row>
  </sheetData>
  <mergeCells count="17">
    <mergeCell ref="C22:D22"/>
    <mergeCell ref="I3:J3"/>
    <mergeCell ref="L3:M3"/>
    <mergeCell ref="R3:S3"/>
    <mergeCell ref="R22:S22"/>
    <mergeCell ref="L22:M22"/>
    <mergeCell ref="I22:J22"/>
    <mergeCell ref="F22:G22"/>
    <mergeCell ref="A21:G21"/>
    <mergeCell ref="F3:G3"/>
    <mergeCell ref="O3:P3"/>
    <mergeCell ref="O22:P22"/>
    <mergeCell ref="U3:V3"/>
    <mergeCell ref="S2:W2"/>
    <mergeCell ref="G1:M1"/>
    <mergeCell ref="C3:D3"/>
    <mergeCell ref="A2:P2"/>
  </mergeCells>
  <phoneticPr fontId="68" type="noConversion"/>
  <printOptions horizontalCentered="1"/>
  <pageMargins left="0.43000000000000005" right="0.43000000000000005" top="0.43000000000000005" bottom="1.2700000000000002" header="0.5" footer="0.5"/>
  <pageSetup orientation="landscape" horizontalDpi="300" verticalDpi="300"/>
  <headerFooter alignWithMargins="0">
    <oddFooter>&amp;L&amp;"Times New Roman,Italic"&amp;11&amp;K000000Investment Manager_x000D_Zhaochen Gao_x000D_(217) 323-3359&amp;R&amp;"Times New Roman,Bold Italic"&amp;11&amp;K000000LSXG Pension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/>
  <dimension ref="A1:V51"/>
  <sheetViews>
    <sheetView workbookViewId="0">
      <selection activeCell="N53" sqref="N53"/>
    </sheetView>
  </sheetViews>
  <sheetFormatPr baseColWidth="10" defaultColWidth="9.1640625" defaultRowHeight="12" x14ac:dyDescent="0"/>
  <cols>
    <col min="1" max="1" width="8.5" style="153" bestFit="1" customWidth="1"/>
    <col min="2" max="2" width="2.6640625" style="153" customWidth="1"/>
    <col min="3" max="3" width="23.33203125" style="153" customWidth="1"/>
    <col min="4" max="4" width="7.6640625" style="153" bestFit="1" customWidth="1"/>
    <col min="5" max="5" width="18" style="153" customWidth="1"/>
    <col min="6" max="6" width="17" style="153" customWidth="1"/>
    <col min="7" max="7" width="8.1640625" style="153" customWidth="1"/>
    <col min="8" max="8" width="1.5" style="159" customWidth="1"/>
    <col min="9" max="9" width="12.83203125" style="153" customWidth="1"/>
    <col min="10" max="10" width="1.33203125" style="112" customWidth="1"/>
    <col min="11" max="11" width="14" style="153" customWidth="1"/>
    <col min="12" max="16384" width="9.1640625" style="153"/>
  </cols>
  <sheetData>
    <row r="1" spans="1:22" ht="78.75" customHeight="1">
      <c r="A1" s="172"/>
      <c r="B1" s="173"/>
      <c r="C1" s="173"/>
      <c r="D1" s="701"/>
      <c r="E1" s="701"/>
      <c r="F1" s="701"/>
      <c r="G1" s="701"/>
      <c r="H1" s="701"/>
      <c r="I1" s="173"/>
      <c r="J1" s="174"/>
      <c r="K1" s="175"/>
      <c r="L1"/>
      <c r="M1" s="176"/>
      <c r="N1" s="173"/>
      <c r="O1" s="173"/>
      <c r="P1" s="173"/>
      <c r="Q1" s="173"/>
      <c r="R1" s="173"/>
      <c r="S1" s="173"/>
      <c r="T1" s="173"/>
      <c r="U1" s="173"/>
      <c r="V1" s="173"/>
    </row>
    <row r="2" spans="1:22" ht="18">
      <c r="A2" s="702" t="s">
        <v>73</v>
      </c>
      <c r="B2" s="702"/>
      <c r="C2" s="702"/>
      <c r="D2" s="702"/>
      <c r="E2" s="178"/>
      <c r="F2" s="179"/>
      <c r="G2" s="177"/>
      <c r="H2" s="180"/>
      <c r="I2" s="703">
        <v>42704</v>
      </c>
      <c r="J2" s="703"/>
      <c r="K2" s="703"/>
      <c r="L2"/>
      <c r="M2"/>
      <c r="N2" s="173"/>
      <c r="O2" s="173"/>
      <c r="P2" s="173"/>
      <c r="Q2" s="173"/>
      <c r="R2" s="173"/>
      <c r="S2" s="173"/>
      <c r="T2" s="173"/>
      <c r="U2" s="173"/>
      <c r="V2" s="173"/>
    </row>
    <row r="3" spans="1:22" s="157" customFormat="1">
      <c r="A3" s="454" t="s">
        <v>31</v>
      </c>
      <c r="B3" s="455"/>
      <c r="C3" s="456">
        <v>0</v>
      </c>
      <c r="D3" s="456"/>
      <c r="E3" s="456"/>
      <c r="F3" s="456"/>
      <c r="G3" s="456"/>
      <c r="H3" s="457"/>
      <c r="I3" s="456"/>
      <c r="J3" s="456"/>
      <c r="K3" s="458"/>
      <c r="L3" s="173"/>
      <c r="M3" s="173"/>
      <c r="N3" s="181"/>
      <c r="O3" s="181"/>
      <c r="P3" s="182"/>
      <c r="Q3" s="181"/>
      <c r="R3" s="181"/>
      <c r="S3" s="181"/>
      <c r="T3" s="181"/>
      <c r="U3" s="181"/>
      <c r="V3" s="181"/>
    </row>
    <row r="4" spans="1:22" s="157" customFormat="1">
      <c r="A4" s="459" t="s">
        <v>3</v>
      </c>
      <c r="B4" s="460"/>
      <c r="C4" s="460" t="s">
        <v>4</v>
      </c>
      <c r="D4" s="460" t="s">
        <v>5</v>
      </c>
      <c r="E4" s="459" t="s">
        <v>32</v>
      </c>
      <c r="F4" s="459" t="s">
        <v>33</v>
      </c>
      <c r="G4" s="461" t="s">
        <v>250</v>
      </c>
      <c r="H4" s="459"/>
      <c r="I4" s="462" t="s">
        <v>251</v>
      </c>
      <c r="J4" s="459"/>
      <c r="K4" s="459" t="s">
        <v>36</v>
      </c>
      <c r="L4" s="173"/>
      <c r="M4" s="173"/>
      <c r="N4" s="181"/>
      <c r="O4" s="181"/>
      <c r="P4" s="181"/>
      <c r="Q4" s="181"/>
      <c r="R4" s="181"/>
      <c r="S4" s="181"/>
      <c r="T4" s="181"/>
      <c r="U4" s="181"/>
      <c r="V4" s="181"/>
    </row>
    <row r="5" spans="1:22" s="157" customFormat="1">
      <c r="A5" s="641">
        <v>5500</v>
      </c>
      <c r="B5" s="190"/>
      <c r="C5" s="190" t="s">
        <v>168</v>
      </c>
      <c r="D5" s="288" t="s">
        <v>167</v>
      </c>
      <c r="E5" s="642">
        <v>42677</v>
      </c>
      <c r="F5" s="642">
        <v>42684</v>
      </c>
      <c r="G5" s="643">
        <v>0.56999999999999995</v>
      </c>
      <c r="H5" s="466"/>
      <c r="I5" s="467">
        <f>IF(D5="","",IF($F5&lt;=$I$2,0,$A5*$G5))</f>
        <v>0</v>
      </c>
      <c r="J5" s="467"/>
      <c r="K5" s="467">
        <f>IF(D5="","",IF($F5&lt;=$I$2,$A5*$G5,0))</f>
        <v>3134.9999999999995</v>
      </c>
      <c r="L5" s="173"/>
      <c r="M5" s="173"/>
      <c r="N5" s="181"/>
      <c r="O5" s="181"/>
      <c r="P5" s="181"/>
      <c r="Q5" s="181"/>
      <c r="R5" s="183"/>
      <c r="S5" s="181"/>
      <c r="T5" s="184"/>
      <c r="U5" s="181"/>
      <c r="V5" s="181"/>
    </row>
    <row r="6" spans="1:22" s="157" customFormat="1">
      <c r="A6" s="641">
        <v>6000</v>
      </c>
      <c r="B6" s="190"/>
      <c r="C6" s="190" t="s">
        <v>252</v>
      </c>
      <c r="D6" s="288" t="s">
        <v>173</v>
      </c>
      <c r="E6" s="642">
        <v>42682</v>
      </c>
      <c r="F6" s="642">
        <v>42692</v>
      </c>
      <c r="G6" s="643">
        <v>0.02</v>
      </c>
      <c r="H6" s="466"/>
      <c r="I6" s="467">
        <f t="shared" ref="I6:I12" si="0">IF(D6="","",IF($F6&lt;=$I$2,0,$A6*$G6))</f>
        <v>0</v>
      </c>
      <c r="J6" s="467"/>
      <c r="K6" s="467">
        <f t="shared" ref="K6:K12" si="1">IF(D6="","",IF($F6&lt;=$I$2,$A6*$G6,0))</f>
        <v>120</v>
      </c>
      <c r="L6" s="185"/>
      <c r="M6" s="173"/>
      <c r="N6" s="181"/>
      <c r="O6" s="181"/>
      <c r="P6" s="186"/>
      <c r="Q6" s="186"/>
      <c r="R6" s="183"/>
      <c r="S6" s="181"/>
      <c r="T6" s="184"/>
      <c r="U6" s="181"/>
      <c r="V6" s="184"/>
    </row>
    <row r="7" spans="1:22" s="157" customFormat="1">
      <c r="A7" s="641">
        <v>2000</v>
      </c>
      <c r="B7" s="190"/>
      <c r="C7" s="190" t="s">
        <v>253</v>
      </c>
      <c r="D7" s="288" t="s">
        <v>177</v>
      </c>
      <c r="E7" s="642">
        <v>42690</v>
      </c>
      <c r="F7" s="642">
        <v>42720</v>
      </c>
      <c r="G7" s="643">
        <v>0.85499999999999998</v>
      </c>
      <c r="H7" s="466"/>
      <c r="I7" s="467">
        <f t="shared" si="0"/>
        <v>1710</v>
      </c>
      <c r="J7" s="467"/>
      <c r="K7" s="467">
        <f t="shared" si="1"/>
        <v>0</v>
      </c>
      <c r="L7" s="185"/>
      <c r="M7" s="173"/>
      <c r="N7" s="181"/>
      <c r="O7" s="181"/>
      <c r="P7" s="186"/>
      <c r="Q7" s="186"/>
      <c r="R7" s="183"/>
      <c r="S7" s="181"/>
      <c r="T7" s="184"/>
      <c r="U7" s="181"/>
      <c r="V7" s="184"/>
    </row>
    <row r="8" spans="1:22" s="157" customFormat="1">
      <c r="A8" s="641">
        <v>-2000</v>
      </c>
      <c r="B8" s="190"/>
      <c r="C8" s="190" t="s">
        <v>180</v>
      </c>
      <c r="D8" s="288" t="s">
        <v>179</v>
      </c>
      <c r="E8" s="642">
        <v>42682</v>
      </c>
      <c r="F8" s="642">
        <v>42713</v>
      </c>
      <c r="G8" s="643">
        <v>0.75</v>
      </c>
      <c r="H8" s="466"/>
      <c r="I8" s="467">
        <f t="shared" si="0"/>
        <v>-1500</v>
      </c>
      <c r="J8" s="468"/>
      <c r="K8" s="467">
        <f t="shared" si="1"/>
        <v>0</v>
      </c>
      <c r="L8" s="173"/>
      <c r="M8" s="173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157" customFormat="1">
      <c r="A9" s="641">
        <v>3000</v>
      </c>
      <c r="B9" s="190"/>
      <c r="C9" s="190" t="s">
        <v>182</v>
      </c>
      <c r="D9" s="288" t="s">
        <v>181</v>
      </c>
      <c r="E9" s="642">
        <v>42668</v>
      </c>
      <c r="F9" s="642">
        <v>42705</v>
      </c>
      <c r="G9" s="643">
        <v>0.15</v>
      </c>
      <c r="H9" s="466"/>
      <c r="I9" s="467">
        <f t="shared" si="0"/>
        <v>450</v>
      </c>
      <c r="J9" s="467"/>
      <c r="K9" s="467">
        <f t="shared" si="1"/>
        <v>0</v>
      </c>
      <c r="L9" s="173"/>
      <c r="M9" s="173"/>
      <c r="N9" s="181"/>
      <c r="O9" s="181"/>
      <c r="P9" s="181"/>
      <c r="Q9" s="181"/>
      <c r="R9" s="181"/>
      <c r="S9" s="181"/>
      <c r="T9" s="181"/>
      <c r="U9" s="181"/>
      <c r="V9" s="181"/>
    </row>
    <row r="10" spans="1:22" s="157" customFormat="1">
      <c r="A10" s="641">
        <v>1000</v>
      </c>
      <c r="B10" s="190"/>
      <c r="C10" s="190" t="s">
        <v>254</v>
      </c>
      <c r="D10" s="288" t="s">
        <v>183</v>
      </c>
      <c r="E10" s="642">
        <v>42628</v>
      </c>
      <c r="F10" s="642">
        <v>42668</v>
      </c>
      <c r="G10" s="643">
        <v>0.23</v>
      </c>
      <c r="H10" s="466"/>
      <c r="I10" s="467">
        <f t="shared" si="0"/>
        <v>0</v>
      </c>
      <c r="J10" s="467"/>
      <c r="K10" s="467">
        <f t="shared" si="1"/>
        <v>230</v>
      </c>
      <c r="L10" s="173"/>
      <c r="M10" s="173"/>
      <c r="N10" s="181"/>
      <c r="O10" s="181"/>
      <c r="P10" s="181"/>
      <c r="Q10" s="181"/>
      <c r="R10" s="181"/>
      <c r="S10" s="181"/>
      <c r="T10" s="181"/>
      <c r="U10" s="181"/>
      <c r="V10" s="181"/>
    </row>
    <row r="11" spans="1:22" s="157" customFormat="1">
      <c r="A11" s="641">
        <v>-2000</v>
      </c>
      <c r="B11" s="190"/>
      <c r="C11" s="190" t="s">
        <v>255</v>
      </c>
      <c r="D11" s="288" t="s">
        <v>187</v>
      </c>
      <c r="E11" s="642">
        <v>42647</v>
      </c>
      <c r="F11" s="642">
        <v>42674</v>
      </c>
      <c r="G11" s="643">
        <v>0.48</v>
      </c>
      <c r="H11" s="466"/>
      <c r="I11" s="467">
        <f t="shared" si="0"/>
        <v>0</v>
      </c>
      <c r="J11" s="467"/>
      <c r="K11" s="467">
        <f t="shared" si="1"/>
        <v>-960</v>
      </c>
      <c r="L11" s="173"/>
      <c r="M11" s="173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157" customFormat="1">
      <c r="A12" s="641">
        <v>-4000</v>
      </c>
      <c r="B12" s="190"/>
      <c r="C12" s="190" t="s">
        <v>256</v>
      </c>
      <c r="D12" s="288" t="s">
        <v>201</v>
      </c>
      <c r="E12" s="642">
        <v>42676</v>
      </c>
      <c r="F12" s="642">
        <v>42705</v>
      </c>
      <c r="G12" s="643">
        <v>0.38</v>
      </c>
      <c r="H12" s="466"/>
      <c r="I12" s="467">
        <f t="shared" si="0"/>
        <v>-1520</v>
      </c>
      <c r="J12" s="467"/>
      <c r="K12" s="467">
        <f t="shared" si="1"/>
        <v>0</v>
      </c>
      <c r="L12" s="173"/>
      <c r="M12" s="173"/>
      <c r="N12" s="181"/>
      <c r="O12" s="181"/>
      <c r="P12" s="181"/>
      <c r="Q12" s="181"/>
      <c r="R12" s="181"/>
      <c r="S12" s="181"/>
      <c r="T12" s="181"/>
      <c r="U12" s="181"/>
      <c r="V12" s="181"/>
    </row>
    <row r="13" spans="1:22" s="157" customFormat="1">
      <c r="A13" s="463"/>
      <c r="B13" s="190"/>
      <c r="C13" s="190"/>
      <c r="D13" s="318"/>
      <c r="E13" s="464"/>
      <c r="F13" s="464"/>
      <c r="G13" s="469"/>
      <c r="H13" s="466"/>
      <c r="I13" s="467" t="s">
        <v>257</v>
      </c>
      <c r="J13" s="468"/>
      <c r="K13" s="467" t="s">
        <v>257</v>
      </c>
      <c r="L13" s="173"/>
      <c r="M13" s="173"/>
      <c r="N13" s="181"/>
      <c r="O13" s="181"/>
      <c r="P13" s="181"/>
      <c r="Q13" s="181"/>
      <c r="R13" s="181"/>
      <c r="S13" s="181"/>
      <c r="T13" s="181"/>
      <c r="U13" s="181"/>
      <c r="V13" s="181"/>
    </row>
    <row r="14" spans="1:22" s="157" customFormat="1">
      <c r="A14" s="463"/>
      <c r="B14" s="190"/>
      <c r="C14" s="190"/>
      <c r="D14" s="318"/>
      <c r="E14" s="464"/>
      <c r="F14" s="464"/>
      <c r="G14" s="465"/>
      <c r="H14" s="466"/>
      <c r="I14" s="467" t="s">
        <v>257</v>
      </c>
      <c r="J14" s="468"/>
      <c r="K14" s="467" t="s">
        <v>257</v>
      </c>
      <c r="L14" s="173"/>
      <c r="M14" s="173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157" customFormat="1">
      <c r="A15" s="463"/>
      <c r="B15" s="190"/>
      <c r="C15" s="190"/>
      <c r="D15" s="318"/>
      <c r="E15" s="464"/>
      <c r="F15" s="464"/>
      <c r="G15" s="465"/>
      <c r="H15" s="466"/>
      <c r="I15" s="470">
        <f>SUM(I5:I12)</f>
        <v>-860</v>
      </c>
      <c r="J15" s="468"/>
      <c r="K15" s="470">
        <f>SUM(K5:K12)</f>
        <v>2524.9999999999995</v>
      </c>
      <c r="L15" s="173"/>
      <c r="M15" s="173"/>
      <c r="N15" s="181"/>
      <c r="O15" s="181"/>
      <c r="P15" s="181"/>
      <c r="Q15" s="181"/>
      <c r="R15" s="181"/>
      <c r="S15" s="181"/>
      <c r="T15" s="181"/>
      <c r="U15" s="181"/>
      <c r="V15" s="181"/>
    </row>
    <row r="16" spans="1:22" s="157" customFormat="1">
      <c r="A16" s="206"/>
      <c r="B16" s="192"/>
      <c r="C16" s="215"/>
      <c r="D16" s="192"/>
      <c r="E16" s="471"/>
      <c r="F16" s="471"/>
      <c r="G16" s="472"/>
      <c r="H16" s="473"/>
      <c r="I16" s="218"/>
      <c r="J16" s="276"/>
      <c r="K16" s="218"/>
      <c r="L16" s="153"/>
      <c r="M16" s="153"/>
    </row>
    <row r="17" spans="1:22" s="157" customFormat="1" hidden="1">
      <c r="A17" s="241" t="s">
        <v>31</v>
      </c>
      <c r="B17" s="343"/>
      <c r="C17" s="243" t="str">
        <f>[4]Data!B47</f>
        <v>Canadian Dollars</v>
      </c>
      <c r="D17" s="243"/>
      <c r="E17" s="243"/>
      <c r="F17" s="243"/>
      <c r="G17" s="243"/>
      <c r="H17" s="474"/>
      <c r="I17" s="243"/>
      <c r="J17" s="243"/>
      <c r="K17" s="245"/>
      <c r="L17" s="153"/>
      <c r="M17" s="153"/>
    </row>
    <row r="18" spans="1:22" s="157" customFormat="1" hidden="1">
      <c r="A18" s="475" t="s">
        <v>3</v>
      </c>
      <c r="B18" s="192"/>
      <c r="C18" s="302" t="s">
        <v>4</v>
      </c>
      <c r="D18" s="302" t="s">
        <v>5</v>
      </c>
      <c r="E18" s="475" t="s">
        <v>32</v>
      </c>
      <c r="F18" s="475" t="s">
        <v>33</v>
      </c>
      <c r="G18" s="476" t="s">
        <v>34</v>
      </c>
      <c r="H18" s="473"/>
      <c r="I18" s="477" t="s">
        <v>35</v>
      </c>
      <c r="J18" s="475"/>
      <c r="K18" s="475" t="s">
        <v>36</v>
      </c>
      <c r="L18" s="153"/>
      <c r="M18" s="153"/>
    </row>
    <row r="19" spans="1:22" s="157" customFormat="1" hidden="1">
      <c r="A19" s="478"/>
      <c r="B19" s="192"/>
      <c r="C19" s="215" t="str">
        <f>IF(D19="","",PROPER(VLOOKUP(D19,Data!$A$3:$B$33,2,FALSE)))</f>
        <v/>
      </c>
      <c r="D19" s="246"/>
      <c r="E19" s="479"/>
      <c r="F19" s="479"/>
      <c r="G19" s="480"/>
      <c r="H19" s="473" t="str">
        <f>IF(E19&lt;=$I$2,"","INVALID DIVIDEND")</f>
        <v/>
      </c>
      <c r="I19" s="267" t="str">
        <f>IF(D19="","",IF($F19&lt;$I$2,0,$A19*$G19))</f>
        <v/>
      </c>
      <c r="J19" s="247"/>
      <c r="K19" s="267" t="str">
        <f>IF(D19="","",IF($F19&lt;$I$2,$A19*$G19,0))</f>
        <v/>
      </c>
      <c r="L19" s="153"/>
      <c r="M19" s="153"/>
    </row>
    <row r="20" spans="1:22" s="157" customFormat="1" hidden="1">
      <c r="A20" s="478"/>
      <c r="B20" s="192"/>
      <c r="C20" s="215" t="str">
        <f>IF(D20="","",PROPER(VLOOKUP(D20,Data!$A$3:$B$33,2,FALSE)))</f>
        <v/>
      </c>
      <c r="D20" s="246"/>
      <c r="E20" s="481"/>
      <c r="F20" s="481"/>
      <c r="G20" s="482"/>
      <c r="H20" s="473" t="str">
        <f>IF(E20&lt;=$I$2,"","INVALID DIVIDEND")</f>
        <v/>
      </c>
      <c r="I20" s="267" t="str">
        <f>IF(D20="","",IF($F20&lt;$I$2,0,$A20*$G20))</f>
        <v/>
      </c>
      <c r="J20" s="247"/>
      <c r="K20" s="267" t="str">
        <f>IF(D20="","",IF($F20&lt;$I$2,$A20*$G20,0))</f>
        <v/>
      </c>
      <c r="L20" s="153"/>
      <c r="M20" s="153"/>
    </row>
    <row r="21" spans="1:22" s="157" customFormat="1" hidden="1">
      <c r="A21" s="206"/>
      <c r="B21" s="192"/>
      <c r="C21" s="215" t="str">
        <f>IF(D21="","",PROPER(VLOOKUP(D21,Data!$A$3:$B$33,2,FALSE)))</f>
        <v/>
      </c>
      <c r="D21" s="192"/>
      <c r="E21" s="471"/>
      <c r="F21" s="471"/>
      <c r="G21" s="472"/>
      <c r="H21" s="473" t="str">
        <f>IF(E21&lt;=$I$2,"","INVALID DIVIDEND")</f>
        <v/>
      </c>
      <c r="I21" s="483">
        <v>0</v>
      </c>
      <c r="J21" s="484"/>
      <c r="K21" s="483">
        <f>SUM(K19:K20)</f>
        <v>0</v>
      </c>
      <c r="L21" s="153"/>
      <c r="M21" s="153"/>
    </row>
    <row r="22" spans="1:22" s="157" customFormat="1" hidden="1">
      <c r="A22" s="206"/>
      <c r="B22" s="192"/>
      <c r="C22" s="252"/>
      <c r="D22" s="192"/>
      <c r="E22" s="471"/>
      <c r="F22" s="471"/>
      <c r="G22" s="472"/>
      <c r="H22" s="473"/>
      <c r="I22" s="483"/>
      <c r="J22" s="484"/>
      <c r="K22" s="483"/>
      <c r="L22" s="153"/>
      <c r="M22" s="153"/>
    </row>
    <row r="23" spans="1:22" s="157" customFormat="1" hidden="1">
      <c r="A23" s="485" t="s">
        <v>31</v>
      </c>
      <c r="B23" s="486"/>
      <c r="C23" s="487" t="s">
        <v>51</v>
      </c>
      <c r="D23" s="487"/>
      <c r="E23" s="487"/>
      <c r="F23" s="487"/>
      <c r="G23" s="487"/>
      <c r="H23" s="488"/>
      <c r="I23" s="487"/>
      <c r="J23" s="487"/>
      <c r="K23" s="489"/>
      <c r="L23" s="173"/>
      <c r="M23" s="173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157" customFormat="1" ht="12" hidden="1" customHeight="1">
      <c r="A24" s="459" t="s">
        <v>3</v>
      </c>
      <c r="B24" s="190"/>
      <c r="C24" s="460" t="s">
        <v>4</v>
      </c>
      <c r="D24" s="460" t="s">
        <v>5</v>
      </c>
      <c r="E24" s="459" t="s">
        <v>32</v>
      </c>
      <c r="F24" s="459" t="s">
        <v>33</v>
      </c>
      <c r="G24" s="490" t="s">
        <v>250</v>
      </c>
      <c r="H24" s="466"/>
      <c r="I24" s="462" t="s">
        <v>251</v>
      </c>
      <c r="J24" s="459"/>
      <c r="K24" s="459" t="s">
        <v>36</v>
      </c>
      <c r="L24" s="173"/>
      <c r="M24" s="173"/>
      <c r="N24" s="181"/>
      <c r="O24" s="181"/>
      <c r="P24" s="181"/>
      <c r="Q24" s="181"/>
      <c r="R24" s="181"/>
      <c r="S24" s="181"/>
      <c r="T24" s="181"/>
      <c r="U24" s="181"/>
      <c r="V24" s="181"/>
    </row>
    <row r="25" spans="1:22" s="157" customFormat="1" hidden="1">
      <c r="A25" s="463"/>
      <c r="B25" s="190"/>
      <c r="C25" s="190"/>
      <c r="D25" s="318"/>
      <c r="E25" s="464"/>
      <c r="F25" s="464"/>
      <c r="G25" s="465"/>
      <c r="H25" s="466"/>
      <c r="I25" s="467" t="s">
        <v>257</v>
      </c>
      <c r="J25" s="467"/>
      <c r="K25" s="467" t="s">
        <v>257</v>
      </c>
      <c r="L25" s="173"/>
      <c r="M25" s="173"/>
      <c r="N25" s="181"/>
      <c r="O25" s="181"/>
      <c r="P25" s="181"/>
      <c r="Q25" s="181"/>
      <c r="R25" s="181"/>
      <c r="S25" s="181"/>
      <c r="T25" s="181"/>
      <c r="U25" s="181"/>
      <c r="V25" s="181"/>
    </row>
    <row r="26" spans="1:22" s="157" customFormat="1" hidden="1">
      <c r="A26" s="491"/>
      <c r="B26" s="190"/>
      <c r="C26" s="190"/>
      <c r="D26" s="190"/>
      <c r="E26" s="492"/>
      <c r="F26" s="492"/>
      <c r="G26" s="493"/>
      <c r="H26" s="466"/>
      <c r="I26" s="494">
        <v>0</v>
      </c>
      <c r="J26" s="495"/>
      <c r="K26" s="494">
        <v>0</v>
      </c>
      <c r="L26" s="173"/>
      <c r="M26" s="173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157" customFormat="1" hidden="1">
      <c r="A27" s="491"/>
      <c r="B27" s="190"/>
      <c r="C27" s="190"/>
      <c r="D27" s="190"/>
      <c r="E27" s="492"/>
      <c r="F27" s="492"/>
      <c r="G27" s="493"/>
      <c r="H27" s="466"/>
      <c r="I27" s="468"/>
      <c r="J27" s="468"/>
      <c r="K27" s="468"/>
      <c r="L27" s="173"/>
      <c r="M27" s="173"/>
      <c r="N27" s="181"/>
      <c r="O27" s="181"/>
      <c r="P27" s="181"/>
      <c r="Q27" s="181"/>
      <c r="R27" s="181"/>
      <c r="S27" s="181"/>
      <c r="T27" s="181"/>
      <c r="U27" s="181"/>
      <c r="V27" s="181"/>
    </row>
    <row r="28" spans="1:22" s="157" customFormat="1" hidden="1">
      <c r="A28" s="496" t="s">
        <v>31</v>
      </c>
      <c r="B28" s="497"/>
      <c r="C28" s="498" t="s">
        <v>52</v>
      </c>
      <c r="D28" s="498"/>
      <c r="E28" s="498"/>
      <c r="F28" s="498"/>
      <c r="G28" s="498"/>
      <c r="H28" s="499"/>
      <c r="I28" s="498"/>
      <c r="J28" s="498"/>
      <c r="K28" s="500"/>
      <c r="L28" s="173"/>
      <c r="M28" s="173"/>
      <c r="N28" s="181"/>
      <c r="O28" s="181"/>
      <c r="P28" s="182"/>
      <c r="Q28" s="181"/>
      <c r="R28" s="181"/>
      <c r="S28" s="181"/>
      <c r="T28" s="181"/>
      <c r="U28" s="181"/>
      <c r="V28" s="181"/>
    </row>
    <row r="29" spans="1:22" s="157" customFormat="1" hidden="1">
      <c r="A29" s="459" t="s">
        <v>3</v>
      </c>
      <c r="B29" s="460"/>
      <c r="C29" s="460" t="s">
        <v>4</v>
      </c>
      <c r="D29" s="460" t="s">
        <v>5</v>
      </c>
      <c r="E29" s="459" t="s">
        <v>32</v>
      </c>
      <c r="F29" s="459" t="s">
        <v>33</v>
      </c>
      <c r="G29" s="490" t="s">
        <v>250</v>
      </c>
      <c r="H29" s="466"/>
      <c r="I29" s="462" t="s">
        <v>251</v>
      </c>
      <c r="J29" s="459"/>
      <c r="K29" s="459" t="s">
        <v>36</v>
      </c>
      <c r="L29" s="173"/>
      <c r="M29" s="173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157" customFormat="1" hidden="1">
      <c r="A30" s="463"/>
      <c r="B30" s="190"/>
      <c r="C30" s="190"/>
      <c r="D30" s="318"/>
      <c r="E30" s="464"/>
      <c r="F30" s="464"/>
      <c r="G30" s="465"/>
      <c r="H30" s="466"/>
      <c r="I30" s="467" t="s">
        <v>257</v>
      </c>
      <c r="J30" s="467"/>
      <c r="K30" s="467" t="s">
        <v>257</v>
      </c>
      <c r="L30" s="173"/>
      <c r="M30" s="173"/>
      <c r="N30" s="181"/>
      <c r="O30" s="181"/>
      <c r="P30" s="181"/>
      <c r="Q30" s="181"/>
      <c r="R30" s="181"/>
      <c r="S30" s="181"/>
      <c r="T30" s="181"/>
      <c r="U30" s="181"/>
      <c r="V30" s="181"/>
    </row>
    <row r="31" spans="1:22" s="157" customFormat="1" hidden="1">
      <c r="A31" s="491"/>
      <c r="B31" s="190"/>
      <c r="C31" s="190"/>
      <c r="D31" s="190"/>
      <c r="E31" s="492"/>
      <c r="F31" s="492"/>
      <c r="G31" s="493"/>
      <c r="H31" s="466"/>
      <c r="I31" s="501">
        <v>0</v>
      </c>
      <c r="J31" s="495"/>
      <c r="K31" s="501">
        <v>0</v>
      </c>
      <c r="L31" s="173"/>
      <c r="M31" s="173"/>
      <c r="N31" s="181"/>
      <c r="O31" s="181"/>
      <c r="P31" s="181"/>
      <c r="Q31" s="181"/>
      <c r="R31" s="181"/>
      <c r="S31" s="181"/>
      <c r="T31" s="181"/>
      <c r="U31" s="181"/>
      <c r="V31" s="181"/>
    </row>
    <row r="32" spans="1:22" s="157" customFormat="1" hidden="1">
      <c r="A32" s="190"/>
      <c r="B32" s="190"/>
      <c r="C32" s="190"/>
      <c r="D32" s="190"/>
      <c r="E32" s="190"/>
      <c r="F32" s="190"/>
      <c r="G32" s="190"/>
      <c r="H32" s="493"/>
      <c r="I32" s="495"/>
      <c r="J32" s="495"/>
      <c r="K32" s="495"/>
      <c r="L32" s="173"/>
      <c r="M32" s="173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157" customFormat="1" hidden="1">
      <c r="A33" s="502" t="s">
        <v>31</v>
      </c>
      <c r="B33" s="503"/>
      <c r="C33" s="504" t="s">
        <v>102</v>
      </c>
      <c r="D33" s="504"/>
      <c r="E33" s="504"/>
      <c r="F33" s="504"/>
      <c r="G33" s="504"/>
      <c r="H33" s="505"/>
      <c r="I33" s="504"/>
      <c r="J33" s="504"/>
      <c r="K33" s="506"/>
      <c r="L33" s="173"/>
      <c r="M33" s="173"/>
      <c r="N33" s="181"/>
      <c r="O33" s="181"/>
      <c r="P33" s="181"/>
      <c r="Q33" s="181"/>
      <c r="R33" s="181"/>
      <c r="S33" s="181"/>
      <c r="T33" s="181"/>
      <c r="U33" s="181"/>
      <c r="V33" s="181"/>
    </row>
    <row r="34" spans="1:22" s="157" customFormat="1" hidden="1">
      <c r="A34" s="459" t="s">
        <v>3</v>
      </c>
      <c r="B34" s="460"/>
      <c r="C34" s="460" t="s">
        <v>4</v>
      </c>
      <c r="D34" s="460" t="s">
        <v>5</v>
      </c>
      <c r="E34" s="459" t="s">
        <v>32</v>
      </c>
      <c r="F34" s="459" t="s">
        <v>33</v>
      </c>
      <c r="G34" s="490" t="s">
        <v>250</v>
      </c>
      <c r="H34" s="466"/>
      <c r="I34" s="462" t="s">
        <v>251</v>
      </c>
      <c r="J34" s="459"/>
      <c r="K34" s="459" t="s">
        <v>36</v>
      </c>
      <c r="L34" s="173"/>
      <c r="M34" s="173"/>
      <c r="N34" s="181"/>
      <c r="O34" s="181"/>
      <c r="P34" s="181"/>
      <c r="Q34" s="181"/>
      <c r="R34" s="181"/>
      <c r="S34" s="181"/>
      <c r="T34" s="181"/>
      <c r="U34" s="181"/>
      <c r="V34" s="181"/>
    </row>
    <row r="35" spans="1:22" s="157" customFormat="1" hidden="1">
      <c r="A35" s="463"/>
      <c r="B35" s="190"/>
      <c r="C35" s="190"/>
      <c r="D35" s="318"/>
      <c r="E35" s="464"/>
      <c r="F35" s="464"/>
      <c r="G35" s="465"/>
      <c r="H35" s="466"/>
      <c r="I35" s="467" t="s">
        <v>257</v>
      </c>
      <c r="J35" s="495"/>
      <c r="K35" s="467" t="s">
        <v>257</v>
      </c>
      <c r="L35" s="173"/>
      <c r="M35" s="173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s="157" customFormat="1" ht="12" hidden="1" customHeight="1">
      <c r="A36" s="491"/>
      <c r="B36" s="190"/>
      <c r="C36" s="190"/>
      <c r="D36" s="190"/>
      <c r="E36" s="492"/>
      <c r="F36" s="492"/>
      <c r="G36" s="493"/>
      <c r="H36" s="466"/>
      <c r="I36" s="507">
        <v>0</v>
      </c>
      <c r="J36" s="495"/>
      <c r="K36" s="508">
        <v>0</v>
      </c>
      <c r="L36" s="173"/>
      <c r="M36" s="173"/>
      <c r="N36" s="181"/>
      <c r="O36" s="181"/>
      <c r="P36" s="181"/>
      <c r="Q36" s="181"/>
      <c r="R36" s="181"/>
      <c r="S36" s="181"/>
      <c r="T36" s="181"/>
      <c r="U36" s="181"/>
      <c r="V36" s="181"/>
    </row>
    <row r="37" spans="1:22" s="157" customFormat="1" hidden="1">
      <c r="A37" s="190"/>
      <c r="B37" s="190"/>
      <c r="C37" s="190"/>
      <c r="D37" s="190"/>
      <c r="E37" s="190"/>
      <c r="F37" s="190"/>
      <c r="G37" s="190"/>
      <c r="H37" s="493"/>
      <c r="I37" s="495"/>
      <c r="J37" s="495"/>
      <c r="K37" s="495"/>
      <c r="L37" s="173"/>
      <c r="M37" s="173"/>
      <c r="N37" s="181"/>
      <c r="O37" s="181"/>
      <c r="P37" s="181"/>
      <c r="Q37" s="181"/>
      <c r="R37" s="181"/>
      <c r="S37" s="181"/>
      <c r="T37" s="181"/>
      <c r="U37" s="181"/>
      <c r="V37" s="181"/>
    </row>
    <row r="38" spans="1:22" s="157" customFormat="1" hidden="1">
      <c r="A38" s="509" t="s">
        <v>31</v>
      </c>
      <c r="B38" s="510"/>
      <c r="C38" s="511" t="s">
        <v>81</v>
      </c>
      <c r="D38" s="511"/>
      <c r="E38" s="511"/>
      <c r="F38" s="511"/>
      <c r="G38" s="511"/>
      <c r="H38" s="512"/>
      <c r="I38" s="511"/>
      <c r="J38" s="511"/>
      <c r="K38" s="513"/>
      <c r="L38" s="173"/>
      <c r="M38" s="173"/>
      <c r="N38" s="181"/>
      <c r="O38" s="181"/>
      <c r="P38" s="181"/>
      <c r="Q38" s="181"/>
      <c r="R38" s="181"/>
      <c r="S38" s="181"/>
      <c r="T38" s="181"/>
      <c r="U38" s="181"/>
      <c r="V38" s="181"/>
    </row>
    <row r="39" spans="1:22" s="157" customFormat="1" hidden="1">
      <c r="A39" s="459" t="s">
        <v>3</v>
      </c>
      <c r="B39" s="460"/>
      <c r="C39" s="460" t="s">
        <v>4</v>
      </c>
      <c r="D39" s="460" t="s">
        <v>5</v>
      </c>
      <c r="E39" s="459" t="s">
        <v>32</v>
      </c>
      <c r="F39" s="459" t="s">
        <v>33</v>
      </c>
      <c r="G39" s="490" t="s">
        <v>250</v>
      </c>
      <c r="H39" s="466"/>
      <c r="I39" s="462" t="s">
        <v>251</v>
      </c>
      <c r="J39" s="459"/>
      <c r="K39" s="459" t="s">
        <v>36</v>
      </c>
      <c r="L39" s="181"/>
      <c r="M39" s="181"/>
      <c r="N39" s="181"/>
      <c r="O39" s="181"/>
      <c r="P39" s="181"/>
      <c r="Q39" s="181"/>
      <c r="R39" s="181"/>
      <c r="S39" s="181"/>
      <c r="T39" s="181"/>
      <c r="U39" s="181"/>
      <c r="V39" s="181"/>
    </row>
    <row r="40" spans="1:22" s="157" customFormat="1" hidden="1">
      <c r="A40" s="463"/>
      <c r="B40" s="190"/>
      <c r="C40" s="190"/>
      <c r="D40" s="318"/>
      <c r="E40" s="464"/>
      <c r="F40" s="464"/>
      <c r="G40" s="465"/>
      <c r="H40" s="466"/>
      <c r="I40" s="467" t="s">
        <v>257</v>
      </c>
      <c r="J40" s="495"/>
      <c r="K40" s="467" t="s">
        <v>257</v>
      </c>
      <c r="L40" s="181"/>
      <c r="M40" s="181"/>
      <c r="N40" s="181"/>
      <c r="O40" s="181"/>
      <c r="P40" s="181"/>
      <c r="Q40" s="181"/>
      <c r="R40" s="181"/>
      <c r="S40" s="181"/>
      <c r="T40" s="181"/>
      <c r="U40" s="181"/>
      <c r="V40" s="181"/>
    </row>
    <row r="41" spans="1:22" s="157" customFormat="1" hidden="1">
      <c r="A41" s="491"/>
      <c r="B41" s="190"/>
      <c r="C41" s="190"/>
      <c r="D41" s="190"/>
      <c r="E41" s="492"/>
      <c r="F41" s="492"/>
      <c r="G41" s="493"/>
      <c r="H41" s="466"/>
      <c r="I41" s="514">
        <v>0</v>
      </c>
      <c r="J41" s="495"/>
      <c r="K41" s="514">
        <v>0</v>
      </c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81"/>
    </row>
    <row r="42" spans="1:22" s="157" customFormat="1" ht="11" hidden="1">
      <c r="A42" s="515"/>
      <c r="B42" s="515"/>
      <c r="C42" s="515"/>
      <c r="D42" s="515"/>
      <c r="E42" s="515"/>
      <c r="F42" s="515"/>
      <c r="G42" s="515"/>
      <c r="H42" s="516"/>
      <c r="I42" s="515"/>
      <c r="J42" s="517"/>
      <c r="K42" s="515"/>
      <c r="L42" s="181"/>
      <c r="M42" s="181"/>
      <c r="N42" s="181"/>
      <c r="O42" s="181"/>
      <c r="P42" s="181"/>
      <c r="Q42" s="181"/>
      <c r="R42" s="181"/>
      <c r="S42" s="181"/>
      <c r="T42" s="181"/>
      <c r="U42" s="181"/>
      <c r="V42" s="181"/>
    </row>
    <row r="43" spans="1:22" s="157" customFormat="1" ht="11" hidden="1">
      <c r="A43" s="181"/>
      <c r="B43" s="181"/>
      <c r="C43" s="181"/>
      <c r="D43" s="181"/>
      <c r="E43" s="181"/>
      <c r="F43" s="181"/>
      <c r="G43" s="181"/>
      <c r="H43" s="183"/>
      <c r="I43" s="181"/>
      <c r="J43" s="184"/>
      <c r="K43" s="181"/>
      <c r="L43" s="181"/>
      <c r="M43" s="181"/>
      <c r="N43" s="181"/>
      <c r="O43" s="181"/>
      <c r="P43" s="181"/>
      <c r="Q43" s="181"/>
      <c r="R43" s="181"/>
      <c r="S43" s="181"/>
      <c r="T43" s="181"/>
      <c r="U43" s="181"/>
      <c r="V43" s="181"/>
    </row>
    <row r="44" spans="1:22" s="157" customFormat="1" ht="11">
      <c r="A44" s="181"/>
      <c r="B44" s="181"/>
      <c r="C44" s="181"/>
      <c r="D44" s="181"/>
      <c r="E44" s="181"/>
      <c r="F44" s="181"/>
      <c r="G44" s="181"/>
      <c r="H44" s="183"/>
      <c r="I44" s="181"/>
      <c r="J44" s="184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</row>
    <row r="45" spans="1:22" s="157" customFormat="1" ht="11">
      <c r="A45" s="181"/>
      <c r="B45" s="181"/>
      <c r="C45" s="181"/>
      <c r="D45" s="181"/>
      <c r="E45" s="181"/>
      <c r="F45" s="181"/>
      <c r="G45" s="181"/>
      <c r="H45" s="183"/>
      <c r="I45" s="181"/>
      <c r="J45" s="184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</row>
    <row r="46" spans="1:22" s="157" customFormat="1" ht="11">
      <c r="A46" s="181"/>
      <c r="B46" s="181"/>
      <c r="C46" s="181"/>
      <c r="D46" s="181"/>
      <c r="E46" s="181"/>
      <c r="F46" s="181"/>
      <c r="G46" s="181"/>
      <c r="H46" s="183"/>
      <c r="I46" s="181"/>
      <c r="J46" s="184"/>
      <c r="K46" s="181"/>
      <c r="L46" s="181"/>
      <c r="M46" s="181"/>
      <c r="N46" s="181"/>
      <c r="O46" s="181"/>
      <c r="P46" s="181"/>
      <c r="Q46" s="181"/>
      <c r="R46" s="181"/>
      <c r="S46" s="181"/>
      <c r="T46" s="181"/>
      <c r="U46" s="181"/>
      <c r="V46" s="181"/>
    </row>
    <row r="47" spans="1:22" s="157" customFormat="1" ht="11">
      <c r="A47" s="181"/>
      <c r="B47" s="181"/>
      <c r="C47" s="181"/>
      <c r="D47" s="181"/>
      <c r="E47" s="181"/>
      <c r="F47" s="181"/>
      <c r="G47" s="181"/>
      <c r="H47" s="183"/>
      <c r="I47" s="181"/>
      <c r="J47" s="184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81"/>
    </row>
    <row r="48" spans="1:22" s="157" customFormat="1" ht="11">
      <c r="A48" s="181"/>
      <c r="B48" s="181"/>
      <c r="C48" s="181"/>
      <c r="D48" s="181"/>
      <c r="E48" s="181"/>
      <c r="F48" s="181"/>
      <c r="G48" s="181"/>
      <c r="H48" s="183"/>
      <c r="I48" s="181"/>
      <c r="J48" s="184"/>
      <c r="K48" s="181"/>
      <c r="L48" s="181"/>
      <c r="M48" s="181"/>
      <c r="N48" s="181"/>
      <c r="O48" s="181"/>
      <c r="P48" s="181"/>
      <c r="Q48" s="181"/>
      <c r="R48" s="181"/>
      <c r="S48" s="181"/>
      <c r="T48" s="181"/>
      <c r="U48" s="181"/>
      <c r="V48" s="181"/>
    </row>
    <row r="49" spans="1:22" s="157" customFormat="1" ht="11">
      <c r="A49" s="181"/>
      <c r="B49" s="181"/>
      <c r="C49" s="181"/>
      <c r="D49" s="181"/>
      <c r="E49" s="181"/>
      <c r="F49" s="181"/>
      <c r="G49" s="181"/>
      <c r="H49" s="183"/>
      <c r="I49" s="181"/>
      <c r="J49" s="184"/>
      <c r="K49" s="181"/>
      <c r="L49" s="181"/>
      <c r="M49" s="181"/>
      <c r="N49" s="181"/>
      <c r="O49" s="181"/>
      <c r="P49" s="181"/>
      <c r="Q49" s="181"/>
      <c r="R49" s="181"/>
      <c r="S49" s="181"/>
      <c r="T49" s="181"/>
      <c r="U49" s="181"/>
      <c r="V49" s="181"/>
    </row>
    <row r="50" spans="1:22" s="157" customFormat="1" ht="11">
      <c r="H50" s="161"/>
      <c r="J50" s="111"/>
    </row>
    <row r="51" spans="1:22" s="157" customFormat="1" ht="11">
      <c r="H51" s="161"/>
      <c r="J51" s="111"/>
    </row>
  </sheetData>
  <sortState ref="A5:G7">
    <sortCondition ref="C5:C7"/>
  </sortState>
  <mergeCells count="3">
    <mergeCell ref="D1:H1"/>
    <mergeCell ref="A2:D2"/>
    <mergeCell ref="I2:K2"/>
  </mergeCells>
  <phoneticPr fontId="68" type="noConversion"/>
  <printOptions horizontalCentered="1"/>
  <pageMargins left="0.42913385826771655" right="0.42913385826771655" top="0.42913385826771655" bottom="1.2700000000000002" header="0.5" footer="0.5"/>
  <pageSetup orientation="landscape" horizontalDpi="300" verticalDpi="300"/>
  <headerFooter alignWithMargins="0">
    <oddFooter>&amp;L&amp;"Times New Roman,Italic"&amp;11&amp;K000000Investment Manager_x000D_Zhaochen Gao_x000D_(217) 323-3359&amp;R&amp;"Times New Roman,Bold Italic"&amp;11&amp;K000000LSXG Pension</oddFooter>
  </headerFooter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N39"/>
  <sheetViews>
    <sheetView workbookViewId="0">
      <selection activeCell="S26" sqref="S26"/>
    </sheetView>
  </sheetViews>
  <sheetFormatPr baseColWidth="10" defaultColWidth="9.1640625" defaultRowHeight="12" x14ac:dyDescent="0"/>
  <cols>
    <col min="1" max="1" width="21.6640625" style="153" bestFit="1" customWidth="1"/>
    <col min="2" max="2" width="1.5" style="153" bestFit="1" customWidth="1"/>
    <col min="3" max="3" width="14.5" style="153" bestFit="1" customWidth="1"/>
    <col min="4" max="4" width="1.5" style="153" bestFit="1" customWidth="1"/>
    <col min="5" max="5" width="14.1640625" style="153" customWidth="1"/>
    <col min="6" max="6" width="1.5" style="155" bestFit="1" customWidth="1"/>
    <col min="7" max="7" width="15.5" style="153" bestFit="1" customWidth="1"/>
    <col min="8" max="8" width="1.5" style="112" bestFit="1" customWidth="1"/>
    <col min="9" max="9" width="13.83203125" style="154" customWidth="1"/>
    <col min="10" max="10" width="1.5" style="168" bestFit="1" customWidth="1"/>
    <col min="11" max="11" width="13.5" style="168" customWidth="1"/>
    <col min="12" max="12" width="1.5" style="168" customWidth="1"/>
    <col min="13" max="13" width="17.1640625" style="153" customWidth="1"/>
    <col min="14" max="14" width="14" style="153" bestFit="1" customWidth="1"/>
    <col min="15" max="16384" width="9.1640625" style="153"/>
  </cols>
  <sheetData>
    <row r="1" spans="1:14" ht="78.75" customHeight="1">
      <c r="A1" s="156"/>
      <c r="B1" s="156"/>
      <c r="E1" s="705"/>
      <c r="F1" s="705"/>
      <c r="G1" s="705"/>
      <c r="H1" s="705"/>
      <c r="I1" s="705"/>
    </row>
    <row r="2" spans="1:14" ht="18">
      <c r="A2" s="662" t="s">
        <v>61</v>
      </c>
      <c r="B2" s="662"/>
      <c r="C2" s="662"/>
      <c r="D2" s="662"/>
      <c r="E2" s="169"/>
      <c r="G2" s="169"/>
      <c r="H2" s="160"/>
      <c r="I2" s="658">
        <f>Date</f>
        <v>42704</v>
      </c>
      <c r="J2" s="658"/>
      <c r="K2" s="658"/>
      <c r="L2" s="658"/>
      <c r="M2" s="658"/>
    </row>
    <row r="3" spans="1:14">
      <c r="A3" s="518" t="s">
        <v>61</v>
      </c>
      <c r="B3" s="519"/>
      <c r="C3" s="518" t="str">
        <f>[3]Data!B44</f>
        <v>US Dollars</v>
      </c>
      <c r="D3" s="520"/>
      <c r="E3" s="521" t="str">
        <f>[3]Data!B45</f>
        <v>Euro</v>
      </c>
      <c r="F3" s="192"/>
      <c r="G3" s="522" t="str">
        <f>[3]Data!B46</f>
        <v>Pounds Sterling</v>
      </c>
      <c r="H3" s="192"/>
      <c r="I3" s="523" t="str">
        <f>[3]Data!B47</f>
        <v>Canadian Dollars</v>
      </c>
      <c r="J3" s="524"/>
      <c r="K3" s="525" t="str">
        <f>[3]Data!B48</f>
        <v>Chinese Yuan</v>
      </c>
      <c r="L3" s="524"/>
      <c r="M3" s="526" t="str">
        <f>[3]Data!B49</f>
        <v>Japanese Yen</v>
      </c>
    </row>
    <row r="4" spans="1:14">
      <c r="A4" s="354" t="s">
        <v>27</v>
      </c>
      <c r="B4" s="527"/>
      <c r="C4" s="644">
        <v>4000000</v>
      </c>
      <c r="D4" s="520"/>
      <c r="E4" s="247"/>
      <c r="F4" s="527"/>
      <c r="G4" s="247"/>
      <c r="H4" s="218"/>
      <c r="I4" s="247"/>
      <c r="J4" s="524"/>
      <c r="K4" s="524"/>
      <c r="L4" s="524"/>
      <c r="M4" s="528"/>
      <c r="N4" s="170"/>
    </row>
    <row r="5" spans="1:14">
      <c r="A5" s="354" t="s">
        <v>28</v>
      </c>
      <c r="B5" s="354"/>
      <c r="C5" s="247">
        <f>SUMIF(EquityT!$E5:$E48,"&gt;0",EquityT!$G5:$G48)*-1</f>
        <v>-9185975</v>
      </c>
      <c r="D5" s="218"/>
      <c r="E5" s="247"/>
      <c r="F5" s="354"/>
      <c r="G5" s="247"/>
      <c r="H5" s="218"/>
      <c r="I5" s="247"/>
      <c r="J5" s="529"/>
      <c r="K5" s="247">
        <f>SUMIF(EquityT!E79,"&gt;0",EquityT!G79)*-1</f>
        <v>-8605</v>
      </c>
      <c r="L5" s="529"/>
      <c r="M5" s="247"/>
      <c r="N5" s="170"/>
    </row>
    <row r="6" spans="1:14">
      <c r="A6" s="354" t="s">
        <v>29</v>
      </c>
      <c r="B6" s="354"/>
      <c r="C6" s="267">
        <f>SUMIF(EquityT!$E5:$E48,"&lt;0",EquityT!$G5:$G48)*-1</f>
        <v>7124210</v>
      </c>
      <c r="D6" s="276"/>
      <c r="E6" s="247"/>
      <c r="F6" s="276"/>
      <c r="G6" s="247"/>
      <c r="H6" s="276"/>
      <c r="I6" s="267"/>
      <c r="J6" s="529"/>
      <c r="K6" s="247">
        <f>SUMIF(EquityT!E79,"&lt;0",EquityT!G79)*-1</f>
        <v>0</v>
      </c>
      <c r="L6" s="529"/>
      <c r="M6" s="247"/>
      <c r="N6" s="170"/>
    </row>
    <row r="7" spans="1:14">
      <c r="A7" s="530" t="s">
        <v>17</v>
      </c>
      <c r="B7" s="531"/>
      <c r="C7" s="267">
        <f>-EquityT!$H$49</f>
        <v>-440</v>
      </c>
      <c r="D7" s="192"/>
      <c r="E7" s="247"/>
      <c r="F7" s="192"/>
      <c r="G7" s="267"/>
      <c r="H7" s="192"/>
      <c r="I7" s="267"/>
      <c r="J7" s="529"/>
      <c r="K7" s="247">
        <f>-EquityT!H79</f>
        <v>-10</v>
      </c>
      <c r="L7" s="529"/>
      <c r="M7" s="247"/>
      <c r="N7" s="170"/>
    </row>
    <row r="8" spans="1:14">
      <c r="A8" s="532" t="s">
        <v>56</v>
      </c>
      <c r="B8" s="533"/>
      <c r="C8" s="267">
        <f>Dividends!$K$15</f>
        <v>2524.9999999999995</v>
      </c>
      <c r="D8" s="192"/>
      <c r="E8" s="247"/>
      <c r="F8" s="354"/>
      <c r="G8" s="267"/>
      <c r="H8" s="192"/>
      <c r="I8" s="267"/>
      <c r="J8" s="305"/>
      <c r="K8" s="247">
        <f>Dividends!$K$38</f>
        <v>0</v>
      </c>
      <c r="L8" s="305"/>
      <c r="M8" s="247"/>
      <c r="N8" s="170"/>
    </row>
    <row r="9" spans="1:14">
      <c r="A9" s="192"/>
      <c r="B9" s="192"/>
      <c r="C9" s="267"/>
      <c r="D9" s="192"/>
      <c r="E9" s="247"/>
      <c r="F9" s="354"/>
      <c r="G9" s="267"/>
      <c r="H9" s="192"/>
      <c r="I9" s="267"/>
      <c r="J9" s="529"/>
      <c r="K9" s="247"/>
      <c r="L9" s="529"/>
      <c r="M9" s="247"/>
    </row>
    <row r="10" spans="1:14">
      <c r="A10" s="533" t="s">
        <v>53</v>
      </c>
      <c r="B10" s="531"/>
      <c r="C10" s="267"/>
      <c r="D10" s="192"/>
      <c r="E10" s="247"/>
      <c r="F10" s="354"/>
      <c r="G10" s="267"/>
      <c r="H10" s="192"/>
      <c r="I10" s="267"/>
      <c r="J10" s="529"/>
      <c r="K10" s="247"/>
      <c r="L10" s="529"/>
      <c r="M10" s="247"/>
      <c r="N10" s="170"/>
    </row>
    <row r="11" spans="1:14">
      <c r="A11" s="533" t="s">
        <v>28</v>
      </c>
      <c r="B11" s="531"/>
      <c r="C11" s="267">
        <f>SUMIF(CurrencyT!D4:D16,"&gt;0",CurrencyT!D4:D16)</f>
        <v>0</v>
      </c>
      <c r="D11" s="276"/>
      <c r="E11" s="247"/>
      <c r="F11" s="276"/>
      <c r="G11" s="267"/>
      <c r="H11" s="276"/>
      <c r="I11" s="267"/>
      <c r="J11" s="529"/>
      <c r="K11" s="247">
        <f>SUMIF(CurrencyT!P4:P16,"&gt;0",CurrencyT!P4:P16)</f>
        <v>0</v>
      </c>
      <c r="L11" s="529"/>
      <c r="M11" s="247"/>
    </row>
    <row r="12" spans="1:14">
      <c r="A12" s="533" t="s">
        <v>29</v>
      </c>
      <c r="B12" s="531"/>
      <c r="C12" s="267">
        <f>SUMIF(CurrencyT!D4:D16,"&lt;0",CurrencyT!D4:D16)</f>
        <v>0</v>
      </c>
      <c r="D12" s="276"/>
      <c r="E12" s="247"/>
      <c r="F12" s="276"/>
      <c r="G12" s="267"/>
      <c r="H12" s="276"/>
      <c r="I12" s="267"/>
      <c r="J12" s="529"/>
      <c r="K12" s="247">
        <f>SUMIF(CurrencyT!P4:P16,"&lt;0",CurrencyT!P4:P16)</f>
        <v>0</v>
      </c>
      <c r="L12" s="529"/>
      <c r="M12" s="247"/>
    </row>
    <row r="13" spans="1:14">
      <c r="A13" s="533" t="s">
        <v>17</v>
      </c>
      <c r="B13" s="531"/>
      <c r="C13" s="267">
        <f>-CurrencyT!W17</f>
        <v>0</v>
      </c>
      <c r="D13" s="192"/>
      <c r="E13" s="247"/>
      <c r="F13" s="354"/>
      <c r="G13" s="267"/>
      <c r="H13" s="192"/>
      <c r="I13" s="267"/>
      <c r="J13" s="529"/>
      <c r="K13" s="247"/>
      <c r="L13" s="529"/>
      <c r="M13" s="247"/>
    </row>
    <row r="14" spans="1:14">
      <c r="A14" s="533" t="s">
        <v>57</v>
      </c>
      <c r="B14" s="531"/>
      <c r="C14" s="267">
        <f>CurrencyT!D27</f>
        <v>654.76999999999975</v>
      </c>
      <c r="D14" s="192"/>
      <c r="E14" s="247"/>
      <c r="F14" s="354"/>
      <c r="G14" s="267"/>
      <c r="H14" s="192"/>
      <c r="I14" s="267"/>
      <c r="J14" s="529"/>
      <c r="K14" s="247">
        <f>CurrencyT!P27</f>
        <v>-18.239999999999998</v>
      </c>
      <c r="L14" s="529"/>
      <c r="M14" s="247"/>
    </row>
    <row r="15" spans="1:14">
      <c r="A15" s="533" t="s">
        <v>258</v>
      </c>
      <c r="B15" s="531"/>
      <c r="C15" s="534">
        <v>-2403.61</v>
      </c>
      <c r="D15" s="192"/>
      <c r="E15" s="535"/>
      <c r="F15" s="354"/>
      <c r="G15" s="267"/>
      <c r="H15" s="192"/>
      <c r="I15" s="267"/>
      <c r="J15" s="529"/>
      <c r="K15" s="528"/>
      <c r="L15" s="529"/>
      <c r="M15" s="528"/>
    </row>
    <row r="16" spans="1:14">
      <c r="A16" s="533"/>
      <c r="B16" s="531"/>
      <c r="C16" s="534"/>
      <c r="D16" s="192"/>
      <c r="E16" s="535"/>
      <c r="F16" s="354"/>
      <c r="G16" s="267"/>
      <c r="H16" s="192"/>
      <c r="I16" s="267"/>
      <c r="J16" s="529"/>
      <c r="K16" s="528"/>
      <c r="L16" s="529"/>
      <c r="M16" s="528"/>
    </row>
    <row r="17" spans="1:14" ht="13" thickBot="1">
      <c r="A17" s="536" t="s">
        <v>30</v>
      </c>
      <c r="B17" s="533"/>
      <c r="C17" s="537">
        <f>SUM(C4:C15)</f>
        <v>1938571.16</v>
      </c>
      <c r="D17" s="192"/>
      <c r="E17" s="538">
        <f>SUM(E4:E14)</f>
        <v>0</v>
      </c>
      <c r="F17" s="531"/>
      <c r="G17" s="277">
        <f>SUM(G4:G14)</f>
        <v>0</v>
      </c>
      <c r="H17" s="192"/>
      <c r="I17" s="285">
        <f>SUM(I4:I14)</f>
        <v>0</v>
      </c>
      <c r="J17" s="539"/>
      <c r="K17" s="296">
        <f>SUM(K4:K14)</f>
        <v>-8633.24</v>
      </c>
      <c r="L17" s="539"/>
      <c r="M17" s="296">
        <f>SUM(M4:M14)</f>
        <v>0</v>
      </c>
    </row>
    <row r="18" spans="1:14" ht="13" thickTop="1">
      <c r="A18" s="540"/>
      <c r="B18" s="541" t="s">
        <v>40</v>
      </c>
      <c r="C18" s="541" t="s">
        <v>105</v>
      </c>
      <c r="D18" s="541" t="s">
        <v>40</v>
      </c>
      <c r="E18" s="542" t="str">
        <f>C18</f>
        <v>########## ##3</v>
      </c>
      <c r="F18" s="541" t="s">
        <v>40</v>
      </c>
      <c r="G18" s="543" t="str">
        <f>C18</f>
        <v>########## ##3</v>
      </c>
      <c r="H18" s="541" t="s">
        <v>40</v>
      </c>
      <c r="I18" s="544" t="str">
        <f>C18</f>
        <v>########## ##3</v>
      </c>
      <c r="J18" s="545" t="s">
        <v>40</v>
      </c>
      <c r="K18" s="545" t="str">
        <f>C18</f>
        <v>########## ##3</v>
      </c>
      <c r="L18" s="545"/>
      <c r="M18" s="546" t="str">
        <f>C18</f>
        <v>########## ##3</v>
      </c>
      <c r="N18" s="99"/>
    </row>
    <row r="19" spans="1:14">
      <c r="A19" s="540"/>
      <c r="B19" s="540"/>
      <c r="C19" s="192"/>
      <c r="D19" s="192"/>
      <c r="E19" s="535"/>
      <c r="F19" s="533"/>
      <c r="G19" s="268"/>
      <c r="H19" s="192"/>
      <c r="I19" s="267"/>
      <c r="J19" s="539"/>
      <c r="K19" s="539"/>
      <c r="L19" s="539"/>
      <c r="M19" s="528"/>
      <c r="N19" s="99"/>
    </row>
    <row r="20" spans="1:14">
      <c r="A20" s="518" t="s">
        <v>14</v>
      </c>
      <c r="B20" s="267"/>
      <c r="C20" s="518" t="str">
        <f>C3</f>
        <v>US Dollars</v>
      </c>
      <c r="D20" s="192"/>
      <c r="E20" s="521" t="str">
        <f>E3</f>
        <v>Euro</v>
      </c>
      <c r="F20" s="192"/>
      <c r="G20" s="522" t="str">
        <f>G3</f>
        <v>Pounds Sterling</v>
      </c>
      <c r="H20" s="192"/>
      <c r="I20" s="523" t="str">
        <f>I3</f>
        <v>Canadian Dollars</v>
      </c>
      <c r="J20" s="539"/>
      <c r="K20" s="525" t="str">
        <f>K3</f>
        <v>Chinese Yuan</v>
      </c>
      <c r="L20" s="539"/>
      <c r="M20" s="526" t="str">
        <f>M3</f>
        <v>Japanese Yen</v>
      </c>
      <c r="N20" s="99"/>
    </row>
    <row r="21" spans="1:14">
      <c r="A21" s="192" t="s">
        <v>15</v>
      </c>
      <c r="B21" s="192"/>
      <c r="C21" s="247">
        <f>C4</f>
        <v>4000000</v>
      </c>
      <c r="D21" s="247"/>
      <c r="E21" s="247"/>
      <c r="F21" s="247"/>
      <c r="G21" s="247"/>
      <c r="H21" s="247"/>
      <c r="I21" s="247"/>
      <c r="J21" s="539"/>
      <c r="K21" s="539"/>
      <c r="L21" s="539"/>
      <c r="M21" s="267"/>
      <c r="N21" s="99"/>
    </row>
    <row r="22" spans="1:14">
      <c r="A22" s="192" t="s">
        <v>56</v>
      </c>
      <c r="B22" s="192"/>
      <c r="C22" s="267">
        <f>Dividends!K15</f>
        <v>2524.9999999999995</v>
      </c>
      <c r="D22" s="267"/>
      <c r="E22" s="247"/>
      <c r="F22" s="247"/>
      <c r="G22" s="267"/>
      <c r="H22" s="267"/>
      <c r="I22" s="267"/>
      <c r="J22" s="529"/>
      <c r="K22" s="267">
        <f>Dividends!K38</f>
        <v>0</v>
      </c>
      <c r="L22" s="529"/>
      <c r="M22" s="267"/>
      <c r="N22" s="99"/>
    </row>
    <row r="23" spans="1:14">
      <c r="A23" s="192" t="s">
        <v>16</v>
      </c>
      <c r="B23" s="192"/>
      <c r="C23" s="267">
        <f>EquityT!L49</f>
        <v>-182791.67</v>
      </c>
      <c r="D23" s="267"/>
      <c r="E23" s="247"/>
      <c r="F23" s="247"/>
      <c r="G23" s="267"/>
      <c r="H23" s="267"/>
      <c r="I23" s="267"/>
      <c r="J23" s="529"/>
      <c r="K23" s="267">
        <f>EquityT!L57</f>
        <v>0</v>
      </c>
      <c r="L23" s="529"/>
      <c r="M23" s="267"/>
      <c r="N23" s="100"/>
    </row>
    <row r="24" spans="1:14">
      <c r="A24" s="192" t="s">
        <v>17</v>
      </c>
      <c r="B24" s="192"/>
      <c r="C24" s="267">
        <f>-EquityT!H49-CurrencyT!W17</f>
        <v>-440</v>
      </c>
      <c r="D24" s="267"/>
      <c r="E24" s="247"/>
      <c r="F24" s="247"/>
      <c r="G24" s="267"/>
      <c r="H24" s="267"/>
      <c r="I24" s="267"/>
      <c r="J24" s="529"/>
      <c r="K24" s="267">
        <f>-EquityT!H80</f>
        <v>-10</v>
      </c>
      <c r="L24" s="529"/>
      <c r="M24" s="267"/>
      <c r="N24" s="98"/>
    </row>
    <row r="25" spans="1:14">
      <c r="A25" s="192" t="s">
        <v>60</v>
      </c>
      <c r="B25" s="192"/>
      <c r="C25" s="267">
        <f>CurrencyT!D17</f>
        <v>0</v>
      </c>
      <c r="D25" s="267"/>
      <c r="E25" s="247"/>
      <c r="F25" s="247"/>
      <c r="G25" s="267"/>
      <c r="H25" s="267"/>
      <c r="I25" s="267"/>
      <c r="J25" s="529"/>
      <c r="K25" s="267">
        <f>CurrencyT!P17</f>
        <v>0</v>
      </c>
      <c r="L25" s="529"/>
      <c r="M25" s="267"/>
    </row>
    <row r="26" spans="1:14">
      <c r="A26" s="192" t="s">
        <v>59</v>
      </c>
      <c r="B26" s="192"/>
      <c r="C26" s="267">
        <f>CurrencyT!D27</f>
        <v>654.76999999999975</v>
      </c>
      <c r="D26" s="267"/>
      <c r="E26" s="247"/>
      <c r="F26" s="247"/>
      <c r="G26" s="267"/>
      <c r="H26" s="267"/>
      <c r="I26" s="267"/>
      <c r="J26" s="529"/>
      <c r="K26" s="267">
        <f>CurrencyT!P27</f>
        <v>-18.239999999999998</v>
      </c>
      <c r="L26" s="529"/>
      <c r="M26" s="267"/>
    </row>
    <row r="27" spans="1:14">
      <c r="A27" s="192" t="s">
        <v>258</v>
      </c>
      <c r="B27" s="192"/>
      <c r="C27" s="267">
        <v>-2403.61</v>
      </c>
      <c r="D27" s="267"/>
      <c r="E27" s="247"/>
      <c r="F27" s="247"/>
      <c r="G27" s="267"/>
      <c r="H27" s="267"/>
      <c r="I27" s="267"/>
      <c r="J27" s="529"/>
      <c r="K27" s="267"/>
      <c r="L27" s="529"/>
      <c r="M27" s="267"/>
    </row>
    <row r="28" spans="1:14" ht="13" thickBot="1">
      <c r="A28" s="302" t="s">
        <v>6</v>
      </c>
      <c r="B28" s="192"/>
      <c r="C28" s="537">
        <f>ROUND(SUM(C21:C27),2)</f>
        <v>3817544.49</v>
      </c>
      <c r="D28" s="192"/>
      <c r="E28" s="538"/>
      <c r="F28" s="354"/>
      <c r="G28" s="277"/>
      <c r="H28" s="276"/>
      <c r="I28" s="285"/>
      <c r="J28" s="529"/>
      <c r="K28" s="296">
        <f>SUM(K21:K27)</f>
        <v>-28.24</v>
      </c>
      <c r="L28" s="529"/>
      <c r="M28" s="296"/>
    </row>
    <row r="29" spans="1:14" ht="13" thickTop="1">
      <c r="A29" s="192"/>
      <c r="B29" s="192"/>
      <c r="C29" s="218"/>
      <c r="D29" s="192"/>
      <c r="E29" s="535"/>
      <c r="F29" s="354"/>
      <c r="G29" s="278"/>
      <c r="H29" s="276"/>
      <c r="I29" s="484"/>
      <c r="J29" s="529"/>
      <c r="K29" s="528"/>
      <c r="L29" s="529"/>
      <c r="M29" s="528"/>
    </row>
    <row r="30" spans="1:14">
      <c r="A30" s="192" t="s">
        <v>70</v>
      </c>
      <c r="B30" s="192"/>
      <c r="C30" s="547">
        <f>Stewardship!E22</f>
        <v>1878973.33</v>
      </c>
      <c r="D30" s="547"/>
      <c r="E30" s="548">
        <f>Stewardship!E33</f>
        <v>0</v>
      </c>
      <c r="F30" s="548"/>
      <c r="G30" s="547">
        <f>Stewardship!E43</f>
        <v>0</v>
      </c>
      <c r="H30" s="547"/>
      <c r="I30" s="547">
        <f>Stewardship!E53</f>
        <v>0</v>
      </c>
      <c r="J30" s="547"/>
      <c r="K30" s="547">
        <f>Stewardship!E63</f>
        <v>8605</v>
      </c>
      <c r="L30" s="547"/>
      <c r="M30" s="547">
        <f>Stewardship!E74</f>
        <v>0</v>
      </c>
    </row>
    <row r="31" spans="1:14">
      <c r="A31" s="192" t="s">
        <v>71</v>
      </c>
      <c r="B31" s="192"/>
      <c r="C31" s="547">
        <f>C17</f>
        <v>1938571.16</v>
      </c>
      <c r="D31" s="547"/>
      <c r="E31" s="548">
        <f>E17</f>
        <v>0</v>
      </c>
      <c r="F31" s="548"/>
      <c r="G31" s="547">
        <f>G17</f>
        <v>0</v>
      </c>
      <c r="H31" s="547"/>
      <c r="I31" s="547">
        <f>I17</f>
        <v>0</v>
      </c>
      <c r="J31" s="547"/>
      <c r="K31" s="547">
        <f>K17</f>
        <v>-8633.24</v>
      </c>
      <c r="L31" s="547"/>
      <c r="M31" s="547">
        <f>M17</f>
        <v>0</v>
      </c>
    </row>
    <row r="32" spans="1:14" ht="13" thickBot="1">
      <c r="A32" s="302" t="s">
        <v>6</v>
      </c>
      <c r="B32" s="192"/>
      <c r="C32" s="304">
        <f>ROUND(Stewardship!E25,2)</f>
        <v>3817544.49</v>
      </c>
      <c r="D32" s="192"/>
      <c r="E32" s="538">
        <f>ROUND(Stewardship!E36,2)</f>
        <v>0</v>
      </c>
      <c r="F32" s="354"/>
      <c r="G32" s="277">
        <f>Stewardship!E46</f>
        <v>0</v>
      </c>
      <c r="H32" s="276"/>
      <c r="I32" s="285">
        <f>Stewardship!E56</f>
        <v>0</v>
      </c>
      <c r="J32" s="529"/>
      <c r="K32" s="296">
        <f>Stewardship!E66</f>
        <v>-28.239999999999782</v>
      </c>
      <c r="L32" s="529"/>
      <c r="M32" s="296">
        <f>Stewardship!E77</f>
        <v>0</v>
      </c>
    </row>
    <row r="33" spans="1:13" ht="13" thickTop="1">
      <c r="A33" s="192"/>
      <c r="B33" s="704" t="str">
        <f>IF(ROUND(C31+C30,2)=ROUND(C32,2),"","BookValueMiscalculated")</f>
        <v/>
      </c>
      <c r="C33" s="704"/>
      <c r="D33" s="704" t="str">
        <f>IF(ROUND(E31+E30,2)=ROUND(E32,2),"","BookValueMiscalculated")</f>
        <v/>
      </c>
      <c r="E33" s="704"/>
      <c r="F33" s="704" t="str">
        <f>IF(ROUND(G31+G30,2)=ROUND(G32,2),"","BookValueMiscalculated")</f>
        <v/>
      </c>
      <c r="G33" s="704"/>
      <c r="H33" s="704" t="str">
        <f>IF(ROUND(I31+I30,2)=ROUND(I32,2),"","BookValueMiscalculated")</f>
        <v/>
      </c>
      <c r="I33" s="704"/>
      <c r="J33" s="704" t="str">
        <f>IF(ROUND(M31+M30,2)=ROUND(M32,2),"","BookValueMiscalculated")</f>
        <v/>
      </c>
      <c r="K33" s="704"/>
      <c r="L33" s="704"/>
      <c r="M33" s="704"/>
    </row>
    <row r="34" spans="1:13">
      <c r="A34" s="192"/>
      <c r="B34" s="706" t="str">
        <f>IF(ROUND(C28,2)=ROUND(C32,2)," ","Out of Balance")</f>
        <v xml:space="preserve"> </v>
      </c>
      <c r="C34" s="706"/>
      <c r="D34" s="706" t="str">
        <f>IF(ROUND(E28,2)=ROUND(E32,2)," ","Out of Balance")</f>
        <v xml:space="preserve"> </v>
      </c>
      <c r="E34" s="706"/>
      <c r="F34" s="706" t="str">
        <f>IF(ROUND(G28,2)=ROUND(G32,2)," ","Out of Balance")</f>
        <v xml:space="preserve"> </v>
      </c>
      <c r="G34" s="706"/>
      <c r="H34" s="706" t="str">
        <f>IF(ROUND(I28,2)=ROUND(I32,2)," ","Out of Balance")</f>
        <v xml:space="preserve"> </v>
      </c>
      <c r="I34" s="706"/>
      <c r="J34" s="706" t="str">
        <f>IF(ROUND(K28,2)=ROUND(K32,2)," ","Out of Balance")</f>
        <v xml:space="preserve"> </v>
      </c>
      <c r="K34" s="706"/>
      <c r="L34" s="706" t="str">
        <f t="shared" ref="L34" si="0">IF(ROUND(M28,2)=ROUND(M32,2)," ","Out of Balance")</f>
        <v xml:space="preserve"> </v>
      </c>
      <c r="M34" s="706"/>
    </row>
    <row r="35" spans="1:13">
      <c r="A35" s="192"/>
      <c r="B35" s="706" t="str">
        <f>IF(ROUND(C28,2)=ROUND(C32,2)," ",C28-C32)</f>
        <v xml:space="preserve"> </v>
      </c>
      <c r="C35" s="706"/>
      <c r="D35" s="706" t="str">
        <f>IF(ROUND(E28,2)=ROUND(E32,2)," ",E28-E32)</f>
        <v xml:space="preserve"> </v>
      </c>
      <c r="E35" s="706"/>
      <c r="F35" s="706" t="str">
        <f>IF(ROUND(G28,2)=ROUND(G32,2)," ",G28-G32)</f>
        <v xml:space="preserve"> </v>
      </c>
      <c r="G35" s="706"/>
      <c r="H35" s="706" t="str">
        <f>IF(ROUND(I28,2)=ROUND(I32,2)," ",I28-I32)</f>
        <v xml:space="preserve"> </v>
      </c>
      <c r="I35" s="706"/>
      <c r="J35" s="706" t="str">
        <f>IF(ROUND(M28,2)=ROUND(M32,2)," ",M28-M32)</f>
        <v xml:space="preserve"> </v>
      </c>
      <c r="K35" s="706"/>
      <c r="L35" s="706"/>
      <c r="M35" s="706"/>
    </row>
    <row r="36" spans="1:13">
      <c r="A36" s="192"/>
      <c r="B36" s="192"/>
      <c r="C36" s="192"/>
      <c r="D36" s="192"/>
      <c r="E36" s="192"/>
      <c r="F36" s="354"/>
      <c r="G36" s="192"/>
      <c r="H36" s="276"/>
      <c r="I36" s="267"/>
      <c r="J36" s="529"/>
      <c r="K36" s="529"/>
      <c r="L36" s="529"/>
      <c r="M36" s="192"/>
    </row>
    <row r="37" spans="1:13">
      <c r="K37" s="171"/>
    </row>
    <row r="39" spans="1:13">
      <c r="C39" s="170"/>
    </row>
  </sheetData>
  <mergeCells count="19">
    <mergeCell ref="J35:M35"/>
    <mergeCell ref="B35:C35"/>
    <mergeCell ref="D34:E34"/>
    <mergeCell ref="D35:E35"/>
    <mergeCell ref="F35:G35"/>
    <mergeCell ref="H35:I35"/>
    <mergeCell ref="H34:I34"/>
    <mergeCell ref="F34:G34"/>
    <mergeCell ref="B34:C34"/>
    <mergeCell ref="J34:K34"/>
    <mergeCell ref="L34:M34"/>
    <mergeCell ref="A2:D2"/>
    <mergeCell ref="B33:C33"/>
    <mergeCell ref="E1:I1"/>
    <mergeCell ref="D33:E33"/>
    <mergeCell ref="F33:G33"/>
    <mergeCell ref="H33:I33"/>
    <mergeCell ref="I2:M2"/>
    <mergeCell ref="J33:M33"/>
  </mergeCells>
  <phoneticPr fontId="68" type="noConversion"/>
  <printOptions horizontalCentered="1"/>
  <pageMargins left="0.43000000000000005" right="0.43000000000000005" top="0.43000000000000005" bottom="1.2700000000000002" header="0.5" footer="0.5"/>
  <pageSetup orientation="landscape" horizontalDpi="300" verticalDpi="300"/>
  <headerFooter alignWithMargins="0">
    <oddFooter>&amp;L&amp;"Times New Roman,Italic"&amp;11&amp;K000000Investment Manager_x000D_Zhaochen Gao_x000D_(217) 323-3359&amp;R&amp;"Times New Roman,Bold Italic"&amp;11&amp;K000000LSXG Pension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R50"/>
  <sheetViews>
    <sheetView tabSelected="1" workbookViewId="0">
      <selection activeCell="G36" sqref="G36:I36"/>
    </sheetView>
  </sheetViews>
  <sheetFormatPr baseColWidth="10" defaultColWidth="9.1640625" defaultRowHeight="11" x14ac:dyDescent="0"/>
  <cols>
    <col min="1" max="1" width="21.5" style="5" bestFit="1" customWidth="1"/>
    <col min="2" max="2" width="15.33203125" style="4" bestFit="1" customWidth="1"/>
    <col min="3" max="3" width="13.1640625" style="4" bestFit="1" customWidth="1"/>
    <col min="4" max="4" width="15.5" style="3" bestFit="1" customWidth="1"/>
    <col min="5" max="5" width="2.6640625" style="2" bestFit="1" customWidth="1"/>
    <col min="6" max="6" width="14.5" style="1" customWidth="1"/>
    <col min="7" max="7" width="3.83203125" style="1" customWidth="1"/>
    <col min="8" max="8" width="14.6640625" style="1" customWidth="1"/>
    <col min="9" max="9" width="18.1640625" style="1" customWidth="1"/>
    <col min="10" max="10" width="9.1640625" style="115"/>
    <col min="11" max="11" width="13.6640625" style="116" bestFit="1" customWidth="1"/>
    <col min="12" max="13" width="13.33203125" style="116" bestFit="1" customWidth="1"/>
    <col min="14" max="14" width="9.1640625" style="116"/>
    <col min="15" max="18" width="9.1640625" style="115"/>
    <col min="19" max="16384" width="9.1640625" style="1"/>
  </cols>
  <sheetData>
    <row r="1" spans="1:18" s="65" customFormat="1" ht="29" thickBot="1">
      <c r="A1" s="708">
        <f>Date</f>
        <v>42704</v>
      </c>
      <c r="B1" s="708"/>
      <c r="C1" s="708"/>
      <c r="D1" s="708"/>
      <c r="E1" s="66"/>
      <c r="F1" s="66"/>
      <c r="G1" s="66"/>
      <c r="J1" s="113"/>
      <c r="K1" s="114"/>
      <c r="L1" s="114"/>
      <c r="M1" s="114"/>
      <c r="N1" s="114"/>
      <c r="O1" s="113"/>
      <c r="P1" s="113"/>
      <c r="Q1" s="113"/>
      <c r="R1" s="113"/>
    </row>
    <row r="2" spans="1:18" ht="12" thickBot="1">
      <c r="A2" s="64"/>
      <c r="B2" s="709" t="s">
        <v>77</v>
      </c>
      <c r="C2" s="709"/>
      <c r="D2" s="709"/>
      <c r="E2" s="709"/>
      <c r="F2" s="710"/>
      <c r="G2" s="62"/>
      <c r="H2" s="62"/>
    </row>
    <row r="3" spans="1:18" ht="12" thickBot="1">
      <c r="A3" s="59" t="s">
        <v>72</v>
      </c>
      <c r="B3" s="57" t="s">
        <v>44</v>
      </c>
      <c r="C3" s="57"/>
      <c r="D3" s="57" t="s">
        <v>43</v>
      </c>
      <c r="E3" s="57"/>
      <c r="F3" s="55" t="s">
        <v>42</v>
      </c>
      <c r="G3" s="62"/>
      <c r="H3" s="115"/>
      <c r="I3" s="116"/>
      <c r="J3" s="116"/>
      <c r="M3" s="115"/>
      <c r="N3" s="115"/>
      <c r="Q3" s="1"/>
      <c r="R3" s="1"/>
    </row>
    <row r="4" spans="1:18" ht="12.75" customHeight="1">
      <c r="A4" s="25">
        <f>Data!B44</f>
        <v>0</v>
      </c>
      <c r="B4" s="61">
        <f>Cash!C17</f>
        <v>1938571.16</v>
      </c>
      <c r="C4" s="61"/>
      <c r="D4" s="135">
        <f>'Managed UISES'!H24</f>
        <v>1938571.16</v>
      </c>
      <c r="E4" s="22" t="str">
        <f t="shared" ref="E4:E9" si="0">IF(ROUND(B4,2)=ROUND(D4,2),"R","T")</f>
        <v>R</v>
      </c>
      <c r="F4" s="106" t="str">
        <f t="shared" ref="F4:F9" si="1">IF(ROUND(B4,2)=ROUND(D4,2),"Balance",B4-D4)</f>
        <v>Balance</v>
      </c>
      <c r="G4" s="32"/>
      <c r="H4" s="115"/>
      <c r="I4" s="116"/>
      <c r="J4" s="116"/>
      <c r="M4" s="115"/>
      <c r="N4" s="115"/>
      <c r="Q4" s="1"/>
      <c r="R4" s="1"/>
    </row>
    <row r="5" spans="1:18" ht="12.75" customHeight="1">
      <c r="A5" s="25">
        <f>Data!B45</f>
        <v>0</v>
      </c>
      <c r="B5" s="52">
        <f>Cash!E17</f>
        <v>0</v>
      </c>
      <c r="C5" s="52"/>
      <c r="D5" s="645">
        <f>0</f>
        <v>0</v>
      </c>
      <c r="E5" s="22" t="str">
        <f t="shared" si="0"/>
        <v>R</v>
      </c>
      <c r="F5" s="105" t="str">
        <f t="shared" si="1"/>
        <v>Balance</v>
      </c>
      <c r="G5" s="41"/>
      <c r="H5" s="115"/>
      <c r="I5" s="116"/>
      <c r="J5" s="116"/>
      <c r="M5" s="115"/>
      <c r="N5" s="115"/>
      <c r="Q5" s="1"/>
      <c r="R5" s="1"/>
    </row>
    <row r="6" spans="1:18" ht="12.75" customHeight="1">
      <c r="A6" s="25">
        <f>Data!B46</f>
        <v>0</v>
      </c>
      <c r="B6" s="50">
        <f>Cash!G17</f>
        <v>0</v>
      </c>
      <c r="C6" s="50"/>
      <c r="D6" s="646">
        <f>0</f>
        <v>0</v>
      </c>
      <c r="E6" s="22" t="str">
        <f t="shared" si="0"/>
        <v>R</v>
      </c>
      <c r="F6" s="104" t="str">
        <f t="shared" si="1"/>
        <v>Balance</v>
      </c>
      <c r="G6" s="60"/>
      <c r="H6" s="115"/>
      <c r="I6" s="116"/>
      <c r="J6" s="116"/>
      <c r="M6" s="115"/>
      <c r="N6" s="115"/>
      <c r="Q6" s="1"/>
      <c r="R6" s="1"/>
    </row>
    <row r="7" spans="1:18" ht="12.75" customHeight="1">
      <c r="A7" s="25">
        <f>Data!B47</f>
        <v>0</v>
      </c>
      <c r="B7" s="48">
        <f>Cash!I17</f>
        <v>0</v>
      </c>
      <c r="C7" s="48"/>
      <c r="D7" s="647">
        <v>0</v>
      </c>
      <c r="E7" s="22" t="str">
        <f t="shared" si="0"/>
        <v>R</v>
      </c>
      <c r="F7" s="107" t="str">
        <f t="shared" si="1"/>
        <v>Balance</v>
      </c>
      <c r="G7" s="60"/>
      <c r="H7" s="115"/>
      <c r="I7" s="116"/>
      <c r="J7" s="116"/>
      <c r="M7" s="115"/>
      <c r="N7" s="115"/>
      <c r="Q7" s="1"/>
      <c r="R7" s="1"/>
    </row>
    <row r="8" spans="1:18" ht="12.75" customHeight="1">
      <c r="A8" s="25">
        <f>Data!B48</f>
        <v>0</v>
      </c>
      <c r="B8" s="121">
        <f>Cash!K17</f>
        <v>-8633.24</v>
      </c>
      <c r="C8" s="48"/>
      <c r="D8" s="187">
        <f>'Managed UISES'!H27</f>
        <v>-8633.24</v>
      </c>
      <c r="E8" s="22" t="str">
        <f t="shared" si="0"/>
        <v>R</v>
      </c>
      <c r="F8" s="123" t="str">
        <f t="shared" si="1"/>
        <v>Balance</v>
      </c>
      <c r="G8" s="60"/>
      <c r="H8" s="115"/>
      <c r="I8" s="116"/>
      <c r="J8" s="116"/>
      <c r="M8" s="115"/>
      <c r="N8" s="115"/>
      <c r="Q8" s="1"/>
      <c r="R8" s="1"/>
    </row>
    <row r="9" spans="1:18" ht="13.5" customHeight="1" thickBot="1">
      <c r="A9" s="20" t="str">
        <f>Data!B49</f>
        <v>Currency</v>
      </c>
      <c r="B9" s="46">
        <f>Cash!M17</f>
        <v>0</v>
      </c>
      <c r="C9" s="46"/>
      <c r="D9" s="648">
        <v>0</v>
      </c>
      <c r="E9" s="16" t="str">
        <f t="shared" si="0"/>
        <v>R</v>
      </c>
      <c r="F9" s="108" t="str">
        <f t="shared" si="1"/>
        <v>Balance</v>
      </c>
      <c r="G9" s="41"/>
      <c r="H9" s="115"/>
      <c r="I9" s="116"/>
      <c r="J9" s="116"/>
      <c r="M9" s="115"/>
      <c r="N9" s="115"/>
      <c r="Q9" s="1"/>
      <c r="R9" s="1"/>
    </row>
    <row r="10" spans="1:18" ht="13.5" customHeight="1" thickBot="1">
      <c r="A10" s="44"/>
      <c r="B10" s="42"/>
      <c r="C10" s="42"/>
      <c r="D10" s="97"/>
      <c r="E10" s="13"/>
      <c r="F10" s="12"/>
      <c r="G10" s="41"/>
      <c r="H10" s="115"/>
      <c r="I10" s="116"/>
      <c r="J10" s="116"/>
      <c r="M10" s="115"/>
      <c r="N10" s="115"/>
      <c r="Q10" s="1"/>
      <c r="R10" s="1"/>
    </row>
    <row r="11" spans="1:18" ht="13" thickBot="1">
      <c r="A11" s="59" t="s">
        <v>99</v>
      </c>
      <c r="B11" s="57" t="s">
        <v>44</v>
      </c>
      <c r="C11" s="57"/>
      <c r="D11" s="57" t="s">
        <v>43</v>
      </c>
      <c r="E11" s="63"/>
      <c r="F11" s="55" t="s">
        <v>42</v>
      </c>
      <c r="G11" s="41"/>
      <c r="H11" s="115"/>
      <c r="I11"/>
      <c r="J11" s="116"/>
      <c r="M11" s="115"/>
      <c r="N11" s="115"/>
      <c r="Q11" s="1"/>
      <c r="R11" s="1"/>
    </row>
    <row r="12" spans="1:18" ht="12">
      <c r="A12" s="36">
        <f>A4</f>
        <v>0</v>
      </c>
      <c r="B12" s="54">
        <f>Cash!C32</f>
        <v>3817544.49</v>
      </c>
      <c r="C12" s="54"/>
      <c r="D12" s="136">
        <f>'Managed UISES'!H25</f>
        <v>3817544.49</v>
      </c>
      <c r="E12" s="34" t="str">
        <f t="shared" ref="E12:E17" si="2">IF(ROUND(B12,2)=ROUND(D12,2),"R","T")</f>
        <v>R</v>
      </c>
      <c r="F12" s="106" t="str">
        <f t="shared" ref="F12:F17" si="3">IF(ROUND(B12,2)=ROUND(D12,2),"Balance",B12-D12)</f>
        <v>Balance</v>
      </c>
      <c r="G12" s="41"/>
      <c r="H12" s="115"/>
      <c r="I12"/>
      <c r="J12" s="116"/>
      <c r="M12" s="115"/>
      <c r="N12" s="115"/>
      <c r="Q12" s="1"/>
      <c r="R12" s="1"/>
    </row>
    <row r="13" spans="1:18" ht="12">
      <c r="A13" s="25">
        <f>A5</f>
        <v>0</v>
      </c>
      <c r="B13" s="52">
        <f>Cash!E32</f>
        <v>0</v>
      </c>
      <c r="C13" s="52"/>
      <c r="D13" s="645">
        <f>0</f>
        <v>0</v>
      </c>
      <c r="E13" s="22" t="str">
        <f t="shared" si="2"/>
        <v>R</v>
      </c>
      <c r="F13" s="105" t="str">
        <f t="shared" si="3"/>
        <v>Balance</v>
      </c>
      <c r="G13" s="41"/>
      <c r="H13" s="115"/>
      <c r="I13"/>
      <c r="J13" s="116"/>
      <c r="M13" s="115"/>
      <c r="N13" s="115"/>
      <c r="Q13" s="1"/>
      <c r="R13" s="1"/>
    </row>
    <row r="14" spans="1:18" ht="12">
      <c r="A14" s="25">
        <f>A6</f>
        <v>0</v>
      </c>
      <c r="B14" s="50">
        <f>Cash!G32</f>
        <v>0</v>
      </c>
      <c r="C14" s="50"/>
      <c r="D14" s="646">
        <v>0</v>
      </c>
      <c r="E14" s="22" t="str">
        <f t="shared" si="2"/>
        <v>R</v>
      </c>
      <c r="F14" s="104" t="str">
        <f t="shared" si="3"/>
        <v>Balance</v>
      </c>
      <c r="G14" s="41"/>
      <c r="H14" s="115"/>
      <c r="I14"/>
      <c r="J14" s="116"/>
      <c r="M14" s="115"/>
      <c r="N14" s="115"/>
      <c r="Q14" s="1"/>
      <c r="R14" s="1"/>
    </row>
    <row r="15" spans="1:18" ht="12">
      <c r="A15" s="25">
        <f>A7</f>
        <v>0</v>
      </c>
      <c r="B15" s="48">
        <f>Cash!I32</f>
        <v>0</v>
      </c>
      <c r="C15" s="48"/>
      <c r="D15" s="647">
        <v>0</v>
      </c>
      <c r="E15" s="22" t="str">
        <f t="shared" si="2"/>
        <v>R</v>
      </c>
      <c r="F15" s="107" t="str">
        <f t="shared" si="3"/>
        <v>Balance</v>
      </c>
      <c r="G15" s="41"/>
      <c r="H15" s="115"/>
      <c r="I15"/>
      <c r="J15" s="116"/>
      <c r="M15" s="115"/>
      <c r="N15" s="115"/>
      <c r="Q15" s="1"/>
      <c r="R15" s="1"/>
    </row>
    <row r="16" spans="1:18" ht="12">
      <c r="A16" s="25">
        <f>A8</f>
        <v>0</v>
      </c>
      <c r="B16" s="121">
        <f>Cash!K32</f>
        <v>-28.239999999999782</v>
      </c>
      <c r="C16" s="121"/>
      <c r="D16" s="187">
        <f>'Managed UISES'!H28</f>
        <v>-28.239999999999782</v>
      </c>
      <c r="E16" s="22" t="str">
        <f t="shared" si="2"/>
        <v>R</v>
      </c>
      <c r="F16" s="123" t="str">
        <f t="shared" si="3"/>
        <v>Balance</v>
      </c>
      <c r="G16" s="41"/>
      <c r="H16" s="115"/>
      <c r="I16"/>
      <c r="J16" s="116"/>
      <c r="M16" s="115"/>
      <c r="N16" s="115"/>
      <c r="Q16" s="1"/>
      <c r="R16" s="1"/>
    </row>
    <row r="17" spans="1:18" ht="13" thickBot="1">
      <c r="A17" s="20" t="str">
        <f t="shared" ref="A17" si="4">A9</f>
        <v>Currency</v>
      </c>
      <c r="B17" s="46">
        <f>Cash!M32</f>
        <v>0</v>
      </c>
      <c r="C17" s="46"/>
      <c r="D17" s="648">
        <v>0</v>
      </c>
      <c r="E17" s="16" t="str">
        <f t="shared" si="2"/>
        <v>R</v>
      </c>
      <c r="F17" s="108" t="str">
        <f t="shared" si="3"/>
        <v>Balance</v>
      </c>
      <c r="G17" s="41"/>
      <c r="H17" s="115"/>
      <c r="I17"/>
      <c r="J17" s="116"/>
      <c r="M17" s="115"/>
      <c r="N17" s="115"/>
      <c r="Q17" s="1"/>
      <c r="R17" s="1"/>
    </row>
    <row r="18" spans="1:18" ht="13" thickBot="1">
      <c r="A18" s="44"/>
      <c r="B18" s="42"/>
      <c r="C18" s="43"/>
      <c r="D18" s="42"/>
      <c r="E18" s="13"/>
      <c r="F18" s="12"/>
      <c r="G18" s="41"/>
      <c r="H18" s="115"/>
      <c r="I18"/>
      <c r="J18" s="119"/>
      <c r="K18" s="119"/>
      <c r="M18" s="115"/>
      <c r="N18" s="115"/>
      <c r="Q18" s="1"/>
      <c r="R18" s="1"/>
    </row>
    <row r="19" spans="1:18" ht="13" thickBot="1">
      <c r="A19" s="59" t="s">
        <v>82</v>
      </c>
      <c r="B19" s="57" t="s">
        <v>44</v>
      </c>
      <c r="C19" s="58" t="s">
        <v>83</v>
      </c>
      <c r="D19" s="57" t="s">
        <v>43</v>
      </c>
      <c r="E19" s="56"/>
      <c r="F19" s="55"/>
      <c r="G19" s="41"/>
      <c r="H19" s="115"/>
      <c r="I19"/>
      <c r="J19" s="119"/>
      <c r="K19" s="119"/>
      <c r="M19" s="115"/>
      <c r="N19" s="115"/>
      <c r="Q19" s="1"/>
      <c r="R19" s="1"/>
    </row>
    <row r="20" spans="1:18" ht="12.75" customHeight="1">
      <c r="A20" s="36" t="s">
        <v>49</v>
      </c>
      <c r="B20" s="54">
        <f>Stewardship!I25</f>
        <v>3522781.16</v>
      </c>
      <c r="C20" s="53">
        <f t="shared" ref="C20:C25" si="5">B30</f>
        <v>-860</v>
      </c>
      <c r="D20" s="137">
        <f>'Managed UISES'!I25</f>
        <v>3523641.16</v>
      </c>
      <c r="E20" s="22" t="str">
        <f t="shared" ref="E20:E25" si="6">IF(ROUND(B20,2)=ROUND(C20,2)+ROUND(D20,2),"R","T")</f>
        <v>R</v>
      </c>
      <c r="F20" s="106" t="str">
        <f>IF(ROUND(B20,2)=ROUND(C20,2)+ROUND(D20,2),"Balance",B20-C20-D20)</f>
        <v>Balance</v>
      </c>
      <c r="G20" s="41"/>
      <c r="H20" s="115"/>
      <c r="I20" s="119"/>
      <c r="J20" s="119"/>
      <c r="K20" s="119"/>
      <c r="M20" s="115"/>
      <c r="N20" s="115"/>
      <c r="Q20" s="1"/>
      <c r="R20" s="1"/>
    </row>
    <row r="21" spans="1:18" ht="12.75" customHeight="1">
      <c r="A21" s="25" t="s">
        <v>50</v>
      </c>
      <c r="B21" s="52">
        <f>Stewardship!I36</f>
        <v>0</v>
      </c>
      <c r="C21" s="51">
        <f t="shared" si="5"/>
        <v>0</v>
      </c>
      <c r="D21" s="645">
        <v>0</v>
      </c>
      <c r="E21" s="22" t="str">
        <f t="shared" si="6"/>
        <v>R</v>
      </c>
      <c r="F21" s="105" t="str">
        <f t="shared" ref="F21:F25" si="7">IF(ROUND(B21,2)=ROUND(C21,2)+ROUND(D21,2),"Balance",B21-C21-D21)</f>
        <v>Balance</v>
      </c>
      <c r="G21" s="41"/>
      <c r="H21" s="115"/>
      <c r="I21" s="119"/>
      <c r="J21" s="119"/>
      <c r="K21" s="119"/>
      <c r="M21" s="115"/>
      <c r="N21" s="115"/>
      <c r="Q21" s="1"/>
      <c r="R21" s="1"/>
    </row>
    <row r="22" spans="1:18" ht="12.75" customHeight="1">
      <c r="A22" s="25" t="s">
        <v>51</v>
      </c>
      <c r="B22" s="50">
        <f>Stewardship!I46</f>
        <v>0</v>
      </c>
      <c r="C22" s="49">
        <f t="shared" si="5"/>
        <v>0</v>
      </c>
      <c r="D22" s="649">
        <v>0</v>
      </c>
      <c r="E22" s="22" t="str">
        <f t="shared" si="6"/>
        <v>R</v>
      </c>
      <c r="F22" s="104" t="str">
        <f t="shared" si="7"/>
        <v>Balance</v>
      </c>
      <c r="G22" s="41"/>
      <c r="H22" s="115"/>
      <c r="I22" s="119"/>
      <c r="J22" s="119"/>
      <c r="K22" s="119"/>
      <c r="M22" s="115"/>
      <c r="N22" s="115"/>
      <c r="Q22" s="1"/>
      <c r="R22" s="1"/>
    </row>
    <row r="23" spans="1:18" ht="12.75" customHeight="1">
      <c r="A23" s="25" t="s">
        <v>52</v>
      </c>
      <c r="B23" s="48">
        <f>Stewardship!I56</f>
        <v>0</v>
      </c>
      <c r="C23" s="47">
        <f t="shared" si="5"/>
        <v>0</v>
      </c>
      <c r="D23" s="650">
        <v>0</v>
      </c>
      <c r="E23" s="22" t="str">
        <f t="shared" si="6"/>
        <v>R</v>
      </c>
      <c r="F23" s="107" t="str">
        <f t="shared" si="7"/>
        <v>Balance</v>
      </c>
      <c r="G23" s="41"/>
      <c r="H23" s="115"/>
      <c r="I23" s="119"/>
      <c r="J23" s="119"/>
      <c r="K23" s="119"/>
      <c r="M23" s="115"/>
      <c r="N23" s="115"/>
      <c r="Q23" s="1"/>
      <c r="R23" s="1"/>
    </row>
    <row r="24" spans="1:18" ht="12.75" customHeight="1">
      <c r="A24" s="25">
        <f>A16</f>
        <v>0</v>
      </c>
      <c r="B24" s="121">
        <f ca="1">Stewardship!I66</f>
        <v>241.76000000000022</v>
      </c>
      <c r="C24" s="122">
        <f t="shared" si="5"/>
        <v>0</v>
      </c>
      <c r="D24" s="189">
        <f>'Managed UISES'!I28</f>
        <v>241.76000000000022</v>
      </c>
      <c r="E24" s="22" t="str">
        <f t="shared" ca="1" si="6"/>
        <v>R</v>
      </c>
      <c r="F24" s="123" t="str">
        <f t="shared" ref="F24" ca="1" si="8">IF(ROUND(B24,2)=ROUND(C24,2)+ROUND(D24,2),"Balance",B24-C24-D24)</f>
        <v>Balance</v>
      </c>
      <c r="G24" s="41"/>
      <c r="H24" s="115"/>
      <c r="I24" s="119"/>
      <c r="J24" s="119"/>
      <c r="K24" s="119"/>
      <c r="M24" s="115"/>
      <c r="N24" s="115"/>
      <c r="Q24" s="1"/>
      <c r="R24" s="1"/>
    </row>
    <row r="25" spans="1:18" ht="13.5" customHeight="1" thickBot="1">
      <c r="A25" s="20" t="s">
        <v>81</v>
      </c>
      <c r="B25" s="46">
        <f>Stewardship!I77</f>
        <v>0</v>
      </c>
      <c r="C25" s="45">
        <f t="shared" si="5"/>
        <v>0</v>
      </c>
      <c r="D25" s="648">
        <v>0</v>
      </c>
      <c r="E25" s="16" t="str">
        <f t="shared" si="6"/>
        <v>R</v>
      </c>
      <c r="F25" s="108" t="str">
        <f t="shared" si="7"/>
        <v>Balance</v>
      </c>
      <c r="G25" s="41"/>
      <c r="H25" s="115"/>
      <c r="I25" s="119"/>
      <c r="J25" s="119"/>
      <c r="K25" s="119"/>
      <c r="M25" s="115"/>
      <c r="N25" s="115"/>
      <c r="Q25" s="1"/>
      <c r="R25" s="1"/>
    </row>
    <row r="26" spans="1:18" ht="12" thickBot="1">
      <c r="A26" s="44"/>
      <c r="B26" s="42"/>
      <c r="C26" s="43"/>
      <c r="D26" s="42"/>
      <c r="E26" s="13"/>
      <c r="F26" s="12"/>
      <c r="G26" s="41"/>
      <c r="H26" s="115"/>
      <c r="I26" s="119"/>
      <c r="J26" s="119"/>
      <c r="K26" s="119"/>
      <c r="M26" s="115"/>
      <c r="N26" s="115"/>
      <c r="Q26" s="1"/>
      <c r="R26" s="1"/>
    </row>
    <row r="27" spans="1:18" ht="12" thickBot="1">
      <c r="A27" s="40" t="s">
        <v>76</v>
      </c>
      <c r="B27" s="39" t="s">
        <v>44</v>
      </c>
      <c r="C27" s="39"/>
      <c r="D27" s="57" t="s">
        <v>43</v>
      </c>
      <c r="E27" s="38"/>
      <c r="F27" s="37" t="s">
        <v>42</v>
      </c>
      <c r="G27" s="32"/>
      <c r="H27" s="115"/>
      <c r="I27" s="119"/>
      <c r="J27" s="119"/>
      <c r="K27" s="119"/>
      <c r="M27" s="115"/>
      <c r="N27" s="115"/>
      <c r="Q27" s="1"/>
      <c r="R27" s="1"/>
    </row>
    <row r="28" spans="1:18">
      <c r="A28" s="36">
        <f>A4</f>
        <v>0</v>
      </c>
      <c r="B28" s="101">
        <f ca="1">Stewardship!N80</f>
        <v>3522816.24</v>
      </c>
      <c r="C28" s="35"/>
      <c r="D28" s="138">
        <f>'Managed UISES'!I29</f>
        <v>3523676.24</v>
      </c>
      <c r="E28" s="34"/>
      <c r="F28" s="33"/>
      <c r="G28" s="32"/>
      <c r="H28" s="115"/>
      <c r="I28" s="116"/>
      <c r="J28" s="116"/>
      <c r="M28" s="115"/>
      <c r="N28" s="115"/>
      <c r="Q28" s="1"/>
      <c r="R28" s="1"/>
    </row>
    <row r="29" spans="1:18" ht="12.75" customHeight="1">
      <c r="A29" s="31" t="s">
        <v>78</v>
      </c>
      <c r="B29" s="29"/>
      <c r="C29" s="29"/>
      <c r="D29" s="30"/>
      <c r="E29" s="22"/>
      <c r="F29" s="21"/>
      <c r="H29" s="115"/>
      <c r="I29" s="116"/>
      <c r="J29" s="116"/>
      <c r="M29" s="115"/>
      <c r="N29" s="115"/>
      <c r="Q29" s="1"/>
      <c r="R29" s="1"/>
    </row>
    <row r="30" spans="1:18" ht="10.5" customHeight="1">
      <c r="A30" s="25"/>
      <c r="B30" s="29">
        <f>Dividends!I15</f>
        <v>-860</v>
      </c>
      <c r="C30" s="23">
        <f>Data!D50</f>
        <v>1</v>
      </c>
      <c r="D30" s="3">
        <f t="shared" ref="D30:D35" si="9">ROUND(B30*C30,2)</f>
        <v>-860</v>
      </c>
      <c r="E30" s="22"/>
      <c r="F30" s="26"/>
      <c r="H30" s="115"/>
      <c r="I30" s="116"/>
      <c r="J30" s="116"/>
      <c r="M30" s="115"/>
      <c r="N30" s="115"/>
      <c r="Q30" s="1"/>
      <c r="R30" s="1"/>
    </row>
    <row r="31" spans="1:18" ht="12.75" customHeight="1">
      <c r="A31" s="25"/>
      <c r="B31" s="188">
        <f>Dividends!I21</f>
        <v>0</v>
      </c>
      <c r="C31" s="23">
        <f>Data!D51</f>
        <v>1.0580830000000001</v>
      </c>
      <c r="D31" s="3">
        <f t="shared" si="9"/>
        <v>0</v>
      </c>
      <c r="E31" s="22"/>
      <c r="F31" s="26"/>
      <c r="H31" s="115"/>
      <c r="I31" s="116"/>
      <c r="J31" s="116"/>
      <c r="M31" s="115"/>
      <c r="N31" s="115"/>
      <c r="Q31" s="1"/>
      <c r="R31" s="1"/>
    </row>
    <row r="32" spans="1:18" ht="12.75" customHeight="1">
      <c r="A32" s="25"/>
      <c r="B32" s="28">
        <f>Dividends!I26</f>
        <v>0</v>
      </c>
      <c r="C32" s="23">
        <f>Data!D52</f>
        <v>1.248532</v>
      </c>
      <c r="D32" s="3">
        <f t="shared" si="9"/>
        <v>0</v>
      </c>
      <c r="E32" s="22"/>
      <c r="F32" s="26"/>
      <c r="H32" s="115"/>
      <c r="I32" s="116"/>
      <c r="J32" s="116"/>
      <c r="M32" s="115"/>
      <c r="N32" s="115"/>
      <c r="Q32" s="1"/>
      <c r="R32" s="1"/>
    </row>
    <row r="33" spans="1:18" ht="12.75" customHeight="1">
      <c r="A33" s="25"/>
      <c r="B33" s="27">
        <f>Dividends!I31</f>
        <v>0</v>
      </c>
      <c r="C33" s="23">
        <f>Data!D53</f>
        <v>0.74473699999999998</v>
      </c>
      <c r="D33" s="3">
        <f t="shared" si="9"/>
        <v>0</v>
      </c>
      <c r="E33" s="22"/>
      <c r="F33" s="26"/>
      <c r="H33" s="115"/>
      <c r="I33" s="116"/>
      <c r="J33" s="116"/>
      <c r="M33" s="115"/>
      <c r="N33" s="115"/>
      <c r="Q33" s="1"/>
      <c r="R33" s="1"/>
    </row>
    <row r="34" spans="1:18">
      <c r="A34" s="25"/>
      <c r="B34" s="24">
        <f>Dividends!I36</f>
        <v>0</v>
      </c>
      <c r="C34" s="23">
        <f>Data!D54</f>
        <v>0.145126</v>
      </c>
      <c r="D34" s="3">
        <f t="shared" si="9"/>
        <v>0</v>
      </c>
      <c r="E34" s="22"/>
      <c r="F34" s="26"/>
    </row>
    <row r="35" spans="1:18">
      <c r="A35" s="25"/>
      <c r="B35" s="24">
        <f>Dividends!I43</f>
        <v>0</v>
      </c>
      <c r="C35" s="23">
        <f>Data!D55</f>
        <v>8.7469999999999996E-3</v>
      </c>
      <c r="D35" s="3">
        <f t="shared" si="9"/>
        <v>0</v>
      </c>
      <c r="E35" s="22"/>
      <c r="F35" s="21"/>
    </row>
    <row r="36" spans="1:18" ht="12" thickBot="1">
      <c r="A36" s="20"/>
      <c r="B36" s="19"/>
      <c r="C36" s="18"/>
      <c r="D36" s="17">
        <f>SUM(D28:D35)</f>
        <v>3522816.24</v>
      </c>
      <c r="E36" s="16" t="str">
        <f ca="1">IF(ROUND(B28,2)=ROUND(D36,2),"R","T")</f>
        <v>R</v>
      </c>
      <c r="F36" s="15" t="str">
        <f ca="1">IF(ROUND(B28,2)=ROUND(D36,2),"Reconciled",B28-D36)</f>
        <v>Reconciled</v>
      </c>
      <c r="G36" s="711" t="str">
        <f ca="1">IF(D36=B28,"",IF(ABS(D36-B28)&lt;25,"Rounding in currency conversion*","Out of Balance"))</f>
        <v/>
      </c>
      <c r="H36" s="712"/>
      <c r="I36" s="712"/>
    </row>
    <row r="37" spans="1:18">
      <c r="C37" s="14"/>
      <c r="E37" s="13"/>
      <c r="F37" s="13"/>
      <c r="G37" s="12"/>
    </row>
    <row r="38" spans="1:18">
      <c r="A38" s="1"/>
      <c r="B38" s="1"/>
      <c r="C38" s="1"/>
      <c r="D38" s="1"/>
      <c r="E38" s="1"/>
    </row>
    <row r="39" spans="1:18">
      <c r="F39" s="11"/>
    </row>
    <row r="40" spans="1:18">
      <c r="F40" s="11"/>
    </row>
    <row r="41" spans="1:18">
      <c r="A41" s="707" t="s">
        <v>79</v>
      </c>
      <c r="B41" s="707"/>
      <c r="F41" s="11"/>
    </row>
    <row r="43" spans="1:18">
      <c r="A43" s="8" t="s">
        <v>86</v>
      </c>
      <c r="B43" s="7"/>
      <c r="C43" s="7"/>
      <c r="D43" s="6"/>
    </row>
    <row r="44" spans="1:18">
      <c r="A44" s="8"/>
      <c r="B44" s="10"/>
      <c r="C44" s="10"/>
      <c r="D44" s="9"/>
      <c r="E44" s="1"/>
    </row>
    <row r="45" spans="1:18">
      <c r="A45" s="8" t="s">
        <v>87</v>
      </c>
      <c r="B45" s="7"/>
      <c r="C45" s="7"/>
      <c r="D45" s="6"/>
      <c r="E45" s="1"/>
    </row>
    <row r="46" spans="1:18">
      <c r="A46" s="8"/>
      <c r="E46" s="1"/>
    </row>
    <row r="47" spans="1:18">
      <c r="A47" s="8" t="s">
        <v>88</v>
      </c>
      <c r="B47" s="7"/>
      <c r="C47" s="7"/>
      <c r="D47" s="6"/>
      <c r="E47" s="1"/>
    </row>
    <row r="48" spans="1:18">
      <c r="A48" s="8"/>
      <c r="E48" s="1"/>
    </row>
    <row r="49" spans="1:5">
      <c r="A49" s="8" t="s">
        <v>89</v>
      </c>
      <c r="B49" s="7"/>
      <c r="C49" s="7"/>
      <c r="D49" s="6"/>
      <c r="E49" s="1"/>
    </row>
    <row r="50" spans="1:5">
      <c r="A50" s="1"/>
      <c r="E50" s="1"/>
    </row>
  </sheetData>
  <mergeCells count="4">
    <mergeCell ref="A41:B41"/>
    <mergeCell ref="A1:D1"/>
    <mergeCell ref="B2:F2"/>
    <mergeCell ref="G36:I36"/>
  </mergeCells>
  <phoneticPr fontId="68" type="noConversion"/>
  <pageMargins left="0.43000000000000005" right="0.43000000000000005" top="0.43000000000000005" bottom="1.2700000000000002" header="0.5" footer="0.5"/>
  <pageSetup orientation="landscape"/>
  <headerFooter alignWithMargins="0">
    <oddFooter>&amp;CEyes Only
Investment Manager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3" tint="-0.249977111117893"/>
  </sheetPr>
  <dimension ref="A1:GW80"/>
  <sheetViews>
    <sheetView topLeftCell="A3" workbookViewId="0">
      <selection activeCell="H26" sqref="H26"/>
    </sheetView>
  </sheetViews>
  <sheetFormatPr baseColWidth="10" defaultColWidth="9.1640625" defaultRowHeight="11" x14ac:dyDescent="0"/>
  <cols>
    <col min="1" max="1" width="7.83203125" style="68" customWidth="1"/>
    <col min="2" max="2" width="17.6640625" style="1" customWidth="1"/>
    <col min="3" max="3" width="8.6640625" style="1" customWidth="1"/>
    <col min="4" max="4" width="9.33203125" style="67" customWidth="1"/>
    <col min="5" max="5" width="6.83203125" style="1" customWidth="1"/>
    <col min="6" max="6" width="7.5" style="1" customWidth="1"/>
    <col min="7" max="7" width="8.33203125" style="1" customWidth="1"/>
    <col min="8" max="8" width="11" style="1" customWidth="1"/>
    <col min="9" max="9" width="6.5" style="1" customWidth="1"/>
    <col min="10" max="11" width="7" style="1" customWidth="1"/>
    <col min="12" max="12" width="7.5" style="1" customWidth="1"/>
    <col min="13" max="14" width="6.83203125" style="1" customWidth="1"/>
    <col min="15" max="15" width="7" style="1" customWidth="1"/>
    <col min="16" max="16384" width="9.1640625" style="1"/>
  </cols>
  <sheetData>
    <row r="1" spans="1:205" s="5" customFormat="1" ht="12">
      <c r="A1" s="563"/>
      <c r="B1" s="564" t="s">
        <v>38</v>
      </c>
      <c r="C1" s="565" t="s">
        <v>95</v>
      </c>
      <c r="D1" s="566" t="s">
        <v>39</v>
      </c>
      <c r="E1" s="713" t="s">
        <v>94</v>
      </c>
      <c r="F1" s="714"/>
      <c r="G1" s="714"/>
      <c r="H1" s="567" t="s">
        <v>97</v>
      </c>
      <c r="I1" s="567"/>
      <c r="J1" s="460"/>
      <c r="K1" s="460"/>
      <c r="L1" s="460"/>
      <c r="M1" s="460"/>
      <c r="N1" s="460"/>
      <c r="P1" s="460"/>
      <c r="Q1" s="460"/>
      <c r="R1" s="568"/>
      <c r="S1" s="568"/>
    </row>
    <row r="2" spans="1:205" s="5" customFormat="1" ht="37" thickBot="1">
      <c r="A2" s="549"/>
      <c r="B2" s="569" t="s">
        <v>37</v>
      </c>
      <c r="C2" s="570"/>
      <c r="D2" s="571" t="s">
        <v>21</v>
      </c>
      <c r="E2" s="572" t="s">
        <v>93</v>
      </c>
      <c r="F2" s="572" t="s">
        <v>92</v>
      </c>
      <c r="G2" s="572" t="s">
        <v>91</v>
      </c>
      <c r="H2" s="572" t="s">
        <v>98</v>
      </c>
      <c r="I2" s="572"/>
      <c r="J2" s="573" t="s">
        <v>111</v>
      </c>
      <c r="K2" s="573" t="s">
        <v>112</v>
      </c>
      <c r="L2" s="573" t="s">
        <v>113</v>
      </c>
      <c r="M2" s="573" t="s">
        <v>114</v>
      </c>
      <c r="N2" s="573" t="s">
        <v>106</v>
      </c>
      <c r="P2" s="460"/>
      <c r="Q2" s="460"/>
      <c r="R2" s="568"/>
      <c r="S2" s="568"/>
    </row>
    <row r="3" spans="1:205" s="69" customFormat="1" ht="12">
      <c r="A3" s="549" t="s">
        <v>157</v>
      </c>
      <c r="B3" s="288" t="s">
        <v>158</v>
      </c>
      <c r="C3" s="288" t="s">
        <v>109</v>
      </c>
      <c r="D3" s="288">
        <v>35.369999999999997</v>
      </c>
      <c r="E3" s="190"/>
      <c r="F3" s="190"/>
      <c r="G3" s="190"/>
      <c r="H3" s="393">
        <v>42620.666666666664</v>
      </c>
      <c r="I3" s="550"/>
      <c r="J3" s="652" t="s">
        <v>218</v>
      </c>
      <c r="K3" s="652"/>
      <c r="L3" s="652"/>
      <c r="M3" s="288"/>
      <c r="N3" s="653"/>
      <c r="O3" s="613"/>
      <c r="P3" s="190"/>
      <c r="Q3" s="190"/>
      <c r="R3" s="330"/>
      <c r="S3" s="330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</row>
    <row r="4" spans="1:205" s="69" customFormat="1" ht="12">
      <c r="A4" s="549" t="s">
        <v>159</v>
      </c>
      <c r="B4" s="288" t="s">
        <v>160</v>
      </c>
      <c r="C4" s="288" t="s">
        <v>108</v>
      </c>
      <c r="D4" s="288">
        <v>94.02</v>
      </c>
      <c r="E4" s="288"/>
      <c r="F4" s="551"/>
      <c r="G4" s="552"/>
      <c r="H4" s="393">
        <v>42620.666666666664</v>
      </c>
      <c r="I4" s="550"/>
      <c r="J4" s="652" t="s">
        <v>110</v>
      </c>
      <c r="K4" s="652"/>
      <c r="L4" s="652"/>
      <c r="M4" s="652"/>
      <c r="N4" s="652"/>
      <c r="O4" s="613"/>
      <c r="P4" s="190"/>
      <c r="Q4" s="190"/>
      <c r="R4" s="330"/>
      <c r="S4" s="330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</row>
    <row r="5" spans="1:205" s="69" customFormat="1" ht="12">
      <c r="A5" s="549" t="s">
        <v>161</v>
      </c>
      <c r="B5" s="288" t="s">
        <v>162</v>
      </c>
      <c r="C5" s="288" t="s">
        <v>109</v>
      </c>
      <c r="D5" s="288">
        <v>775.88</v>
      </c>
      <c r="E5" s="288"/>
      <c r="F5" s="551"/>
      <c r="G5" s="552"/>
      <c r="H5" s="393">
        <v>42636.666666666664</v>
      </c>
      <c r="I5" s="550"/>
      <c r="J5" s="652" t="s">
        <v>110</v>
      </c>
      <c r="K5" s="652"/>
      <c r="L5" s="652"/>
      <c r="M5" s="652"/>
      <c r="N5" s="652"/>
      <c r="O5" s="613"/>
      <c r="P5" s="190"/>
      <c r="Q5" s="190"/>
      <c r="R5" s="330"/>
      <c r="S5" s="330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</row>
    <row r="6" spans="1:205" s="69" customFormat="1" ht="12">
      <c r="A6" s="549" t="s">
        <v>163</v>
      </c>
      <c r="B6" s="288" t="s">
        <v>164</v>
      </c>
      <c r="C6" s="288" t="s">
        <v>109</v>
      </c>
      <c r="D6" s="288">
        <v>750.57</v>
      </c>
      <c r="E6" s="190"/>
      <c r="F6" s="190"/>
      <c r="G6" s="190"/>
      <c r="H6" s="393">
        <v>42625.666666666664</v>
      </c>
      <c r="I6" s="550"/>
      <c r="J6" s="652" t="s">
        <v>218</v>
      </c>
      <c r="K6" s="652"/>
      <c r="L6" s="652"/>
      <c r="M6" s="288"/>
      <c r="N6" s="652"/>
      <c r="O6" s="613"/>
      <c r="P6" s="190"/>
      <c r="Q6" s="190"/>
      <c r="R6" s="330"/>
      <c r="S6" s="330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</row>
    <row r="7" spans="1:205" ht="12">
      <c r="A7" s="549" t="s">
        <v>165</v>
      </c>
      <c r="B7" s="288" t="s">
        <v>166</v>
      </c>
      <c r="C7" s="288" t="s">
        <v>108</v>
      </c>
      <c r="D7" s="288">
        <v>49.12</v>
      </c>
      <c r="E7" s="551">
        <v>42709</v>
      </c>
      <c r="F7" s="551">
        <v>42734</v>
      </c>
      <c r="G7" s="553">
        <v>0.44</v>
      </c>
      <c r="H7" s="393">
        <v>42640.666666666664</v>
      </c>
      <c r="I7" s="550"/>
      <c r="J7" s="654">
        <v>0.44</v>
      </c>
      <c r="K7" s="655">
        <v>42657</v>
      </c>
      <c r="L7" s="655">
        <v>42709</v>
      </c>
      <c r="M7" s="655">
        <v>42711</v>
      </c>
      <c r="N7" s="656">
        <v>42734</v>
      </c>
      <c r="P7" s="190"/>
      <c r="Q7" s="190"/>
      <c r="R7" s="330"/>
      <c r="S7" s="330"/>
    </row>
    <row r="8" spans="1:205" ht="12">
      <c r="A8" s="549" t="s">
        <v>167</v>
      </c>
      <c r="B8" s="288" t="s">
        <v>168</v>
      </c>
      <c r="C8" s="288" t="s">
        <v>109</v>
      </c>
      <c r="D8" s="288">
        <v>110.52</v>
      </c>
      <c r="E8" s="551">
        <v>42677</v>
      </c>
      <c r="F8" s="551">
        <v>42684</v>
      </c>
      <c r="G8" s="553">
        <v>0.56999999999999995</v>
      </c>
      <c r="H8" s="393">
        <v>42620.666666666664</v>
      </c>
      <c r="I8" s="550" t="s">
        <v>219</v>
      </c>
      <c r="J8" s="654">
        <v>0.56999999999999995</v>
      </c>
      <c r="K8" s="655">
        <v>42668</v>
      </c>
      <c r="L8" s="655">
        <v>42677</v>
      </c>
      <c r="M8" s="655">
        <v>42681</v>
      </c>
      <c r="N8" s="656">
        <v>42684</v>
      </c>
      <c r="P8" s="190"/>
      <c r="Q8" s="190"/>
      <c r="R8" s="330"/>
      <c r="S8" s="330"/>
    </row>
    <row r="9" spans="1:205" ht="12">
      <c r="A9" s="549" t="s">
        <v>169</v>
      </c>
      <c r="B9" s="288" t="s">
        <v>170</v>
      </c>
      <c r="C9" s="288" t="s">
        <v>108</v>
      </c>
      <c r="D9" s="288">
        <v>21.12</v>
      </c>
      <c r="E9" s="551">
        <v>42704</v>
      </c>
      <c r="F9" s="551">
        <v>42734</v>
      </c>
      <c r="G9" s="553">
        <v>7.4999999999999997E-2</v>
      </c>
      <c r="H9" s="393">
        <v>42620.666666666664</v>
      </c>
      <c r="I9" s="550"/>
      <c r="J9" s="654">
        <v>7.4999999999999997E-2</v>
      </c>
      <c r="K9" s="655">
        <v>42670</v>
      </c>
      <c r="L9" s="655">
        <v>42704</v>
      </c>
      <c r="M9" s="655">
        <v>42706</v>
      </c>
      <c r="N9" s="656">
        <v>42734</v>
      </c>
      <c r="P9" s="190"/>
      <c r="Q9" s="190"/>
      <c r="R9" s="330"/>
      <c r="S9" s="330"/>
    </row>
    <row r="10" spans="1:205" ht="12">
      <c r="A10" s="549" t="s">
        <v>171</v>
      </c>
      <c r="B10" s="288" t="s">
        <v>172</v>
      </c>
      <c r="C10" s="288" t="s">
        <v>108</v>
      </c>
      <c r="D10" s="288">
        <v>10.75</v>
      </c>
      <c r="E10" s="551"/>
      <c r="F10" s="551"/>
      <c r="G10" s="553"/>
      <c r="H10" s="393">
        <v>42621.666666666664</v>
      </c>
      <c r="I10" s="550"/>
      <c r="J10" s="652" t="s">
        <v>110</v>
      </c>
      <c r="K10" s="652"/>
      <c r="L10" s="652"/>
      <c r="M10" s="655"/>
      <c r="N10" s="656"/>
      <c r="P10" s="190"/>
      <c r="Q10" s="190"/>
      <c r="R10" s="330"/>
      <c r="S10" s="330"/>
    </row>
    <row r="11" spans="1:205" ht="12">
      <c r="A11" s="549" t="s">
        <v>173</v>
      </c>
      <c r="B11" s="288" t="s">
        <v>174</v>
      </c>
      <c r="C11" s="288" t="s">
        <v>108</v>
      </c>
      <c r="D11" s="288">
        <v>22.12</v>
      </c>
      <c r="E11" s="551">
        <v>42682</v>
      </c>
      <c r="F11" s="551">
        <v>42692</v>
      </c>
      <c r="G11" s="553">
        <v>0.02</v>
      </c>
      <c r="H11" s="393">
        <v>42627.666666666664</v>
      </c>
      <c r="I11" s="550" t="s">
        <v>219</v>
      </c>
      <c r="J11" s="654">
        <v>0.02</v>
      </c>
      <c r="K11" s="655">
        <v>42670</v>
      </c>
      <c r="L11" s="655">
        <v>42682</v>
      </c>
      <c r="M11" s="655">
        <v>42684</v>
      </c>
      <c r="N11" s="656">
        <v>42692</v>
      </c>
      <c r="P11" s="190"/>
      <c r="Q11" s="190"/>
      <c r="R11" s="330"/>
      <c r="S11" s="330"/>
    </row>
    <row r="12" spans="1:205" ht="12">
      <c r="A12" s="549" t="s">
        <v>175</v>
      </c>
      <c r="B12" s="288" t="s">
        <v>176</v>
      </c>
      <c r="C12" s="288" t="s">
        <v>108</v>
      </c>
      <c r="D12" s="288">
        <v>15.8</v>
      </c>
      <c r="E12" s="551"/>
      <c r="F12" s="551"/>
      <c r="G12" s="553"/>
      <c r="H12" s="393">
        <v>42643.666666666664</v>
      </c>
      <c r="I12" s="550"/>
      <c r="J12" s="652" t="s">
        <v>110</v>
      </c>
      <c r="K12" s="652"/>
      <c r="L12" s="652"/>
      <c r="M12" s="655"/>
      <c r="N12" s="656"/>
      <c r="P12" s="190"/>
      <c r="Q12" s="190"/>
      <c r="R12" s="330"/>
      <c r="S12" s="330"/>
    </row>
    <row r="13" spans="1:205" ht="12">
      <c r="A13" s="549" t="s">
        <v>177</v>
      </c>
      <c r="B13" s="288" t="s">
        <v>178</v>
      </c>
      <c r="C13" s="288" t="s">
        <v>108</v>
      </c>
      <c r="D13" s="288">
        <v>73.77</v>
      </c>
      <c r="E13" s="551">
        <v>42690</v>
      </c>
      <c r="F13" s="551">
        <v>42720</v>
      </c>
      <c r="G13" s="553">
        <v>0.85499999999999998</v>
      </c>
      <c r="H13" s="393">
        <v>42640.666666666664</v>
      </c>
      <c r="I13" s="550" t="s">
        <v>219</v>
      </c>
      <c r="J13" s="654">
        <v>0.85499999999999998</v>
      </c>
      <c r="K13" s="655">
        <v>42670</v>
      </c>
      <c r="L13" s="655">
        <v>42690</v>
      </c>
      <c r="M13" s="655">
        <v>42692</v>
      </c>
      <c r="N13" s="655">
        <v>42720</v>
      </c>
      <c r="P13" s="190"/>
      <c r="Q13" s="190"/>
      <c r="R13" s="330"/>
      <c r="S13" s="330"/>
    </row>
    <row r="14" spans="1:205" ht="12">
      <c r="A14" s="549" t="s">
        <v>179</v>
      </c>
      <c r="B14" s="288" t="s">
        <v>180</v>
      </c>
      <c r="C14" s="288" t="s">
        <v>108</v>
      </c>
      <c r="D14" s="288">
        <v>87.3</v>
      </c>
      <c r="E14" s="551">
        <v>42682</v>
      </c>
      <c r="F14" s="551">
        <v>42713</v>
      </c>
      <c r="G14" s="553">
        <v>0.75</v>
      </c>
      <c r="H14" s="393">
        <v>42633.666666666664</v>
      </c>
      <c r="I14" s="550" t="s">
        <v>219</v>
      </c>
      <c r="J14" s="654">
        <v>0.75</v>
      </c>
      <c r="K14" s="657">
        <v>42669</v>
      </c>
      <c r="L14" s="657">
        <v>42682</v>
      </c>
      <c r="M14" s="657">
        <v>42684</v>
      </c>
      <c r="N14" s="657">
        <v>42713</v>
      </c>
      <c r="P14" s="190"/>
      <c r="Q14" s="190"/>
      <c r="R14" s="330"/>
      <c r="S14" s="330"/>
    </row>
    <row r="15" spans="1:205" ht="12">
      <c r="A15" s="549" t="s">
        <v>181</v>
      </c>
      <c r="B15" s="288" t="s">
        <v>182</v>
      </c>
      <c r="C15" s="288" t="s">
        <v>108</v>
      </c>
      <c r="D15" s="288">
        <v>11.96</v>
      </c>
      <c r="E15" s="551">
        <v>42668</v>
      </c>
      <c r="F15" s="551">
        <v>42705</v>
      </c>
      <c r="G15" s="553">
        <v>0.15</v>
      </c>
      <c r="H15" s="393">
        <v>42627.666666666664</v>
      </c>
      <c r="I15" s="550" t="s">
        <v>219</v>
      </c>
      <c r="J15" s="654">
        <v>0.15</v>
      </c>
      <c r="K15" s="655">
        <v>42656</v>
      </c>
      <c r="L15" s="655">
        <v>42668</v>
      </c>
      <c r="M15" s="655">
        <v>42670</v>
      </c>
      <c r="N15" s="655">
        <v>42705</v>
      </c>
      <c r="P15" s="190"/>
      <c r="Q15" s="190"/>
      <c r="R15" s="330"/>
      <c r="S15" s="330"/>
    </row>
    <row r="16" spans="1:205" ht="12">
      <c r="A16" s="549" t="s">
        <v>183</v>
      </c>
      <c r="B16" s="288" t="s">
        <v>184</v>
      </c>
      <c r="C16" s="288" t="s">
        <v>108</v>
      </c>
      <c r="D16" s="288">
        <v>30.76</v>
      </c>
      <c r="E16" s="551">
        <v>42628</v>
      </c>
      <c r="F16" s="551">
        <v>42668</v>
      </c>
      <c r="G16" s="553">
        <v>0.23</v>
      </c>
      <c r="H16" s="393">
        <v>42625.666666666664</v>
      </c>
      <c r="I16" s="550" t="s">
        <v>219</v>
      </c>
      <c r="J16" s="654">
        <v>0.23</v>
      </c>
      <c r="K16" s="655">
        <v>42622</v>
      </c>
      <c r="L16" s="655">
        <v>42628</v>
      </c>
      <c r="M16" s="655">
        <v>42632</v>
      </c>
      <c r="N16" s="655">
        <v>42668</v>
      </c>
      <c r="P16" s="190"/>
      <c r="Q16" s="190"/>
      <c r="R16" s="330"/>
      <c r="S16" s="330"/>
    </row>
    <row r="17" spans="1:19" ht="12">
      <c r="A17" s="549" t="s">
        <v>185</v>
      </c>
      <c r="B17" s="288" t="s">
        <v>186</v>
      </c>
      <c r="C17" s="288" t="s">
        <v>109</v>
      </c>
      <c r="D17" s="288">
        <v>20.09</v>
      </c>
      <c r="E17" s="190"/>
      <c r="F17" s="190"/>
      <c r="G17" s="190"/>
      <c r="H17" s="393">
        <v>42625.666666666664</v>
      </c>
      <c r="I17" s="550"/>
      <c r="J17" s="652" t="s">
        <v>110</v>
      </c>
      <c r="K17" s="652"/>
      <c r="L17" s="652"/>
      <c r="M17" s="288"/>
      <c r="N17" s="655"/>
      <c r="P17" s="190"/>
      <c r="Q17" s="190"/>
      <c r="R17" s="330"/>
      <c r="S17" s="330"/>
    </row>
    <row r="18" spans="1:19" ht="12">
      <c r="A18" s="549" t="s">
        <v>187</v>
      </c>
      <c r="B18" s="288" t="s">
        <v>188</v>
      </c>
      <c r="C18" s="288" t="s">
        <v>108</v>
      </c>
      <c r="D18" s="288">
        <v>80.17</v>
      </c>
      <c r="E18" s="551">
        <v>42647</v>
      </c>
      <c r="F18" s="551">
        <v>42674</v>
      </c>
      <c r="G18" s="553">
        <v>0.48</v>
      </c>
      <c r="H18" s="393">
        <v>42620.666666666664</v>
      </c>
      <c r="I18" s="550" t="s">
        <v>219</v>
      </c>
      <c r="J18" s="654">
        <v>0.48</v>
      </c>
      <c r="K18" s="657">
        <v>42633</v>
      </c>
      <c r="L18" s="657">
        <v>42647</v>
      </c>
      <c r="M18" s="657">
        <v>42649</v>
      </c>
      <c r="N18" s="657">
        <v>42674</v>
      </c>
      <c r="P18" s="190"/>
      <c r="Q18" s="190"/>
      <c r="R18" s="330"/>
      <c r="S18" s="330"/>
    </row>
    <row r="19" spans="1:19" ht="12">
      <c r="A19" s="549" t="s">
        <v>189</v>
      </c>
      <c r="B19" s="288" t="s">
        <v>190</v>
      </c>
      <c r="C19" s="288" t="s">
        <v>108</v>
      </c>
      <c r="D19" s="288">
        <v>9.59</v>
      </c>
      <c r="E19" s="190"/>
      <c r="F19" s="190"/>
      <c r="G19" s="190"/>
      <c r="H19" s="393">
        <v>42625.666666666664</v>
      </c>
      <c r="I19" s="550"/>
      <c r="J19" s="652" t="s">
        <v>218</v>
      </c>
      <c r="K19" s="652"/>
      <c r="L19" s="652"/>
      <c r="M19" s="288"/>
      <c r="N19" s="657"/>
      <c r="P19" s="190"/>
      <c r="Q19" s="190"/>
      <c r="R19" s="330"/>
      <c r="S19" s="330"/>
    </row>
    <row r="20" spans="1:19" ht="12">
      <c r="A20" s="549" t="s">
        <v>191</v>
      </c>
      <c r="B20" s="288" t="s">
        <v>192</v>
      </c>
      <c r="C20" s="288" t="s">
        <v>108</v>
      </c>
      <c r="D20" s="288">
        <v>78.78</v>
      </c>
      <c r="E20" s="551"/>
      <c r="F20" s="551"/>
      <c r="G20" s="553"/>
      <c r="H20" s="393">
        <v>42639.666666666664</v>
      </c>
      <c r="I20" s="550"/>
      <c r="J20" s="652" t="s">
        <v>110</v>
      </c>
      <c r="K20" s="652"/>
      <c r="L20" s="652"/>
      <c r="M20" s="288"/>
      <c r="N20" s="288"/>
      <c r="P20" s="190"/>
      <c r="Q20" s="190"/>
      <c r="R20" s="330"/>
      <c r="S20" s="330"/>
    </row>
    <row r="21" spans="1:19" ht="12">
      <c r="A21" s="549" t="s">
        <v>193</v>
      </c>
      <c r="B21" s="288" t="s">
        <v>194</v>
      </c>
      <c r="C21" s="288" t="s">
        <v>108</v>
      </c>
      <c r="D21" s="288">
        <v>50.07</v>
      </c>
      <c r="E21" s="551"/>
      <c r="F21" s="551"/>
      <c r="G21" s="553"/>
      <c r="H21" s="393">
        <v>42639.666666666664</v>
      </c>
      <c r="I21" s="550"/>
      <c r="J21" s="652" t="s">
        <v>110</v>
      </c>
      <c r="K21" s="652"/>
      <c r="L21" s="652"/>
      <c r="M21" s="288"/>
      <c r="N21" s="288"/>
      <c r="P21" s="190"/>
      <c r="Q21" s="190"/>
      <c r="R21" s="330"/>
      <c r="S21" s="330"/>
    </row>
    <row r="22" spans="1:19" ht="12">
      <c r="A22" s="549" t="s">
        <v>195</v>
      </c>
      <c r="B22" s="288" t="s">
        <v>196</v>
      </c>
      <c r="C22" s="288" t="s">
        <v>109</v>
      </c>
      <c r="D22" s="288">
        <v>37.6</v>
      </c>
      <c r="E22" s="551"/>
      <c r="F22" s="551"/>
      <c r="G22" s="553"/>
      <c r="H22" s="393">
        <v>42627.666666666664</v>
      </c>
      <c r="I22" s="550"/>
      <c r="J22" s="652" t="s">
        <v>110</v>
      </c>
      <c r="K22" s="652"/>
      <c r="L22" s="652"/>
      <c r="M22" s="288"/>
      <c r="N22" s="288"/>
      <c r="P22" s="190"/>
      <c r="Q22" s="190"/>
      <c r="R22" s="330"/>
      <c r="S22" s="330"/>
    </row>
    <row r="23" spans="1:19" ht="12">
      <c r="A23" s="549" t="s">
        <v>197</v>
      </c>
      <c r="B23" s="288" t="s">
        <v>198</v>
      </c>
      <c r="C23" s="288" t="s">
        <v>109</v>
      </c>
      <c r="D23" s="288">
        <v>3.84</v>
      </c>
      <c r="E23" s="551"/>
      <c r="F23" s="551"/>
      <c r="G23" s="553"/>
      <c r="H23" s="393">
        <v>42625.666666666664</v>
      </c>
      <c r="I23" s="550"/>
      <c r="J23" s="652" t="s">
        <v>110</v>
      </c>
      <c r="K23" s="652"/>
      <c r="L23" s="652"/>
      <c r="M23" s="288"/>
      <c r="N23" s="288"/>
      <c r="P23" s="190"/>
      <c r="Q23" s="190"/>
      <c r="R23" s="330"/>
      <c r="S23" s="330"/>
    </row>
    <row r="24" spans="1:19" ht="12">
      <c r="A24" s="549" t="s">
        <v>199</v>
      </c>
      <c r="B24" s="288" t="s">
        <v>200</v>
      </c>
      <c r="C24" s="288" t="s">
        <v>109</v>
      </c>
      <c r="D24" s="288">
        <v>57.97</v>
      </c>
      <c r="E24" s="190"/>
      <c r="F24" s="190"/>
      <c r="G24" s="190"/>
      <c r="H24" s="393">
        <v>42639.666666666664</v>
      </c>
      <c r="I24" s="550"/>
      <c r="J24" s="652" t="s">
        <v>218</v>
      </c>
      <c r="K24" s="652"/>
      <c r="L24" s="652"/>
      <c r="M24" s="288"/>
      <c r="N24" s="288"/>
      <c r="P24" s="190"/>
      <c r="Q24" s="190"/>
      <c r="R24" s="330"/>
      <c r="S24" s="330"/>
    </row>
    <row r="25" spans="1:19" ht="12">
      <c r="A25" s="549" t="s">
        <v>201</v>
      </c>
      <c r="B25" s="288" t="s">
        <v>202</v>
      </c>
      <c r="C25" s="288" t="s">
        <v>108</v>
      </c>
      <c r="D25" s="288">
        <v>52.92</v>
      </c>
      <c r="E25" s="551">
        <v>42676</v>
      </c>
      <c r="F25" s="551">
        <v>42705</v>
      </c>
      <c r="G25" s="553">
        <v>0.38</v>
      </c>
      <c r="H25" s="393">
        <v>42620.666666666664</v>
      </c>
      <c r="I25" s="550" t="s">
        <v>219</v>
      </c>
      <c r="J25" s="654">
        <v>0.38</v>
      </c>
      <c r="K25" s="655">
        <v>42668</v>
      </c>
      <c r="L25" s="655">
        <v>42676</v>
      </c>
      <c r="M25" s="655">
        <v>42678</v>
      </c>
      <c r="N25" s="656">
        <v>42705</v>
      </c>
      <c r="P25" s="190"/>
      <c r="Q25" s="190"/>
      <c r="R25" s="330"/>
      <c r="S25" s="330"/>
    </row>
    <row r="26" spans="1:19" ht="12">
      <c r="A26" s="549" t="s">
        <v>203</v>
      </c>
      <c r="B26" s="288" t="s">
        <v>204</v>
      </c>
      <c r="C26" s="288" t="s">
        <v>109</v>
      </c>
      <c r="D26" s="288">
        <v>41.02</v>
      </c>
      <c r="E26" s="190"/>
      <c r="F26" s="190"/>
      <c r="G26" s="190"/>
      <c r="H26" s="393">
        <v>42639.666666666664</v>
      </c>
      <c r="I26" s="550"/>
      <c r="J26" s="652" t="s">
        <v>218</v>
      </c>
      <c r="K26" s="652"/>
      <c r="L26" s="652"/>
      <c r="M26" s="288"/>
      <c r="N26" s="656"/>
      <c r="P26" s="190"/>
      <c r="Q26" s="190"/>
      <c r="R26" s="330"/>
      <c r="S26" s="330"/>
    </row>
    <row r="27" spans="1:19" ht="12">
      <c r="A27" s="549" t="s">
        <v>205</v>
      </c>
      <c r="B27" s="288" t="s">
        <v>206</v>
      </c>
      <c r="C27" s="288" t="s">
        <v>208</v>
      </c>
      <c r="D27" s="288">
        <v>17.75</v>
      </c>
      <c r="E27" s="551"/>
      <c r="F27" s="551"/>
      <c r="G27" s="554"/>
      <c r="H27" s="393">
        <v>42692.666666666664</v>
      </c>
      <c r="I27" s="550"/>
      <c r="J27" s="652" t="s">
        <v>110</v>
      </c>
      <c r="K27" s="652"/>
      <c r="L27" s="652"/>
      <c r="M27" s="288"/>
      <c r="N27" s="288"/>
      <c r="P27" s="190"/>
      <c r="Q27" s="190"/>
      <c r="R27" s="330"/>
      <c r="S27" s="330"/>
    </row>
    <row r="28" spans="1:19" ht="12">
      <c r="A28" s="549"/>
      <c r="B28" s="555"/>
      <c r="C28" s="288"/>
      <c r="D28" s="288"/>
      <c r="E28" s="288"/>
      <c r="F28" s="551"/>
      <c r="G28" s="551"/>
      <c r="H28" s="469"/>
      <c r="I28" s="393"/>
      <c r="J28" s="574"/>
      <c r="K28" s="190"/>
      <c r="L28" s="190"/>
      <c r="M28" s="190"/>
      <c r="N28" s="190"/>
      <c r="P28" s="190"/>
      <c r="Q28" s="190"/>
      <c r="R28" s="330"/>
      <c r="S28" s="330"/>
    </row>
    <row r="29" spans="1:19" ht="12">
      <c r="A29" s="549"/>
      <c r="B29" s="318"/>
      <c r="C29" s="318"/>
      <c r="D29" s="556"/>
      <c r="E29" s="557"/>
      <c r="F29" s="557"/>
      <c r="G29" s="558"/>
      <c r="H29" s="550"/>
      <c r="I29" s="393"/>
      <c r="J29" s="574"/>
      <c r="K29" s="190"/>
      <c r="L29" s="190"/>
      <c r="M29" s="190"/>
      <c r="N29" s="190"/>
      <c r="P29" s="190"/>
      <c r="Q29" s="190"/>
      <c r="R29" s="330"/>
      <c r="S29" s="330"/>
    </row>
    <row r="30" spans="1:19" ht="12">
      <c r="A30" s="549"/>
      <c r="B30" s="318"/>
      <c r="C30" s="318"/>
      <c r="D30" s="559"/>
      <c r="E30" s="557"/>
      <c r="F30" s="557"/>
      <c r="G30" s="560"/>
      <c r="H30" s="550"/>
      <c r="I30" s="550"/>
      <c r="J30" s="190"/>
      <c r="K30" s="574"/>
      <c r="L30" s="190"/>
      <c r="M30" s="190"/>
      <c r="N30" s="190"/>
      <c r="O30" s="190"/>
      <c r="P30" s="190"/>
      <c r="Q30" s="190"/>
      <c r="R30" s="330"/>
      <c r="S30" s="330"/>
    </row>
    <row r="31" spans="1:19" ht="12">
      <c r="A31" s="549"/>
      <c r="B31" s="318"/>
      <c r="C31" s="318"/>
      <c r="D31" s="559"/>
      <c r="E31" s="557"/>
      <c r="F31" s="557"/>
      <c r="G31" s="558"/>
      <c r="H31" s="550"/>
      <c r="I31" s="550"/>
      <c r="J31" s="190"/>
      <c r="K31" s="574"/>
      <c r="L31" s="190"/>
      <c r="M31" s="190"/>
      <c r="N31" s="190"/>
      <c r="O31" s="190"/>
      <c r="P31" s="190"/>
      <c r="Q31" s="190"/>
      <c r="R31" s="330"/>
      <c r="S31" s="330"/>
    </row>
    <row r="32" spans="1:19" ht="12">
      <c r="A32" s="549"/>
      <c r="B32" s="318"/>
      <c r="C32" s="318"/>
      <c r="D32" s="559"/>
      <c r="E32" s="557"/>
      <c r="F32" s="557"/>
      <c r="G32" s="558"/>
      <c r="H32" s="550"/>
      <c r="I32" s="550"/>
      <c r="J32" s="190"/>
      <c r="K32" s="190"/>
      <c r="L32" s="190"/>
      <c r="M32" s="190"/>
      <c r="N32" s="190"/>
      <c r="O32" s="190"/>
      <c r="P32" s="190"/>
      <c r="Q32" s="190"/>
      <c r="R32" s="330"/>
      <c r="S32" s="330"/>
    </row>
    <row r="33" spans="1:19" ht="12">
      <c r="A33" s="549"/>
      <c r="B33" s="318"/>
      <c r="C33" s="318"/>
      <c r="D33" s="561"/>
      <c r="E33" s="557"/>
      <c r="F33" s="557"/>
      <c r="G33" s="469"/>
      <c r="H33" s="550"/>
      <c r="I33" s="550"/>
      <c r="J33" s="190"/>
      <c r="K33" s="190"/>
      <c r="L33" s="190"/>
      <c r="M33" s="190"/>
      <c r="N33" s="190"/>
      <c r="O33" s="190"/>
      <c r="P33" s="190"/>
      <c r="Q33" s="190"/>
      <c r="R33" s="330"/>
      <c r="S33" s="330"/>
    </row>
    <row r="34" spans="1:19" ht="12">
      <c r="A34" s="549"/>
      <c r="B34" s="318"/>
      <c r="C34" s="318"/>
      <c r="D34" s="575"/>
      <c r="E34" s="557"/>
      <c r="F34" s="557"/>
      <c r="G34" s="469"/>
      <c r="H34" s="550"/>
      <c r="I34" s="550"/>
      <c r="J34" s="190"/>
      <c r="K34" s="190"/>
      <c r="L34" s="190"/>
      <c r="M34" s="190"/>
      <c r="N34" s="190"/>
      <c r="O34" s="190"/>
      <c r="P34" s="190"/>
      <c r="Q34" s="190"/>
      <c r="R34" s="330"/>
      <c r="S34" s="330"/>
    </row>
    <row r="35" spans="1:19" ht="12">
      <c r="A35" s="549"/>
      <c r="B35" s="318"/>
      <c r="C35" s="318"/>
      <c r="D35" s="575"/>
      <c r="E35" s="557"/>
      <c r="F35" s="557"/>
      <c r="G35" s="469"/>
      <c r="H35" s="550"/>
      <c r="I35" s="550"/>
      <c r="J35" s="190"/>
      <c r="K35" s="190"/>
      <c r="L35" s="190"/>
      <c r="M35" s="190"/>
      <c r="N35" s="190"/>
      <c r="O35" s="190"/>
      <c r="P35" s="190"/>
      <c r="Q35" s="190"/>
      <c r="R35" s="330"/>
      <c r="S35" s="330"/>
    </row>
    <row r="36" spans="1:19" ht="12">
      <c r="A36" s="549"/>
      <c r="B36" s="318"/>
      <c r="C36" s="318"/>
      <c r="D36" s="575"/>
      <c r="E36" s="557"/>
      <c r="F36" s="557"/>
      <c r="G36" s="469"/>
      <c r="H36" s="550"/>
      <c r="I36" s="550"/>
      <c r="J36" s="190"/>
      <c r="K36" s="190"/>
      <c r="L36" s="190"/>
      <c r="M36" s="190"/>
      <c r="N36" s="190"/>
      <c r="O36" s="190"/>
      <c r="P36" s="190"/>
      <c r="Q36" s="190"/>
      <c r="R36" s="330"/>
      <c r="S36" s="330"/>
    </row>
    <row r="37" spans="1:19" ht="12">
      <c r="A37" s="549"/>
      <c r="B37" s="318"/>
      <c r="C37" s="318"/>
      <c r="D37" s="575"/>
      <c r="E37" s="557"/>
      <c r="F37" s="557"/>
      <c r="G37" s="469"/>
      <c r="H37" s="550"/>
      <c r="I37" s="550"/>
      <c r="J37" s="190"/>
      <c r="K37" s="190"/>
      <c r="L37" s="190"/>
      <c r="M37" s="190"/>
      <c r="N37" s="190"/>
      <c r="O37" s="190"/>
      <c r="P37" s="190"/>
      <c r="Q37" s="190"/>
      <c r="R37" s="330"/>
      <c r="S37" s="330"/>
    </row>
    <row r="38" spans="1:19" ht="13" customHeight="1" thickBot="1">
      <c r="A38" s="577" t="s">
        <v>90</v>
      </c>
      <c r="B38" s="460" t="s">
        <v>101</v>
      </c>
      <c r="C38" s="318"/>
      <c r="D38" s="576"/>
      <c r="E38" s="557"/>
      <c r="F38" s="557"/>
      <c r="G38" s="469"/>
      <c r="H38" s="550"/>
      <c r="I38" s="550"/>
      <c r="J38" s="190"/>
      <c r="K38" s="190"/>
      <c r="L38" s="190"/>
      <c r="M38" s="190"/>
      <c r="N38" s="190"/>
      <c r="O38" s="190"/>
      <c r="P38" s="554"/>
      <c r="Q38" s="554"/>
      <c r="R38" s="562"/>
      <c r="S38" s="330"/>
    </row>
    <row r="39" spans="1:19" ht="12">
      <c r="C39" s="318"/>
      <c r="D39" s="578"/>
      <c r="E39" s="557"/>
      <c r="F39" s="557"/>
      <c r="G39" s="469"/>
      <c r="H39" s="550"/>
      <c r="I39" s="550"/>
      <c r="J39" s="190"/>
      <c r="K39" s="190"/>
      <c r="L39" s="190"/>
      <c r="M39" s="190"/>
      <c r="N39" s="190"/>
      <c r="O39" s="190"/>
      <c r="P39" s="190"/>
      <c r="Q39" s="190"/>
      <c r="R39" s="330"/>
      <c r="S39" s="330"/>
    </row>
    <row r="40" spans="1:19" ht="12">
      <c r="A40" s="460"/>
      <c r="B40" s="318"/>
      <c r="C40" s="318"/>
      <c r="D40" s="318"/>
      <c r="E40" s="557"/>
      <c r="F40" s="557"/>
      <c r="G40" s="469"/>
      <c r="H40" s="550"/>
      <c r="I40" s="550"/>
      <c r="J40" s="190"/>
      <c r="K40" s="190"/>
      <c r="L40" s="190"/>
      <c r="M40" s="190"/>
      <c r="N40" s="190"/>
      <c r="O40" s="190"/>
      <c r="P40" s="190"/>
      <c r="Q40" s="190"/>
      <c r="R40" s="330"/>
      <c r="S40" s="330"/>
    </row>
    <row r="41" spans="1:19" ht="12">
      <c r="A41" s="460"/>
      <c r="B41" s="190"/>
      <c r="C41" s="190"/>
      <c r="D41" s="579"/>
      <c r="E41" s="557"/>
      <c r="F41" s="557"/>
      <c r="G41" s="469"/>
      <c r="H41" s="550"/>
      <c r="I41" s="550"/>
      <c r="J41" s="190"/>
      <c r="K41" s="190"/>
      <c r="L41" s="190"/>
      <c r="M41" s="190"/>
      <c r="N41" s="190"/>
      <c r="O41" s="190"/>
      <c r="P41" s="190"/>
      <c r="Q41" s="190"/>
      <c r="R41" s="330"/>
      <c r="S41" s="330"/>
    </row>
    <row r="42" spans="1:19" ht="12">
      <c r="A42" s="460"/>
      <c r="B42" s="190"/>
      <c r="C42" s="190"/>
      <c r="D42" s="579"/>
      <c r="E42" s="557"/>
      <c r="F42" s="557"/>
      <c r="G42" s="469"/>
      <c r="H42" s="550"/>
      <c r="I42" s="550"/>
      <c r="J42" s="190"/>
      <c r="K42" s="190"/>
      <c r="L42" s="190"/>
      <c r="M42" s="190"/>
      <c r="N42" s="190"/>
      <c r="O42" s="190"/>
      <c r="P42" s="190"/>
      <c r="Q42" s="190"/>
      <c r="R42" s="330"/>
      <c r="S42" s="330"/>
    </row>
    <row r="43" spans="1:19" ht="12">
      <c r="A43" s="190"/>
      <c r="B43" s="190"/>
      <c r="C43" s="190"/>
      <c r="D43" s="580"/>
      <c r="E43" s="190"/>
      <c r="F43" s="190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190"/>
      <c r="R43" s="330"/>
      <c r="S43" s="330"/>
    </row>
    <row r="44" spans="1:19" ht="10" customHeight="1">
      <c r="A44" s="581" t="s">
        <v>142</v>
      </c>
      <c r="B44" s="581"/>
      <c r="C44" s="581"/>
      <c r="D44" s="581"/>
      <c r="E44" s="581"/>
      <c r="F44" s="581"/>
      <c r="G44" s="581"/>
      <c r="H44" s="581"/>
      <c r="I44" s="581"/>
      <c r="J44" s="581"/>
      <c r="K44" s="554"/>
      <c r="L44" s="554"/>
      <c r="M44" s="554"/>
      <c r="N44" s="554"/>
      <c r="O44" s="554"/>
      <c r="P44" s="190"/>
      <c r="Q44" s="190"/>
      <c r="R44" s="330"/>
      <c r="S44" s="330"/>
    </row>
    <row r="45" spans="1:19" ht="12">
      <c r="A45" s="581"/>
      <c r="B45" s="581"/>
      <c r="C45" s="581"/>
      <c r="D45" s="581"/>
      <c r="E45" s="581"/>
      <c r="F45" s="581"/>
      <c r="G45" s="581"/>
      <c r="H45" s="581"/>
      <c r="I45" s="581"/>
      <c r="J45" s="581"/>
      <c r="K45" s="190"/>
      <c r="L45" s="190"/>
      <c r="M45" s="190"/>
      <c r="N45" s="190"/>
      <c r="O45" s="190"/>
      <c r="P45" s="190"/>
      <c r="Q45" s="190"/>
      <c r="R45" s="330"/>
      <c r="S45" s="330"/>
    </row>
    <row r="46" spans="1:19" ht="12">
      <c r="A46" s="190" t="s">
        <v>41</v>
      </c>
      <c r="B46" s="190"/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330"/>
      <c r="S46" s="330"/>
    </row>
    <row r="47" spans="1:19" ht="13" thickBot="1">
      <c r="A47" s="460"/>
      <c r="B47" s="190"/>
      <c r="C47" s="190"/>
      <c r="D47" s="58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330"/>
      <c r="S47" s="330"/>
    </row>
    <row r="48" spans="1:19" ht="12">
      <c r="A48" s="460"/>
      <c r="B48" s="582"/>
      <c r="C48" s="582"/>
      <c r="D48" s="583"/>
      <c r="E48" s="715" t="s">
        <v>63</v>
      </c>
      <c r="F48" s="716"/>
      <c r="G48" s="716"/>
      <c r="H48" s="716"/>
      <c r="I48" s="716"/>
      <c r="J48" s="584"/>
      <c r="K48" s="585"/>
      <c r="L48" s="190"/>
      <c r="M48" s="190"/>
      <c r="N48" s="190"/>
      <c r="O48" s="190"/>
      <c r="P48" s="190"/>
      <c r="Q48" s="190"/>
      <c r="R48" s="330"/>
      <c r="S48" s="330"/>
    </row>
    <row r="49" spans="1:19" ht="12">
      <c r="A49" s="586"/>
      <c r="B49" s="587" t="s">
        <v>53</v>
      </c>
      <c r="C49" s="587" t="s">
        <v>54</v>
      </c>
      <c r="D49" s="587" t="s">
        <v>55</v>
      </c>
      <c r="E49" s="588"/>
      <c r="F49" s="589" t="s">
        <v>45</v>
      </c>
      <c r="G49" s="589" t="s">
        <v>46</v>
      </c>
      <c r="H49" s="589" t="s">
        <v>47</v>
      </c>
      <c r="I49" s="590" t="s">
        <v>48</v>
      </c>
      <c r="J49" s="591" t="s">
        <v>103</v>
      </c>
      <c r="K49" s="592" t="s">
        <v>80</v>
      </c>
      <c r="L49" s="190"/>
      <c r="M49" s="190"/>
      <c r="N49" s="190"/>
      <c r="O49" s="190"/>
      <c r="P49" s="190"/>
      <c r="Q49" s="190"/>
      <c r="R49" s="330"/>
      <c r="S49" s="330"/>
    </row>
    <row r="50" spans="1:19" ht="12">
      <c r="A50" s="593" t="s">
        <v>45</v>
      </c>
      <c r="B50" s="594" t="s">
        <v>49</v>
      </c>
      <c r="C50" s="651">
        <v>1</v>
      </c>
      <c r="D50" s="595">
        <v>1</v>
      </c>
      <c r="E50" s="596" t="s">
        <v>45</v>
      </c>
      <c r="F50" s="597">
        <v>1</v>
      </c>
      <c r="G50" s="598">
        <v>0.94510000000000005</v>
      </c>
      <c r="H50" s="599" t="s">
        <v>220</v>
      </c>
      <c r="I50" s="600" t="s">
        <v>221</v>
      </c>
      <c r="J50" s="601" t="s">
        <v>222</v>
      </c>
      <c r="K50" s="602" t="s">
        <v>223</v>
      </c>
      <c r="L50" s="190"/>
      <c r="M50" s="190"/>
      <c r="N50" s="190"/>
      <c r="O50" s="190"/>
      <c r="P50" s="190"/>
      <c r="Q50" s="190"/>
      <c r="R50" s="330"/>
      <c r="S50" s="330"/>
    </row>
    <row r="51" spans="1:19" ht="12">
      <c r="A51" s="593" t="s">
        <v>46</v>
      </c>
      <c r="B51" s="594" t="s">
        <v>85</v>
      </c>
      <c r="C51" s="651">
        <v>0.94510000000000005</v>
      </c>
      <c r="D51" s="595">
        <v>1.0580830000000001</v>
      </c>
      <c r="E51" s="596" t="s">
        <v>46</v>
      </c>
      <c r="F51" s="597">
        <v>1.0581</v>
      </c>
      <c r="G51" s="598">
        <v>1</v>
      </c>
      <c r="H51" s="599" t="s">
        <v>224</v>
      </c>
      <c r="I51" s="600" t="s">
        <v>225</v>
      </c>
      <c r="J51" s="601" t="s">
        <v>226</v>
      </c>
      <c r="K51" s="602" t="s">
        <v>227</v>
      </c>
      <c r="L51" s="190"/>
      <c r="M51" s="190"/>
      <c r="N51" s="190"/>
      <c r="O51" s="190"/>
      <c r="P51" s="190"/>
      <c r="Q51" s="190"/>
      <c r="R51" s="330"/>
      <c r="S51" s="330"/>
    </row>
    <row r="52" spans="1:19" ht="12">
      <c r="A52" s="593" t="s">
        <v>47</v>
      </c>
      <c r="B52" s="594" t="s">
        <v>51</v>
      </c>
      <c r="C52" s="651">
        <v>0.80089999999999995</v>
      </c>
      <c r="D52" s="595">
        <v>1.248532</v>
      </c>
      <c r="E52" s="596" t="s">
        <v>47</v>
      </c>
      <c r="F52" s="597">
        <v>1.2484999999999999</v>
      </c>
      <c r="G52" s="598">
        <v>1.18</v>
      </c>
      <c r="H52" s="599" t="s">
        <v>228</v>
      </c>
      <c r="I52" s="600" t="s">
        <v>229</v>
      </c>
      <c r="J52" s="601" t="s">
        <v>230</v>
      </c>
      <c r="K52" s="602" t="s">
        <v>231</v>
      </c>
      <c r="L52" s="190"/>
      <c r="M52" s="190"/>
      <c r="N52" s="190"/>
      <c r="O52" s="190"/>
      <c r="P52" s="190"/>
      <c r="Q52" s="190"/>
      <c r="R52" s="330"/>
      <c r="S52" s="330"/>
    </row>
    <row r="53" spans="1:19" ht="12">
      <c r="A53" s="593" t="s">
        <v>48</v>
      </c>
      <c r="B53" s="594" t="s">
        <v>52</v>
      </c>
      <c r="C53" s="651">
        <v>1.3428</v>
      </c>
      <c r="D53" s="595">
        <v>0.74473699999999998</v>
      </c>
      <c r="E53" s="596" t="s">
        <v>48</v>
      </c>
      <c r="F53" s="597">
        <v>0.74470000000000003</v>
      </c>
      <c r="G53" s="598">
        <v>0.70389999999999997</v>
      </c>
      <c r="H53" s="599" t="s">
        <v>232</v>
      </c>
      <c r="I53" s="600" t="s">
        <v>233</v>
      </c>
      <c r="J53" s="601" t="s">
        <v>234</v>
      </c>
      <c r="K53" s="602" t="s">
        <v>235</v>
      </c>
      <c r="L53" s="190"/>
      <c r="M53" s="190"/>
      <c r="N53" s="190"/>
      <c r="O53" s="190"/>
      <c r="P53" s="190"/>
      <c r="Q53" s="190"/>
      <c r="R53" s="330"/>
      <c r="S53" s="330"/>
    </row>
    <row r="54" spans="1:19" ht="12">
      <c r="A54" s="593" t="s">
        <v>103</v>
      </c>
      <c r="B54" s="594" t="s">
        <v>102</v>
      </c>
      <c r="C54" s="651">
        <v>6.8906000000000001</v>
      </c>
      <c r="D54" s="595">
        <v>0.145126</v>
      </c>
      <c r="E54" s="596" t="s">
        <v>103</v>
      </c>
      <c r="F54" s="597">
        <v>0.14510000000000001</v>
      </c>
      <c r="G54" s="598">
        <v>0.13719999999999999</v>
      </c>
      <c r="H54" s="599" t="s">
        <v>236</v>
      </c>
      <c r="I54" s="600" t="s">
        <v>237</v>
      </c>
      <c r="J54" s="601" t="s">
        <v>238</v>
      </c>
      <c r="K54" s="602" t="s">
        <v>239</v>
      </c>
      <c r="L54" s="190"/>
      <c r="M54" s="190"/>
      <c r="N54" s="190"/>
      <c r="O54" s="190"/>
      <c r="P54" s="190"/>
      <c r="Q54" s="190"/>
      <c r="R54" s="330"/>
      <c r="S54" s="330"/>
    </row>
    <row r="55" spans="1:19" ht="13" thickBot="1">
      <c r="A55" s="603" t="s">
        <v>80</v>
      </c>
      <c r="B55" s="604" t="s">
        <v>81</v>
      </c>
      <c r="C55" s="651">
        <v>114.3201</v>
      </c>
      <c r="D55" s="605">
        <v>8.7469999999999996E-3</v>
      </c>
      <c r="E55" s="606" t="s">
        <v>80</v>
      </c>
      <c r="F55" s="607">
        <v>8.6999999999999994E-3</v>
      </c>
      <c r="G55" s="608">
        <v>8.3000000000000001E-3</v>
      </c>
      <c r="H55" s="609" t="s">
        <v>240</v>
      </c>
      <c r="I55" s="610" t="s">
        <v>241</v>
      </c>
      <c r="J55" s="611" t="s">
        <v>242</v>
      </c>
      <c r="K55" s="612" t="s">
        <v>238</v>
      </c>
      <c r="L55" s="190"/>
      <c r="M55" s="190"/>
      <c r="N55" s="190"/>
      <c r="O55" s="190"/>
      <c r="P55" s="190"/>
      <c r="Q55" s="190"/>
      <c r="R55" s="330"/>
      <c r="S55" s="330"/>
    </row>
    <row r="56" spans="1:19" ht="12">
      <c r="A56" s="460"/>
      <c r="B56" s="190"/>
      <c r="C56" s="190"/>
      <c r="D56" s="580"/>
      <c r="E56" s="190"/>
      <c r="F56" s="190"/>
      <c r="G56" s="190"/>
      <c r="H56" s="190"/>
      <c r="I56" s="190"/>
      <c r="J56" s="190"/>
      <c r="K56" s="190"/>
      <c r="L56" s="190"/>
      <c r="M56" s="190"/>
      <c r="N56" s="190"/>
      <c r="O56" s="190"/>
      <c r="P56" s="190"/>
      <c r="Q56" s="190"/>
      <c r="R56" s="330"/>
      <c r="S56" s="330"/>
    </row>
    <row r="57" spans="1:19" ht="12">
      <c r="A57" s="460"/>
      <c r="B57" s="190"/>
      <c r="C57" s="190"/>
      <c r="D57" s="58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330"/>
      <c r="S57" s="330"/>
    </row>
    <row r="58" spans="1:19" ht="12">
      <c r="A58" s="460"/>
      <c r="B58" s="190"/>
      <c r="C58" s="190"/>
      <c r="D58" s="580"/>
      <c r="E58" s="190"/>
      <c r="F58" s="190"/>
      <c r="G58" s="190"/>
      <c r="H58" s="190"/>
      <c r="I58" s="190"/>
      <c r="J58" s="190"/>
      <c r="K58" s="190"/>
      <c r="L58" s="190"/>
      <c r="M58" s="190"/>
      <c r="N58" s="190"/>
      <c r="O58" s="190"/>
      <c r="P58" s="190"/>
      <c r="Q58" s="190"/>
      <c r="R58" s="330"/>
      <c r="S58" s="330"/>
    </row>
    <row r="59" spans="1:19" ht="12">
      <c r="A59" s="460"/>
      <c r="B59" s="190"/>
      <c r="C59" s="190"/>
      <c r="D59" s="580"/>
      <c r="E59" s="190"/>
      <c r="F59" s="190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0"/>
      <c r="R59" s="330"/>
      <c r="S59" s="330"/>
    </row>
    <row r="60" spans="1:19">
      <c r="A60" s="142"/>
      <c r="B60" s="119"/>
      <c r="C60" s="119"/>
      <c r="D60" s="146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</row>
    <row r="61" spans="1:19">
      <c r="A61" s="142"/>
      <c r="B61" s="119"/>
      <c r="C61" s="119"/>
      <c r="D61" s="146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</row>
    <row r="62" spans="1:19">
      <c r="A62" s="142"/>
      <c r="B62" s="119"/>
      <c r="C62" s="119"/>
      <c r="D62" s="146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</row>
    <row r="63" spans="1:19">
      <c r="A63" s="142"/>
      <c r="B63" s="119"/>
      <c r="C63" s="119"/>
      <c r="D63" s="146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</row>
    <row r="64" spans="1:19" ht="14">
      <c r="A64" s="147"/>
      <c r="B64" s="148"/>
      <c r="C64" s="150"/>
      <c r="D64" s="151"/>
      <c r="E64" s="144"/>
      <c r="F64" s="144"/>
      <c r="G64" s="145"/>
      <c r="H64" s="119"/>
      <c r="I64" s="119"/>
      <c r="J64" s="119"/>
      <c r="K64" s="119"/>
      <c r="L64" s="119"/>
      <c r="M64" s="119"/>
      <c r="N64" s="119"/>
      <c r="O64" s="119"/>
      <c r="P64" s="119"/>
      <c r="Q64" s="119"/>
    </row>
    <row r="65" spans="1:17" ht="14">
      <c r="A65" s="147"/>
      <c r="B65" s="143"/>
      <c r="C65" s="149"/>
      <c r="D65" s="152"/>
      <c r="E65" s="144"/>
      <c r="F65" s="144"/>
      <c r="G65" s="145"/>
      <c r="H65" s="119"/>
      <c r="I65" s="119"/>
      <c r="J65" s="119"/>
      <c r="K65" s="119"/>
      <c r="L65" s="119"/>
      <c r="M65" s="119"/>
      <c r="N65" s="119"/>
      <c r="O65" s="119"/>
      <c r="P65" s="119"/>
      <c r="Q65" s="119"/>
    </row>
    <row r="66" spans="1:17" ht="14">
      <c r="A66" s="147"/>
      <c r="B66" s="143"/>
      <c r="C66" s="149"/>
      <c r="D66" s="152"/>
      <c r="E66" s="144"/>
      <c r="F66" s="144"/>
      <c r="G66" s="145"/>
      <c r="H66" s="119"/>
      <c r="I66" s="119"/>
      <c r="J66" s="119"/>
      <c r="K66" s="119"/>
      <c r="L66" s="119"/>
      <c r="M66" s="119"/>
      <c r="N66" s="119"/>
      <c r="O66" s="119"/>
      <c r="P66" s="119"/>
      <c r="Q66" s="119"/>
    </row>
    <row r="67" spans="1:17" ht="14">
      <c r="A67" s="147"/>
      <c r="B67" s="143"/>
      <c r="C67" s="149"/>
      <c r="D67" s="152"/>
      <c r="E67" s="144"/>
      <c r="F67" s="144"/>
      <c r="G67" s="145"/>
      <c r="H67" s="119"/>
      <c r="I67" s="119"/>
      <c r="J67" s="119"/>
      <c r="K67" s="119"/>
      <c r="L67" s="119"/>
      <c r="M67" s="119"/>
      <c r="N67" s="119"/>
      <c r="O67" s="119"/>
      <c r="P67" s="119"/>
      <c r="Q67" s="119"/>
    </row>
    <row r="68" spans="1:17" ht="14">
      <c r="A68" s="147"/>
      <c r="B68" s="143"/>
      <c r="C68" s="149"/>
      <c r="D68" s="152"/>
      <c r="E68" s="144"/>
      <c r="F68" s="144"/>
      <c r="G68" s="145"/>
      <c r="H68" s="119"/>
      <c r="I68" s="119"/>
      <c r="J68" s="119"/>
      <c r="K68" s="119"/>
      <c r="L68" s="119"/>
      <c r="M68" s="119"/>
      <c r="N68" s="119"/>
      <c r="O68" s="119"/>
      <c r="P68" s="119"/>
      <c r="Q68" s="119"/>
    </row>
    <row r="69" spans="1:17" ht="12">
      <c r="A69" s="147"/>
      <c r="B69" s="143"/>
      <c r="C69" s="143"/>
      <c r="D69" s="152"/>
      <c r="E69" s="144"/>
      <c r="F69" s="144"/>
      <c r="G69" s="145"/>
      <c r="H69" s="119"/>
      <c r="I69" s="119"/>
      <c r="J69" s="119"/>
      <c r="K69" s="119"/>
      <c r="L69" s="119"/>
      <c r="M69" s="119"/>
      <c r="N69" s="119"/>
      <c r="O69" s="119"/>
      <c r="P69" s="119"/>
      <c r="Q69" s="119"/>
    </row>
    <row r="70" spans="1:17" ht="12">
      <c r="A70" s="147"/>
      <c r="B70" s="143"/>
      <c r="C70" s="143"/>
      <c r="D70" s="152"/>
      <c r="E70" s="144"/>
      <c r="F70" s="144"/>
      <c r="G70" s="145"/>
      <c r="H70" s="119"/>
      <c r="I70" s="119"/>
      <c r="J70" s="119"/>
      <c r="K70" s="119"/>
      <c r="L70" s="119"/>
      <c r="M70" s="119"/>
      <c r="N70" s="119"/>
      <c r="O70" s="119"/>
      <c r="P70" s="119"/>
      <c r="Q70" s="119"/>
    </row>
    <row r="71" spans="1:17">
      <c r="A71" s="142"/>
      <c r="B71" s="119"/>
      <c r="C71" s="119"/>
      <c r="D71" s="146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</row>
    <row r="72" spans="1:17">
      <c r="A72" s="142"/>
      <c r="B72" s="119"/>
      <c r="C72" s="119"/>
      <c r="D72" s="146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</row>
    <row r="73" spans="1:17">
      <c r="A73" s="142"/>
      <c r="B73" s="119"/>
      <c r="C73" s="119"/>
      <c r="D73" s="146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</row>
    <row r="74" spans="1:17">
      <c r="A74" s="142"/>
      <c r="B74" s="119"/>
      <c r="C74" s="119"/>
      <c r="D74" s="146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</row>
    <row r="75" spans="1:17">
      <c r="A75" s="142"/>
      <c r="B75" s="119"/>
      <c r="C75" s="119"/>
      <c r="D75" s="146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</row>
    <row r="76" spans="1:17">
      <c r="A76" s="142"/>
      <c r="B76" s="119"/>
      <c r="C76" s="119"/>
      <c r="D76" s="146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</row>
    <row r="77" spans="1:17">
      <c r="A77" s="142"/>
      <c r="B77" s="119"/>
      <c r="C77" s="119"/>
      <c r="D77" s="146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</row>
    <row r="78" spans="1:17">
      <c r="A78" s="142"/>
      <c r="B78" s="119"/>
      <c r="C78" s="119"/>
      <c r="D78" s="146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</row>
    <row r="79" spans="1:17">
      <c r="A79" s="142"/>
      <c r="B79" s="119"/>
      <c r="C79" s="119"/>
      <c r="D79" s="146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</row>
    <row r="80" spans="1:17">
      <c r="A80" s="142"/>
      <c r="B80" s="119"/>
      <c r="C80" s="119"/>
      <c r="D80" s="146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</row>
  </sheetData>
  <mergeCells count="2">
    <mergeCell ref="E1:G1"/>
    <mergeCell ref="E48:I48"/>
  </mergeCells>
  <phoneticPr fontId="68" type="noConversion"/>
  <pageMargins left="0.43000000000000005" right="0.43000000000000005" top="0.43000000000000005" bottom="1.2700000000000002" header="0.5" footer="0.5"/>
  <pageSetup orientation="landscape"/>
  <headerFooter alignWithMargins="0">
    <oddFooter>&amp;CEyes Only
Investment Manager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33"/>
  <sheetViews>
    <sheetView topLeftCell="A116" workbookViewId="0">
      <selection activeCell="O21" sqref="O21"/>
    </sheetView>
  </sheetViews>
  <sheetFormatPr baseColWidth="10" defaultColWidth="10.83203125" defaultRowHeight="15" x14ac:dyDescent="0"/>
  <cols>
    <col min="1" max="1" width="11.33203125" style="614" customWidth="1"/>
    <col min="2" max="2" width="10.1640625" style="614" customWidth="1"/>
    <col min="3" max="3" width="8" style="614" customWidth="1"/>
    <col min="4" max="4" width="11.1640625" style="614" customWidth="1"/>
    <col min="5" max="5" width="7.83203125" style="614" customWidth="1"/>
    <col min="6" max="6" width="17.33203125" style="614" customWidth="1"/>
    <col min="7" max="7" width="7.1640625" style="614" customWidth="1"/>
    <col min="8" max="8" width="9.83203125" style="614" customWidth="1"/>
    <col min="9" max="9" width="10.5" style="614" customWidth="1"/>
    <col min="10" max="10" width="6.5" style="614" customWidth="1"/>
    <col min="11" max="11" width="8.1640625" style="614" customWidth="1"/>
    <col min="12" max="12" width="5.83203125" style="614" customWidth="1"/>
    <col min="13" max="16384" width="10.83203125" style="139"/>
  </cols>
  <sheetData>
    <row r="1" spans="1:14">
      <c r="A1" s="615"/>
      <c r="B1" s="615"/>
      <c r="C1" s="615"/>
      <c r="D1" s="615"/>
      <c r="E1" s="615"/>
      <c r="F1" s="615"/>
      <c r="G1" s="615"/>
      <c r="H1" s="615"/>
      <c r="I1" s="615"/>
      <c r="J1" s="615"/>
      <c r="K1" s="615"/>
      <c r="L1" s="615"/>
      <c r="M1" s="141"/>
      <c r="N1" s="141"/>
    </row>
    <row r="2" spans="1:14" ht="17" customHeight="1">
      <c r="A2" s="717" t="s">
        <v>209</v>
      </c>
      <c r="B2" s="717"/>
      <c r="C2" s="615"/>
      <c r="D2" s="615"/>
      <c r="E2" s="615"/>
      <c r="F2" s="615"/>
      <c r="G2" s="615"/>
      <c r="H2" s="615"/>
      <c r="I2" s="615"/>
      <c r="J2" s="615"/>
      <c r="K2" s="615"/>
      <c r="L2" s="615"/>
      <c r="M2" s="141"/>
      <c r="N2" s="141"/>
    </row>
    <row r="3" spans="1:14" ht="16" customHeight="1">
      <c r="A3" s="718" t="s">
        <v>210</v>
      </c>
      <c r="B3" s="718"/>
      <c r="C3" s="615"/>
      <c r="D3" s="615"/>
      <c r="E3" s="615"/>
      <c r="F3" s="615"/>
      <c r="G3" s="615"/>
      <c r="H3" s="615"/>
      <c r="I3" s="615"/>
      <c r="J3" s="615"/>
      <c r="K3" s="615"/>
      <c r="L3" s="615"/>
      <c r="M3" s="141"/>
      <c r="N3" s="141"/>
    </row>
    <row r="4" spans="1:14" ht="30" customHeight="1">
      <c r="A4" s="718" t="s">
        <v>152</v>
      </c>
      <c r="B4" s="718"/>
      <c r="C4" s="718"/>
      <c r="D4" s="718"/>
      <c r="E4" s="615"/>
      <c r="F4" s="615"/>
      <c r="G4" s="615"/>
      <c r="H4" s="616"/>
      <c r="I4" s="615"/>
      <c r="J4" s="615"/>
      <c r="K4" s="615"/>
      <c r="L4" s="615"/>
      <c r="M4" s="141"/>
      <c r="N4" s="141"/>
    </row>
    <row r="5" spans="1:14" ht="14" customHeight="1">
      <c r="A5" s="615"/>
      <c r="B5" s="615"/>
      <c r="C5" s="615"/>
      <c r="D5" s="615"/>
      <c r="E5" s="615"/>
      <c r="F5" s="615"/>
      <c r="G5" s="615"/>
      <c r="H5" s="615"/>
      <c r="I5" s="615"/>
      <c r="J5" s="615"/>
      <c r="K5" s="615"/>
      <c r="L5" s="615"/>
      <c r="M5" s="141"/>
      <c r="N5" s="141"/>
    </row>
    <row r="6" spans="1:14">
      <c r="A6" s="615" t="s">
        <v>151</v>
      </c>
      <c r="B6" s="615"/>
      <c r="C6" s="615"/>
      <c r="D6" s="615"/>
      <c r="E6" s="615"/>
      <c r="F6" s="615"/>
      <c r="G6" s="615"/>
      <c r="H6" s="615"/>
      <c r="I6" s="615"/>
      <c r="J6" s="615"/>
      <c r="K6" s="615"/>
      <c r="L6" s="615"/>
      <c r="M6" s="141"/>
      <c r="N6" s="141"/>
    </row>
    <row r="7" spans="1:14" ht="25">
      <c r="A7" s="615" t="s">
        <v>150</v>
      </c>
      <c r="B7" s="615" t="s">
        <v>18</v>
      </c>
      <c r="C7" s="615" t="s">
        <v>107</v>
      </c>
      <c r="D7" s="615" t="s">
        <v>3</v>
      </c>
      <c r="E7" s="615" t="s">
        <v>5</v>
      </c>
      <c r="F7" s="615" t="s">
        <v>126</v>
      </c>
      <c r="G7" s="615" t="s">
        <v>53</v>
      </c>
      <c r="H7" s="615" t="s">
        <v>149</v>
      </c>
      <c r="I7" s="615" t="s">
        <v>7</v>
      </c>
      <c r="J7" s="615" t="s">
        <v>54</v>
      </c>
      <c r="K7" s="615" t="s">
        <v>148</v>
      </c>
      <c r="L7" s="615"/>
      <c r="M7" s="141"/>
      <c r="N7" s="141"/>
    </row>
    <row r="8" spans="1:14" ht="25">
      <c r="A8" s="615" t="s">
        <v>18</v>
      </c>
      <c r="B8" s="615" t="s">
        <v>147</v>
      </c>
      <c r="C8" s="615" t="s">
        <v>208</v>
      </c>
      <c r="D8" s="615">
        <v>500</v>
      </c>
      <c r="E8" s="615" t="s">
        <v>205</v>
      </c>
      <c r="F8" s="615" t="s">
        <v>206</v>
      </c>
      <c r="G8" s="615" t="s">
        <v>207</v>
      </c>
      <c r="H8" s="615">
        <v>8605</v>
      </c>
      <c r="I8" s="615">
        <v>8875</v>
      </c>
      <c r="J8" s="615">
        <v>17.75</v>
      </c>
      <c r="K8" s="615">
        <v>0.54</v>
      </c>
      <c r="L8" s="615"/>
      <c r="M8" s="141"/>
      <c r="N8" s="141"/>
    </row>
    <row r="9" spans="1:14">
      <c r="A9" s="615"/>
      <c r="B9" s="615"/>
      <c r="C9" s="615"/>
      <c r="D9" s="615"/>
      <c r="E9" s="615"/>
      <c r="F9" s="719" t="s">
        <v>244</v>
      </c>
      <c r="G9" s="720"/>
      <c r="H9" s="617">
        <f>H8</f>
        <v>8605</v>
      </c>
      <c r="I9" s="617">
        <f>I8</f>
        <v>8875</v>
      </c>
      <c r="J9" s="615"/>
      <c r="K9" s="615"/>
      <c r="L9" s="615"/>
      <c r="M9" s="141"/>
      <c r="N9" s="141"/>
    </row>
    <row r="10" spans="1:14">
      <c r="A10" s="615" t="s">
        <v>146</v>
      </c>
      <c r="B10" s="615" t="s">
        <v>145</v>
      </c>
      <c r="C10" s="615" t="s">
        <v>84</v>
      </c>
      <c r="D10" s="615" t="s">
        <v>84</v>
      </c>
      <c r="E10" s="615" t="s">
        <v>207</v>
      </c>
      <c r="F10" s="615" t="s">
        <v>102</v>
      </c>
      <c r="G10" s="615" t="s">
        <v>207</v>
      </c>
      <c r="H10" s="615">
        <v>-8633.24</v>
      </c>
      <c r="I10" s="615">
        <v>-8633.24</v>
      </c>
      <c r="J10" s="615" t="s">
        <v>84</v>
      </c>
      <c r="K10" s="615" t="s">
        <v>84</v>
      </c>
      <c r="L10" s="615"/>
      <c r="M10" s="141"/>
      <c r="N10" s="141"/>
    </row>
    <row r="11" spans="1:14">
      <c r="A11" s="615"/>
      <c r="B11" s="615"/>
      <c r="C11" s="615"/>
      <c r="D11" s="615"/>
      <c r="E11" s="615"/>
      <c r="F11" s="721" t="s">
        <v>245</v>
      </c>
      <c r="G11" s="720"/>
      <c r="H11" s="617">
        <f>SUM(H8:H10)</f>
        <v>8576.76</v>
      </c>
      <c r="I11" s="617">
        <f>SUM(I8:I10)</f>
        <v>9116.76</v>
      </c>
      <c r="J11" s="615"/>
      <c r="K11" s="615"/>
      <c r="L11" s="615"/>
      <c r="M11" s="141"/>
      <c r="N11" s="141"/>
    </row>
    <row r="12" spans="1:14">
      <c r="A12" s="615" t="s">
        <v>246</v>
      </c>
      <c r="B12" s="615" t="s">
        <v>147</v>
      </c>
      <c r="C12" s="615" t="s">
        <v>108</v>
      </c>
      <c r="D12" s="618">
        <v>5000</v>
      </c>
      <c r="E12" s="615" t="s">
        <v>159</v>
      </c>
      <c r="F12" s="615" t="s">
        <v>160</v>
      </c>
      <c r="G12" s="615" t="s">
        <v>45</v>
      </c>
      <c r="H12" s="619">
        <v>520683.33</v>
      </c>
      <c r="I12" s="619">
        <v>470100</v>
      </c>
      <c r="J12" s="615">
        <v>94.02</v>
      </c>
      <c r="K12" s="615">
        <v>-10.116666</v>
      </c>
      <c r="L12" s="615"/>
      <c r="M12" s="141"/>
      <c r="N12" s="141"/>
    </row>
    <row r="13" spans="1:14" ht="25">
      <c r="A13" s="615" t="s">
        <v>18</v>
      </c>
      <c r="B13" s="615" t="s">
        <v>147</v>
      </c>
      <c r="C13" s="615" t="s">
        <v>109</v>
      </c>
      <c r="D13" s="618">
        <v>1000</v>
      </c>
      <c r="E13" s="615" t="s">
        <v>161</v>
      </c>
      <c r="F13" s="615" t="s">
        <v>162</v>
      </c>
      <c r="G13" s="615" t="s">
        <v>45</v>
      </c>
      <c r="H13" s="619">
        <v>814960</v>
      </c>
      <c r="I13" s="619">
        <v>775880</v>
      </c>
      <c r="J13" s="615">
        <v>775.88</v>
      </c>
      <c r="K13" s="615">
        <v>-39.08</v>
      </c>
      <c r="L13" s="615"/>
      <c r="M13" s="141"/>
      <c r="N13" s="141"/>
    </row>
    <row r="14" spans="1:14">
      <c r="A14" s="615" t="s">
        <v>18</v>
      </c>
      <c r="B14" s="615" t="s">
        <v>147</v>
      </c>
      <c r="C14" s="615" t="s">
        <v>108</v>
      </c>
      <c r="D14" s="618">
        <v>2000</v>
      </c>
      <c r="E14" s="615" t="s">
        <v>165</v>
      </c>
      <c r="F14" s="615" t="s">
        <v>166</v>
      </c>
      <c r="G14" s="615" t="s">
        <v>45</v>
      </c>
      <c r="H14" s="619">
        <v>101120</v>
      </c>
      <c r="I14" s="619">
        <v>98240</v>
      </c>
      <c r="J14" s="615">
        <v>49.12</v>
      </c>
      <c r="K14" s="615">
        <v>-1.44</v>
      </c>
      <c r="L14" s="615"/>
      <c r="M14" s="141"/>
      <c r="N14" s="141"/>
    </row>
    <row r="15" spans="1:14" ht="25">
      <c r="A15" s="615" t="s">
        <v>18</v>
      </c>
      <c r="B15" s="615" t="s">
        <v>147</v>
      </c>
      <c r="C15" s="615" t="s">
        <v>109</v>
      </c>
      <c r="D15" s="618">
        <v>5500</v>
      </c>
      <c r="E15" s="615" t="s">
        <v>167</v>
      </c>
      <c r="F15" s="615" t="s">
        <v>168</v>
      </c>
      <c r="G15" s="615" t="s">
        <v>45</v>
      </c>
      <c r="H15" s="619">
        <v>642430</v>
      </c>
      <c r="I15" s="619">
        <v>607860</v>
      </c>
      <c r="J15" s="615">
        <v>110.52</v>
      </c>
      <c r="K15" s="615">
        <v>-6.2854549999999998</v>
      </c>
      <c r="L15" s="615"/>
      <c r="M15" s="141"/>
      <c r="N15" s="141"/>
    </row>
    <row r="16" spans="1:14" ht="25">
      <c r="A16" s="615" t="s">
        <v>146</v>
      </c>
      <c r="B16" s="615" t="s">
        <v>147</v>
      </c>
      <c r="C16" s="615" t="s">
        <v>108</v>
      </c>
      <c r="D16" s="618">
        <v>-4000</v>
      </c>
      <c r="E16" s="615" t="s">
        <v>169</v>
      </c>
      <c r="F16" s="615" t="s">
        <v>211</v>
      </c>
      <c r="G16" s="615" t="s">
        <v>45</v>
      </c>
      <c r="H16" s="619">
        <v>-62400</v>
      </c>
      <c r="I16" s="619">
        <v>-84480</v>
      </c>
      <c r="J16" s="615">
        <v>21.12</v>
      </c>
      <c r="K16" s="615">
        <v>5.52</v>
      </c>
      <c r="L16" s="615"/>
      <c r="M16" s="141"/>
      <c r="N16" s="141"/>
    </row>
    <row r="17" spans="1:14">
      <c r="A17" s="615" t="s">
        <v>18</v>
      </c>
      <c r="B17" s="615" t="s">
        <v>147</v>
      </c>
      <c r="C17" s="615" t="s">
        <v>108</v>
      </c>
      <c r="D17" s="618">
        <v>6000</v>
      </c>
      <c r="E17" s="615" t="s">
        <v>173</v>
      </c>
      <c r="F17" s="615" t="s">
        <v>174</v>
      </c>
      <c r="G17" s="615" t="s">
        <v>45</v>
      </c>
      <c r="H17" s="619">
        <v>154090</v>
      </c>
      <c r="I17" s="619">
        <v>132720</v>
      </c>
      <c r="J17" s="615">
        <v>22.12</v>
      </c>
      <c r="K17" s="615">
        <v>-3.5616669999999999</v>
      </c>
      <c r="L17" s="615"/>
      <c r="M17" s="141"/>
      <c r="N17" s="141"/>
    </row>
    <row r="18" spans="1:14">
      <c r="A18" s="615" t="s">
        <v>146</v>
      </c>
      <c r="B18" s="615" t="s">
        <v>147</v>
      </c>
      <c r="C18" s="615" t="s">
        <v>108</v>
      </c>
      <c r="D18" s="618">
        <v>-2000</v>
      </c>
      <c r="E18" s="615" t="s">
        <v>175</v>
      </c>
      <c r="F18" s="615" t="s">
        <v>176</v>
      </c>
      <c r="G18" s="615" t="s">
        <v>45</v>
      </c>
      <c r="H18" s="619">
        <v>-26180</v>
      </c>
      <c r="I18" s="619">
        <v>-31600</v>
      </c>
      <c r="J18" s="615">
        <v>15.8</v>
      </c>
      <c r="K18" s="615">
        <v>2.71</v>
      </c>
      <c r="L18" s="615"/>
      <c r="M18" s="141"/>
      <c r="N18" s="141"/>
    </row>
    <row r="19" spans="1:14">
      <c r="A19" s="615" t="s">
        <v>18</v>
      </c>
      <c r="B19" s="615" t="s">
        <v>147</v>
      </c>
      <c r="C19" s="615" t="s">
        <v>108</v>
      </c>
      <c r="D19" s="618">
        <v>2000</v>
      </c>
      <c r="E19" s="615" t="s">
        <v>177</v>
      </c>
      <c r="F19" s="615" t="s">
        <v>178</v>
      </c>
      <c r="G19" s="615" t="s">
        <v>45</v>
      </c>
      <c r="H19" s="619">
        <v>162860</v>
      </c>
      <c r="I19" s="619">
        <v>147540</v>
      </c>
      <c r="J19" s="615">
        <v>73.77</v>
      </c>
      <c r="K19" s="615">
        <v>-7.66</v>
      </c>
      <c r="L19" s="615"/>
      <c r="M19" s="141"/>
      <c r="N19" s="141"/>
    </row>
    <row r="20" spans="1:14" ht="25">
      <c r="A20" s="615" t="s">
        <v>146</v>
      </c>
      <c r="B20" s="615" t="s">
        <v>147</v>
      </c>
      <c r="C20" s="615" t="s">
        <v>108</v>
      </c>
      <c r="D20" s="618">
        <v>-2000</v>
      </c>
      <c r="E20" s="615" t="s">
        <v>179</v>
      </c>
      <c r="F20" s="615" t="s">
        <v>180</v>
      </c>
      <c r="G20" s="615" t="s">
        <v>45</v>
      </c>
      <c r="H20" s="619">
        <v>-165080</v>
      </c>
      <c r="I20" s="619">
        <v>-174600</v>
      </c>
      <c r="J20" s="615">
        <v>87.3</v>
      </c>
      <c r="K20" s="615">
        <v>4.76</v>
      </c>
      <c r="L20" s="615"/>
      <c r="M20" s="141"/>
      <c r="N20" s="141"/>
    </row>
    <row r="21" spans="1:14">
      <c r="A21" s="615" t="s">
        <v>18</v>
      </c>
      <c r="B21" s="615" t="s">
        <v>147</v>
      </c>
      <c r="C21" s="615" t="s">
        <v>108</v>
      </c>
      <c r="D21" s="618">
        <v>3000</v>
      </c>
      <c r="E21" s="615" t="s">
        <v>181</v>
      </c>
      <c r="F21" s="615" t="s">
        <v>182</v>
      </c>
      <c r="G21" s="615" t="s">
        <v>45</v>
      </c>
      <c r="H21" s="619">
        <v>36420</v>
      </c>
      <c r="I21" s="619">
        <v>35880</v>
      </c>
      <c r="J21" s="615">
        <v>11.96</v>
      </c>
      <c r="K21" s="615">
        <v>-0.18</v>
      </c>
      <c r="L21" s="615"/>
      <c r="M21" s="141"/>
      <c r="N21" s="141"/>
    </row>
    <row r="22" spans="1:14" ht="25">
      <c r="A22" s="615" t="s">
        <v>18</v>
      </c>
      <c r="B22" s="615" t="s">
        <v>147</v>
      </c>
      <c r="C22" s="615" t="s">
        <v>108</v>
      </c>
      <c r="D22" s="618">
        <v>1000</v>
      </c>
      <c r="E22" s="615" t="s">
        <v>183</v>
      </c>
      <c r="F22" s="615" t="s">
        <v>184</v>
      </c>
      <c r="G22" s="615" t="s">
        <v>45</v>
      </c>
      <c r="H22" s="619">
        <v>30490</v>
      </c>
      <c r="I22" s="619">
        <v>30760</v>
      </c>
      <c r="J22" s="615">
        <v>30.76</v>
      </c>
      <c r="K22" s="615">
        <v>0.27</v>
      </c>
      <c r="L22" s="615"/>
      <c r="M22" s="141"/>
      <c r="N22" s="141"/>
    </row>
    <row r="23" spans="1:14" ht="25">
      <c r="A23" s="615" t="s">
        <v>146</v>
      </c>
      <c r="B23" s="615" t="s">
        <v>147</v>
      </c>
      <c r="C23" s="615" t="s">
        <v>108</v>
      </c>
      <c r="D23" s="618">
        <v>-2000</v>
      </c>
      <c r="E23" s="615" t="s">
        <v>187</v>
      </c>
      <c r="F23" s="615" t="s">
        <v>212</v>
      </c>
      <c r="G23" s="615" t="s">
        <v>45</v>
      </c>
      <c r="H23" s="619">
        <v>-134320</v>
      </c>
      <c r="I23" s="619">
        <v>-160340</v>
      </c>
      <c r="J23" s="615">
        <v>80.17</v>
      </c>
      <c r="K23" s="615">
        <v>13.01</v>
      </c>
      <c r="L23" s="615"/>
      <c r="M23" s="141"/>
      <c r="N23" s="141"/>
    </row>
    <row r="24" spans="1:14">
      <c r="A24" s="615" t="s">
        <v>18</v>
      </c>
      <c r="B24" s="615" t="s">
        <v>147</v>
      </c>
      <c r="C24" s="615" t="s">
        <v>108</v>
      </c>
      <c r="D24" s="618">
        <v>1000</v>
      </c>
      <c r="E24" s="615" t="s">
        <v>193</v>
      </c>
      <c r="F24" s="615" t="s">
        <v>194</v>
      </c>
      <c r="G24" s="615" t="s">
        <v>45</v>
      </c>
      <c r="H24" s="619">
        <v>54400</v>
      </c>
      <c r="I24" s="619">
        <v>50070</v>
      </c>
      <c r="J24" s="615">
        <v>50.07</v>
      </c>
      <c r="K24" s="615">
        <v>-4.33</v>
      </c>
      <c r="L24" s="615"/>
      <c r="M24" s="141"/>
      <c r="N24" s="141"/>
    </row>
    <row r="25" spans="1:14" ht="25">
      <c r="A25" s="615" t="s">
        <v>146</v>
      </c>
      <c r="B25" s="615" t="s">
        <v>147</v>
      </c>
      <c r="C25" s="615" t="s">
        <v>109</v>
      </c>
      <c r="D25" s="618">
        <v>-3000</v>
      </c>
      <c r="E25" s="615" t="s">
        <v>195</v>
      </c>
      <c r="F25" s="615" t="s">
        <v>196</v>
      </c>
      <c r="G25" s="615" t="s">
        <v>45</v>
      </c>
      <c r="H25" s="619">
        <v>-85410</v>
      </c>
      <c r="I25" s="619">
        <v>-112800</v>
      </c>
      <c r="J25" s="615">
        <v>37.6</v>
      </c>
      <c r="K25" s="615">
        <v>9.1300000000000008</v>
      </c>
      <c r="L25" s="615"/>
      <c r="M25" s="141"/>
      <c r="N25" s="141"/>
    </row>
    <row r="26" spans="1:14" ht="25">
      <c r="A26" s="615" t="s">
        <v>18</v>
      </c>
      <c r="B26" s="615" t="s">
        <v>147</v>
      </c>
      <c r="C26" s="615" t="s">
        <v>109</v>
      </c>
      <c r="D26" s="618">
        <v>3000</v>
      </c>
      <c r="E26" s="615" t="s">
        <v>197</v>
      </c>
      <c r="F26" s="615" t="s">
        <v>198</v>
      </c>
      <c r="G26" s="615" t="s">
        <v>45</v>
      </c>
      <c r="H26" s="619">
        <v>12030</v>
      </c>
      <c r="I26" s="619">
        <v>11520</v>
      </c>
      <c r="J26" s="615">
        <v>3.84</v>
      </c>
      <c r="K26" s="615">
        <v>-0.17</v>
      </c>
      <c r="L26" s="615"/>
      <c r="M26" s="141"/>
      <c r="N26" s="141"/>
    </row>
    <row r="27" spans="1:14">
      <c r="A27" s="615" t="s">
        <v>146</v>
      </c>
      <c r="B27" s="615" t="s">
        <v>147</v>
      </c>
      <c r="C27" s="615" t="s">
        <v>108</v>
      </c>
      <c r="D27" s="618">
        <v>-4000</v>
      </c>
      <c r="E27" s="615" t="s">
        <v>201</v>
      </c>
      <c r="F27" s="615" t="s">
        <v>202</v>
      </c>
      <c r="G27" s="615" t="s">
        <v>45</v>
      </c>
      <c r="H27" s="619">
        <v>-177120</v>
      </c>
      <c r="I27" s="619">
        <v>-211680</v>
      </c>
      <c r="J27" s="615">
        <v>52.92</v>
      </c>
      <c r="K27" s="615">
        <v>8.64</v>
      </c>
      <c r="L27" s="615"/>
      <c r="M27" s="141"/>
      <c r="N27" s="141"/>
    </row>
    <row r="28" spans="1:14">
      <c r="A28" s="615"/>
      <c r="B28" s="615"/>
      <c r="C28" s="615"/>
      <c r="D28" s="618"/>
      <c r="E28" s="615"/>
      <c r="F28" s="721" t="s">
        <v>247</v>
      </c>
      <c r="G28" s="722"/>
      <c r="H28" s="620">
        <f>SUM(H12:H27)</f>
        <v>1878973.33</v>
      </c>
      <c r="I28" s="620">
        <f>SUM(I12:I27)</f>
        <v>1585070</v>
      </c>
      <c r="J28" s="615"/>
      <c r="K28" s="615"/>
      <c r="L28" s="615"/>
      <c r="M28" s="141"/>
      <c r="N28" s="141"/>
    </row>
    <row r="29" spans="1:14">
      <c r="A29" s="615" t="s">
        <v>18</v>
      </c>
      <c r="B29" s="615" t="s">
        <v>145</v>
      </c>
      <c r="C29" s="615" t="s">
        <v>84</v>
      </c>
      <c r="D29" s="618" t="s">
        <v>84</v>
      </c>
      <c r="E29" s="615" t="s">
        <v>45</v>
      </c>
      <c r="F29" s="615" t="s">
        <v>144</v>
      </c>
      <c r="G29" s="615" t="s">
        <v>45</v>
      </c>
      <c r="H29" s="619">
        <v>1938571.16</v>
      </c>
      <c r="I29" s="619">
        <v>1938571.16</v>
      </c>
      <c r="J29" s="615" t="s">
        <v>84</v>
      </c>
      <c r="K29" s="615" t="s">
        <v>84</v>
      </c>
      <c r="L29" s="615"/>
      <c r="M29" s="141"/>
      <c r="N29" s="141"/>
    </row>
    <row r="30" spans="1:14">
      <c r="A30" s="615"/>
      <c r="B30" s="615"/>
      <c r="C30" s="615"/>
      <c r="D30" s="618"/>
      <c r="E30" s="615"/>
      <c r="F30" s="721" t="s">
        <v>248</v>
      </c>
      <c r="G30" s="722"/>
      <c r="H30" s="620">
        <f>SUM(H28:H29)</f>
        <v>3817544.49</v>
      </c>
      <c r="I30" s="620">
        <f>SUM(I28:I29)</f>
        <v>3523641.16</v>
      </c>
      <c r="J30" s="615"/>
      <c r="K30" s="615"/>
      <c r="L30" s="615"/>
      <c r="M30" s="141"/>
      <c r="N30" s="141"/>
    </row>
    <row r="31" spans="1:14">
      <c r="A31" s="615" t="s">
        <v>143</v>
      </c>
      <c r="B31" s="615" t="s">
        <v>84</v>
      </c>
      <c r="C31" s="615" t="s">
        <v>84</v>
      </c>
      <c r="D31" s="615">
        <v>13000</v>
      </c>
      <c r="E31" s="615" t="s">
        <v>84</v>
      </c>
      <c r="F31" s="615" t="s">
        <v>84</v>
      </c>
      <c r="G31" s="615" t="s">
        <v>45</v>
      </c>
      <c r="H31" s="615">
        <v>0</v>
      </c>
      <c r="I31" s="615">
        <v>3523676.24</v>
      </c>
      <c r="J31" s="615" t="s">
        <v>84</v>
      </c>
      <c r="K31" s="615" t="s">
        <v>84</v>
      </c>
      <c r="L31" s="615"/>
      <c r="M31" s="141"/>
      <c r="N31" s="141"/>
    </row>
    <row r="32" spans="1:14">
      <c r="A32" s="615"/>
      <c r="B32" s="615"/>
      <c r="C32" s="615"/>
      <c r="D32" s="615"/>
      <c r="E32" s="615"/>
      <c r="F32" s="615"/>
      <c r="G32" s="615"/>
      <c r="H32" s="615"/>
      <c r="I32" s="615"/>
      <c r="J32" s="615"/>
      <c r="K32" s="615"/>
      <c r="L32" s="615"/>
      <c r="M32" s="141"/>
      <c r="N32" s="141"/>
    </row>
    <row r="33" spans="1:14">
      <c r="A33" s="718" t="s">
        <v>259</v>
      </c>
      <c r="B33" s="718"/>
      <c r="C33" s="718"/>
      <c r="D33" s="718"/>
      <c r="E33" s="718"/>
      <c r="F33" s="718"/>
      <c r="G33" s="718"/>
      <c r="H33" s="718"/>
      <c r="I33" s="718"/>
      <c r="J33" s="718"/>
      <c r="K33" s="718"/>
      <c r="L33" s="615"/>
      <c r="M33" s="141"/>
      <c r="N33" s="141"/>
    </row>
    <row r="34" spans="1:14">
      <c r="A34" s="718"/>
      <c r="B34" s="718"/>
      <c r="C34" s="718"/>
      <c r="D34" s="718"/>
      <c r="E34" s="718"/>
      <c r="F34" s="718"/>
      <c r="G34" s="718"/>
      <c r="H34" s="718"/>
      <c r="I34" s="718"/>
      <c r="J34" s="718"/>
      <c r="K34" s="718"/>
      <c r="L34" s="615"/>
      <c r="M34" s="141"/>
      <c r="N34" s="141"/>
    </row>
    <row r="35" spans="1:14">
      <c r="A35" s="615"/>
      <c r="B35" s="615"/>
      <c r="C35" s="615"/>
      <c r="D35" s="615"/>
      <c r="E35" s="615"/>
      <c r="F35" s="615"/>
      <c r="G35" s="615"/>
      <c r="H35" s="615"/>
      <c r="I35" s="615"/>
      <c r="J35" s="615"/>
      <c r="K35" s="615"/>
      <c r="L35" s="615"/>
      <c r="M35" s="141"/>
      <c r="N35" s="141"/>
    </row>
    <row r="36" spans="1:14">
      <c r="A36" s="615" t="s">
        <v>141</v>
      </c>
      <c r="B36" s="615"/>
      <c r="C36" s="615"/>
      <c r="D36" s="615"/>
      <c r="E36" s="615"/>
      <c r="F36" s="615"/>
      <c r="G36" s="615"/>
      <c r="H36" s="615"/>
      <c r="I36" s="615"/>
      <c r="J36" s="615"/>
      <c r="K36" s="615"/>
      <c r="L36" s="615"/>
      <c r="M36" s="141"/>
      <c r="N36" s="141"/>
    </row>
    <row r="37" spans="1:14" ht="25">
      <c r="A37" s="615" t="s">
        <v>140</v>
      </c>
      <c r="B37" s="615" t="s">
        <v>134</v>
      </c>
      <c r="C37" s="615" t="s">
        <v>127</v>
      </c>
      <c r="D37" s="615" t="s">
        <v>3</v>
      </c>
      <c r="E37" s="615" t="s">
        <v>5</v>
      </c>
      <c r="F37" s="615" t="s">
        <v>126</v>
      </c>
      <c r="G37" s="615" t="s">
        <v>53</v>
      </c>
      <c r="H37" s="615" t="s">
        <v>139</v>
      </c>
      <c r="I37" s="615" t="s">
        <v>138</v>
      </c>
      <c r="J37" s="615" t="s">
        <v>137</v>
      </c>
      <c r="K37" s="615" t="s">
        <v>136</v>
      </c>
      <c r="L37" s="615" t="s">
        <v>115</v>
      </c>
      <c r="M37" s="141"/>
      <c r="N37" s="141"/>
    </row>
    <row r="38" spans="1:14">
      <c r="A38" s="621">
        <v>42626.711111111108</v>
      </c>
      <c r="B38" s="615" t="s">
        <v>213</v>
      </c>
      <c r="C38" s="615" t="s">
        <v>130</v>
      </c>
      <c r="D38" s="618">
        <v>3000</v>
      </c>
      <c r="E38" s="615" t="s">
        <v>181</v>
      </c>
      <c r="F38" s="615" t="s">
        <v>182</v>
      </c>
      <c r="G38" s="615" t="s">
        <v>45</v>
      </c>
      <c r="H38" s="615" t="s">
        <v>39</v>
      </c>
      <c r="I38" s="615" t="s">
        <v>84</v>
      </c>
      <c r="J38" s="615" t="s">
        <v>84</v>
      </c>
      <c r="K38" s="615" t="s">
        <v>84</v>
      </c>
      <c r="L38" s="615" t="s">
        <v>84</v>
      </c>
      <c r="M38" s="141"/>
      <c r="N38" s="141"/>
    </row>
    <row r="39" spans="1:14">
      <c r="A39" s="621">
        <v>42673.546527777777</v>
      </c>
      <c r="B39" s="615" t="s">
        <v>213</v>
      </c>
      <c r="C39" s="615" t="s">
        <v>130</v>
      </c>
      <c r="D39" s="618">
        <v>6500</v>
      </c>
      <c r="E39" s="615" t="s">
        <v>163</v>
      </c>
      <c r="F39" s="615" t="s">
        <v>164</v>
      </c>
      <c r="G39" s="615" t="s">
        <v>45</v>
      </c>
      <c r="H39" s="615" t="s">
        <v>39</v>
      </c>
      <c r="I39" s="615" t="s">
        <v>84</v>
      </c>
      <c r="J39" s="615" t="s">
        <v>84</v>
      </c>
      <c r="K39" s="615" t="s">
        <v>84</v>
      </c>
      <c r="L39" s="615" t="s">
        <v>84</v>
      </c>
      <c r="M39" s="141"/>
      <c r="N39" s="141"/>
    </row>
    <row r="40" spans="1:14">
      <c r="A40" s="615"/>
      <c r="B40" s="615"/>
      <c r="C40" s="615"/>
      <c r="D40" s="615"/>
      <c r="E40" s="615"/>
      <c r="F40" s="615"/>
      <c r="G40" s="615"/>
      <c r="H40" s="615"/>
      <c r="I40" s="615"/>
      <c r="J40" s="615"/>
      <c r="K40" s="615"/>
      <c r="L40" s="615"/>
      <c r="M40" s="141"/>
      <c r="N40" s="141"/>
    </row>
    <row r="41" spans="1:14">
      <c r="A41" s="615"/>
      <c r="B41" s="615"/>
      <c r="C41" s="615"/>
      <c r="D41" s="615"/>
      <c r="E41" s="615"/>
      <c r="F41" s="615"/>
      <c r="G41" s="615"/>
      <c r="H41" s="615"/>
      <c r="I41" s="615"/>
      <c r="J41" s="615"/>
      <c r="K41" s="615"/>
      <c r="L41" s="615"/>
      <c r="M41" s="141"/>
      <c r="N41" s="141"/>
    </row>
    <row r="42" spans="1:14">
      <c r="A42" s="615" t="s">
        <v>135</v>
      </c>
      <c r="B42" s="615"/>
      <c r="C42" s="615"/>
      <c r="D42" s="615"/>
      <c r="E42" s="615"/>
      <c r="F42" s="615"/>
      <c r="G42" s="615"/>
      <c r="H42" s="615"/>
      <c r="I42" s="615"/>
      <c r="J42" s="615"/>
      <c r="K42" s="615"/>
      <c r="L42" s="615"/>
      <c r="M42" s="141"/>
      <c r="N42" s="141"/>
    </row>
    <row r="43" spans="1:14" ht="25">
      <c r="A43" s="615" t="s">
        <v>133</v>
      </c>
      <c r="B43" s="615" t="s">
        <v>84</v>
      </c>
      <c r="C43" s="615" t="s">
        <v>127</v>
      </c>
      <c r="D43" s="615" t="s">
        <v>3</v>
      </c>
      <c r="E43" s="615" t="s">
        <v>5</v>
      </c>
      <c r="F43" s="615" t="s">
        <v>126</v>
      </c>
      <c r="G43" s="615" t="s">
        <v>53</v>
      </c>
      <c r="H43" s="615" t="s">
        <v>23</v>
      </c>
      <c r="I43" s="615" t="s">
        <v>34</v>
      </c>
      <c r="J43" s="615" t="s">
        <v>21</v>
      </c>
      <c r="K43" s="615"/>
      <c r="L43" s="615"/>
      <c r="M43" s="141"/>
      <c r="N43" s="141"/>
    </row>
    <row r="44" spans="1:14">
      <c r="A44" s="621">
        <v>42620.666666666664</v>
      </c>
      <c r="B44" s="615" t="s">
        <v>84</v>
      </c>
      <c r="C44" s="615" t="s">
        <v>132</v>
      </c>
      <c r="D44" s="618">
        <v>1000</v>
      </c>
      <c r="E44" s="615" t="s">
        <v>167</v>
      </c>
      <c r="F44" s="615" t="s">
        <v>168</v>
      </c>
      <c r="G44" s="615" t="s">
        <v>45</v>
      </c>
      <c r="H44" s="615">
        <v>10</v>
      </c>
      <c r="I44" s="619">
        <v>108360</v>
      </c>
      <c r="J44" s="615">
        <v>108.36</v>
      </c>
      <c r="K44" s="615"/>
      <c r="L44" s="615"/>
      <c r="M44" s="141"/>
      <c r="N44" s="141"/>
    </row>
    <row r="45" spans="1:14" ht="25">
      <c r="A45" s="621">
        <v>42620.666666666664</v>
      </c>
      <c r="B45" s="615" t="s">
        <v>84</v>
      </c>
      <c r="C45" s="615" t="s">
        <v>132</v>
      </c>
      <c r="D45" s="618">
        <v>1000</v>
      </c>
      <c r="E45" s="615" t="s">
        <v>169</v>
      </c>
      <c r="F45" s="615" t="s">
        <v>211</v>
      </c>
      <c r="G45" s="615" t="s">
        <v>45</v>
      </c>
      <c r="H45" s="615">
        <v>10</v>
      </c>
      <c r="I45" s="619">
        <v>15700</v>
      </c>
      <c r="J45" s="615">
        <v>15.7</v>
      </c>
      <c r="K45" s="615"/>
      <c r="L45" s="615"/>
      <c r="M45" s="141"/>
      <c r="N45" s="141"/>
    </row>
    <row r="46" spans="1:14">
      <c r="A46" s="621">
        <v>42620.666666666664</v>
      </c>
      <c r="B46" s="615" t="s">
        <v>84</v>
      </c>
      <c r="C46" s="615" t="s">
        <v>132</v>
      </c>
      <c r="D46" s="618">
        <v>1000</v>
      </c>
      <c r="E46" s="615" t="s">
        <v>201</v>
      </c>
      <c r="F46" s="615" t="s">
        <v>202</v>
      </c>
      <c r="G46" s="615" t="s">
        <v>45</v>
      </c>
      <c r="H46" s="615">
        <v>10</v>
      </c>
      <c r="I46" s="619">
        <v>49770</v>
      </c>
      <c r="J46" s="615">
        <v>49.77</v>
      </c>
      <c r="K46" s="615"/>
      <c r="L46" s="615"/>
      <c r="M46" s="141"/>
      <c r="N46" s="141"/>
    </row>
    <row r="47" spans="1:14" ht="25">
      <c r="A47" s="621">
        <v>42620.666666666664</v>
      </c>
      <c r="B47" s="615" t="s">
        <v>84</v>
      </c>
      <c r="C47" s="615" t="s">
        <v>130</v>
      </c>
      <c r="D47" s="618">
        <v>2000</v>
      </c>
      <c r="E47" s="615" t="s">
        <v>187</v>
      </c>
      <c r="F47" s="615" t="s">
        <v>212</v>
      </c>
      <c r="G47" s="615" t="s">
        <v>45</v>
      </c>
      <c r="H47" s="615">
        <v>10</v>
      </c>
      <c r="I47" s="619">
        <v>-134320</v>
      </c>
      <c r="J47" s="615">
        <v>67.16</v>
      </c>
      <c r="K47" s="615"/>
      <c r="L47" s="615"/>
      <c r="M47" s="141"/>
      <c r="N47" s="141"/>
    </row>
    <row r="48" spans="1:14">
      <c r="A48" s="621">
        <v>42620.666666666664</v>
      </c>
      <c r="B48" s="615" t="s">
        <v>84</v>
      </c>
      <c r="C48" s="615" t="s">
        <v>132</v>
      </c>
      <c r="D48" s="618">
        <v>1000</v>
      </c>
      <c r="E48" s="615" t="s">
        <v>159</v>
      </c>
      <c r="F48" s="615" t="s">
        <v>160</v>
      </c>
      <c r="G48" s="615" t="s">
        <v>45</v>
      </c>
      <c r="H48" s="615">
        <v>10</v>
      </c>
      <c r="I48" s="619">
        <v>102320</v>
      </c>
      <c r="J48" s="615">
        <v>102.32</v>
      </c>
      <c r="K48" s="615"/>
      <c r="L48" s="615"/>
      <c r="M48" s="141"/>
      <c r="N48" s="141"/>
    </row>
    <row r="49" spans="1:14">
      <c r="A49" s="621">
        <v>42620.666666666664</v>
      </c>
      <c r="B49" s="615" t="s">
        <v>84</v>
      </c>
      <c r="C49" s="615" t="s">
        <v>132</v>
      </c>
      <c r="D49" s="618">
        <v>1000</v>
      </c>
      <c r="E49" s="615" t="s">
        <v>157</v>
      </c>
      <c r="F49" s="615" t="s">
        <v>158</v>
      </c>
      <c r="G49" s="615" t="s">
        <v>45</v>
      </c>
      <c r="H49" s="615">
        <v>10</v>
      </c>
      <c r="I49" s="619">
        <v>33500</v>
      </c>
      <c r="J49" s="615">
        <v>33.5</v>
      </c>
      <c r="K49" s="615"/>
      <c r="L49" s="615"/>
      <c r="M49" s="141"/>
      <c r="N49" s="141"/>
    </row>
    <row r="50" spans="1:14">
      <c r="A50" s="621">
        <v>42621.666666666664</v>
      </c>
      <c r="B50" s="615" t="s">
        <v>84</v>
      </c>
      <c r="C50" s="615" t="s">
        <v>132</v>
      </c>
      <c r="D50" s="618">
        <v>1000</v>
      </c>
      <c r="E50" s="615" t="s">
        <v>171</v>
      </c>
      <c r="F50" s="615" t="s">
        <v>172</v>
      </c>
      <c r="G50" s="615" t="s">
        <v>45</v>
      </c>
      <c r="H50" s="615">
        <v>10</v>
      </c>
      <c r="I50" s="619">
        <v>9230</v>
      </c>
      <c r="J50" s="615">
        <v>9.23</v>
      </c>
      <c r="K50" s="615"/>
      <c r="L50" s="615"/>
      <c r="M50" s="141"/>
      <c r="N50" s="141"/>
    </row>
    <row r="51" spans="1:14">
      <c r="A51" s="621">
        <v>42625.666666666664</v>
      </c>
      <c r="B51" s="615" t="s">
        <v>84</v>
      </c>
      <c r="C51" s="615" t="s">
        <v>132</v>
      </c>
      <c r="D51" s="618">
        <v>1000</v>
      </c>
      <c r="E51" s="615" t="s">
        <v>189</v>
      </c>
      <c r="F51" s="615" t="s">
        <v>190</v>
      </c>
      <c r="G51" s="615" t="s">
        <v>45</v>
      </c>
      <c r="H51" s="615">
        <v>10</v>
      </c>
      <c r="I51" s="619">
        <v>7930</v>
      </c>
      <c r="J51" s="615">
        <v>7.93</v>
      </c>
      <c r="K51" s="615"/>
      <c r="L51" s="615"/>
      <c r="M51" s="141"/>
      <c r="N51" s="141"/>
    </row>
    <row r="52" spans="1:14">
      <c r="A52" s="621">
        <v>42625.666666666664</v>
      </c>
      <c r="B52" s="615" t="s">
        <v>84</v>
      </c>
      <c r="C52" s="615" t="s">
        <v>130</v>
      </c>
      <c r="D52" s="615">
        <v>500</v>
      </c>
      <c r="E52" s="615" t="s">
        <v>167</v>
      </c>
      <c r="F52" s="615" t="s">
        <v>168</v>
      </c>
      <c r="G52" s="615" t="s">
        <v>45</v>
      </c>
      <c r="H52" s="615">
        <v>10</v>
      </c>
      <c r="I52" s="619">
        <v>-52720</v>
      </c>
      <c r="J52" s="615">
        <v>105.44</v>
      </c>
      <c r="K52" s="615"/>
      <c r="L52" s="615"/>
      <c r="M52" s="141"/>
      <c r="N52" s="141"/>
    </row>
    <row r="53" spans="1:14">
      <c r="A53" s="621">
        <v>42625.666666666664</v>
      </c>
      <c r="B53" s="615" t="s">
        <v>84</v>
      </c>
      <c r="C53" s="615" t="s">
        <v>132</v>
      </c>
      <c r="D53" s="615">
        <v>500</v>
      </c>
      <c r="E53" s="615" t="s">
        <v>163</v>
      </c>
      <c r="F53" s="615" t="s">
        <v>164</v>
      </c>
      <c r="G53" s="615" t="s">
        <v>45</v>
      </c>
      <c r="H53" s="615">
        <v>10</v>
      </c>
      <c r="I53" s="619">
        <v>385745</v>
      </c>
      <c r="J53" s="615">
        <v>771.49</v>
      </c>
      <c r="K53" s="615"/>
      <c r="L53" s="615"/>
      <c r="M53" s="141"/>
      <c r="N53" s="141"/>
    </row>
    <row r="54" spans="1:14" ht="25">
      <c r="A54" s="621">
        <v>42625.666666666664</v>
      </c>
      <c r="B54" s="615" t="s">
        <v>84</v>
      </c>
      <c r="C54" s="615" t="s">
        <v>132</v>
      </c>
      <c r="D54" s="618">
        <v>1000</v>
      </c>
      <c r="E54" s="615" t="s">
        <v>183</v>
      </c>
      <c r="F54" s="615" t="s">
        <v>184</v>
      </c>
      <c r="G54" s="615" t="s">
        <v>45</v>
      </c>
      <c r="H54" s="615">
        <v>10</v>
      </c>
      <c r="I54" s="619">
        <v>30490</v>
      </c>
      <c r="J54" s="615">
        <v>30.49</v>
      </c>
      <c r="K54" s="615"/>
      <c r="L54" s="615"/>
      <c r="M54" s="141"/>
      <c r="N54" s="141"/>
    </row>
    <row r="55" spans="1:14">
      <c r="A55" s="621">
        <v>42625.666666666664</v>
      </c>
      <c r="B55" s="615" t="s">
        <v>84</v>
      </c>
      <c r="C55" s="615" t="s">
        <v>132</v>
      </c>
      <c r="D55" s="618">
        <v>1000</v>
      </c>
      <c r="E55" s="615" t="s">
        <v>185</v>
      </c>
      <c r="F55" s="615" t="s">
        <v>186</v>
      </c>
      <c r="G55" s="615" t="s">
        <v>45</v>
      </c>
      <c r="H55" s="615">
        <v>10</v>
      </c>
      <c r="I55" s="619">
        <v>16780</v>
      </c>
      <c r="J55" s="615">
        <v>16.78</v>
      </c>
      <c r="K55" s="615"/>
      <c r="L55" s="615"/>
      <c r="M55" s="141"/>
      <c r="N55" s="141"/>
    </row>
    <row r="56" spans="1:14">
      <c r="A56" s="621">
        <v>42625.666666666664</v>
      </c>
      <c r="B56" s="615" t="s">
        <v>84</v>
      </c>
      <c r="C56" s="615" t="s">
        <v>130</v>
      </c>
      <c r="D56" s="618">
        <v>2000</v>
      </c>
      <c r="E56" s="615" t="s">
        <v>197</v>
      </c>
      <c r="F56" s="615" t="s">
        <v>198</v>
      </c>
      <c r="G56" s="615" t="s">
        <v>45</v>
      </c>
      <c r="H56" s="615">
        <v>10</v>
      </c>
      <c r="I56" s="619">
        <v>-7100</v>
      </c>
      <c r="J56" s="615">
        <v>3.55</v>
      </c>
      <c r="K56" s="615"/>
      <c r="L56" s="615"/>
      <c r="M56" s="141"/>
      <c r="N56" s="141"/>
    </row>
    <row r="57" spans="1:14">
      <c r="A57" s="621">
        <v>42627.666666666664</v>
      </c>
      <c r="B57" s="615" t="s">
        <v>84</v>
      </c>
      <c r="C57" s="615" t="s">
        <v>132</v>
      </c>
      <c r="D57" s="618">
        <v>3000</v>
      </c>
      <c r="E57" s="615" t="s">
        <v>181</v>
      </c>
      <c r="F57" s="615" t="s">
        <v>182</v>
      </c>
      <c r="G57" s="615" t="s">
        <v>45</v>
      </c>
      <c r="H57" s="615">
        <v>10</v>
      </c>
      <c r="I57" s="619">
        <v>36420</v>
      </c>
      <c r="J57" s="615">
        <v>12.14</v>
      </c>
      <c r="K57" s="615"/>
      <c r="L57" s="615"/>
      <c r="M57" s="141"/>
      <c r="N57" s="141"/>
    </row>
    <row r="58" spans="1:14" ht="25">
      <c r="A58" s="621">
        <v>42627.666666666664</v>
      </c>
      <c r="B58" s="615" t="s">
        <v>84</v>
      </c>
      <c r="C58" s="615" t="s">
        <v>130</v>
      </c>
      <c r="D58" s="618">
        <v>3000</v>
      </c>
      <c r="E58" s="615" t="s">
        <v>195</v>
      </c>
      <c r="F58" s="615" t="s">
        <v>196</v>
      </c>
      <c r="G58" s="615" t="s">
        <v>45</v>
      </c>
      <c r="H58" s="615">
        <v>10</v>
      </c>
      <c r="I58" s="619">
        <v>-85410</v>
      </c>
      <c r="J58" s="615">
        <v>28.47</v>
      </c>
      <c r="K58" s="615"/>
      <c r="L58" s="615"/>
      <c r="M58" s="141"/>
      <c r="N58" s="141"/>
    </row>
    <row r="59" spans="1:14">
      <c r="A59" s="621">
        <v>42627.666666666664</v>
      </c>
      <c r="B59" s="615" t="s">
        <v>84</v>
      </c>
      <c r="C59" s="615" t="s">
        <v>132</v>
      </c>
      <c r="D59" s="618">
        <v>1000</v>
      </c>
      <c r="E59" s="615" t="s">
        <v>173</v>
      </c>
      <c r="F59" s="615" t="s">
        <v>174</v>
      </c>
      <c r="G59" s="615" t="s">
        <v>45</v>
      </c>
      <c r="H59" s="615">
        <v>10</v>
      </c>
      <c r="I59" s="619">
        <v>25090</v>
      </c>
      <c r="J59" s="615">
        <v>25.09</v>
      </c>
      <c r="K59" s="615"/>
      <c r="L59" s="615"/>
      <c r="M59" s="141"/>
      <c r="N59" s="141"/>
    </row>
    <row r="60" spans="1:14" ht="25">
      <c r="A60" s="621">
        <v>42633.666666666664</v>
      </c>
      <c r="B60" s="615" t="s">
        <v>84</v>
      </c>
      <c r="C60" s="615" t="s">
        <v>130</v>
      </c>
      <c r="D60" s="618">
        <v>2000</v>
      </c>
      <c r="E60" s="615" t="s">
        <v>179</v>
      </c>
      <c r="F60" s="615" t="s">
        <v>180</v>
      </c>
      <c r="G60" s="615" t="s">
        <v>45</v>
      </c>
      <c r="H60" s="615">
        <v>10</v>
      </c>
      <c r="I60" s="619">
        <v>-165080</v>
      </c>
      <c r="J60" s="615">
        <v>82.54</v>
      </c>
      <c r="K60" s="615"/>
      <c r="L60" s="615"/>
      <c r="M60" s="141"/>
      <c r="N60" s="141"/>
    </row>
    <row r="61" spans="1:14">
      <c r="A61" s="621">
        <v>42634.666666666664</v>
      </c>
      <c r="B61" s="615" t="s">
        <v>84</v>
      </c>
      <c r="C61" s="615" t="s">
        <v>130</v>
      </c>
      <c r="D61" s="618">
        <v>1000</v>
      </c>
      <c r="E61" s="615" t="s">
        <v>185</v>
      </c>
      <c r="F61" s="615" t="s">
        <v>186</v>
      </c>
      <c r="G61" s="615" t="s">
        <v>45</v>
      </c>
      <c r="H61" s="615">
        <v>10</v>
      </c>
      <c r="I61" s="619">
        <v>-17190</v>
      </c>
      <c r="J61" s="615">
        <v>17.190000000000001</v>
      </c>
      <c r="K61" s="615"/>
      <c r="L61" s="615"/>
      <c r="M61" s="141"/>
      <c r="N61" s="141"/>
    </row>
    <row r="62" spans="1:14" ht="25">
      <c r="A62" s="621">
        <v>42635.666666666664</v>
      </c>
      <c r="B62" s="615" t="s">
        <v>84</v>
      </c>
      <c r="C62" s="615" t="s">
        <v>130</v>
      </c>
      <c r="D62" s="618">
        <v>5000</v>
      </c>
      <c r="E62" s="615" t="s">
        <v>169</v>
      </c>
      <c r="F62" s="615" t="s">
        <v>211</v>
      </c>
      <c r="G62" s="615" t="s">
        <v>45</v>
      </c>
      <c r="H62" s="615">
        <v>10</v>
      </c>
      <c r="I62" s="619">
        <v>-78000</v>
      </c>
      <c r="J62" s="615">
        <v>15.6</v>
      </c>
      <c r="K62" s="615"/>
      <c r="L62" s="615"/>
      <c r="M62" s="141"/>
      <c r="N62" s="141"/>
    </row>
    <row r="63" spans="1:14">
      <c r="A63" s="621">
        <v>42636.666666666664</v>
      </c>
      <c r="B63" s="615" t="s">
        <v>84</v>
      </c>
      <c r="C63" s="615" t="s">
        <v>132</v>
      </c>
      <c r="D63" s="618">
        <v>1000</v>
      </c>
      <c r="E63" s="615" t="s">
        <v>161</v>
      </c>
      <c r="F63" s="615" t="s">
        <v>162</v>
      </c>
      <c r="G63" s="615" t="s">
        <v>45</v>
      </c>
      <c r="H63" s="615">
        <v>10</v>
      </c>
      <c r="I63" s="619">
        <v>814960</v>
      </c>
      <c r="J63" s="615">
        <v>814.96</v>
      </c>
      <c r="K63" s="615"/>
      <c r="L63" s="615"/>
      <c r="M63" s="141"/>
      <c r="N63" s="141"/>
    </row>
    <row r="64" spans="1:14">
      <c r="A64" s="621">
        <v>42639.666666666664</v>
      </c>
      <c r="B64" s="615" t="s">
        <v>84</v>
      </c>
      <c r="C64" s="615" t="s">
        <v>132</v>
      </c>
      <c r="D64" s="618">
        <v>1000</v>
      </c>
      <c r="E64" s="615" t="s">
        <v>203</v>
      </c>
      <c r="F64" s="615" t="s">
        <v>204</v>
      </c>
      <c r="G64" s="615" t="s">
        <v>45</v>
      </c>
      <c r="H64" s="615">
        <v>10</v>
      </c>
      <c r="I64" s="619">
        <v>42290</v>
      </c>
      <c r="J64" s="615">
        <v>42.29</v>
      </c>
      <c r="K64" s="615"/>
      <c r="L64" s="615"/>
      <c r="M64" s="141"/>
      <c r="N64" s="141"/>
    </row>
    <row r="65" spans="1:14">
      <c r="A65" s="621">
        <v>42639.666666666664</v>
      </c>
      <c r="B65" s="615" t="s">
        <v>84</v>
      </c>
      <c r="C65" s="615" t="s">
        <v>132</v>
      </c>
      <c r="D65" s="618">
        <v>1000</v>
      </c>
      <c r="E65" s="615" t="s">
        <v>193</v>
      </c>
      <c r="F65" s="615" t="s">
        <v>194</v>
      </c>
      <c r="G65" s="615" t="s">
        <v>45</v>
      </c>
      <c r="H65" s="615">
        <v>10</v>
      </c>
      <c r="I65" s="619">
        <v>54400</v>
      </c>
      <c r="J65" s="615">
        <v>54.4</v>
      </c>
      <c r="K65" s="615"/>
      <c r="L65" s="615"/>
      <c r="M65" s="141"/>
      <c r="N65" s="141"/>
    </row>
    <row r="66" spans="1:14">
      <c r="A66" s="621">
        <v>42639.666666666664</v>
      </c>
      <c r="B66" s="615" t="s">
        <v>84</v>
      </c>
      <c r="C66" s="615" t="s">
        <v>132</v>
      </c>
      <c r="D66" s="618">
        <v>2000</v>
      </c>
      <c r="E66" s="615" t="s">
        <v>199</v>
      </c>
      <c r="F66" s="615" t="s">
        <v>200</v>
      </c>
      <c r="G66" s="615" t="s">
        <v>45</v>
      </c>
      <c r="H66" s="615">
        <v>10</v>
      </c>
      <c r="I66" s="619">
        <v>108080</v>
      </c>
      <c r="J66" s="615">
        <v>54.04</v>
      </c>
      <c r="K66" s="615"/>
      <c r="L66" s="615"/>
      <c r="M66" s="141"/>
      <c r="N66" s="141"/>
    </row>
    <row r="67" spans="1:14">
      <c r="A67" s="621">
        <v>42639.666666666664</v>
      </c>
      <c r="B67" s="615" t="s">
        <v>84</v>
      </c>
      <c r="C67" s="615" t="s">
        <v>132</v>
      </c>
      <c r="D67" s="618">
        <v>10000</v>
      </c>
      <c r="E67" s="615" t="s">
        <v>191</v>
      </c>
      <c r="F67" s="615" t="s">
        <v>192</v>
      </c>
      <c r="G67" s="615" t="s">
        <v>45</v>
      </c>
      <c r="H67" s="615">
        <v>10</v>
      </c>
      <c r="I67" s="619">
        <v>671500</v>
      </c>
      <c r="J67" s="615">
        <v>67.150000000000006</v>
      </c>
      <c r="K67" s="615"/>
      <c r="L67" s="615"/>
      <c r="M67" s="141"/>
      <c r="N67" s="141"/>
    </row>
    <row r="68" spans="1:14">
      <c r="A68" s="621">
        <v>42640.666666666664</v>
      </c>
      <c r="B68" s="615" t="s">
        <v>84</v>
      </c>
      <c r="C68" s="615" t="s">
        <v>132</v>
      </c>
      <c r="D68" s="618">
        <v>2000</v>
      </c>
      <c r="E68" s="615" t="s">
        <v>177</v>
      </c>
      <c r="F68" s="615" t="s">
        <v>178</v>
      </c>
      <c r="G68" s="615" t="s">
        <v>45</v>
      </c>
      <c r="H68" s="615">
        <v>10</v>
      </c>
      <c r="I68" s="619">
        <v>162860</v>
      </c>
      <c r="J68" s="615">
        <v>81.430000000000007</v>
      </c>
      <c r="K68" s="615"/>
      <c r="L68" s="615"/>
      <c r="M68" s="141"/>
      <c r="N68" s="141"/>
    </row>
    <row r="69" spans="1:14">
      <c r="A69" s="621">
        <v>42640.666666666664</v>
      </c>
      <c r="B69" s="615" t="s">
        <v>84</v>
      </c>
      <c r="C69" s="615" t="s">
        <v>132</v>
      </c>
      <c r="D69" s="618">
        <v>2000</v>
      </c>
      <c r="E69" s="615" t="s">
        <v>165</v>
      </c>
      <c r="F69" s="615" t="s">
        <v>166</v>
      </c>
      <c r="G69" s="615" t="s">
        <v>45</v>
      </c>
      <c r="H69" s="615">
        <v>10</v>
      </c>
      <c r="I69" s="619">
        <v>101120</v>
      </c>
      <c r="J69" s="615">
        <v>50.56</v>
      </c>
      <c r="K69" s="615"/>
      <c r="L69" s="615"/>
      <c r="M69" s="141"/>
      <c r="N69" s="141"/>
    </row>
    <row r="70" spans="1:14">
      <c r="A70" s="621">
        <v>42640.666666666664</v>
      </c>
      <c r="B70" s="615" t="s">
        <v>84</v>
      </c>
      <c r="C70" s="615" t="s">
        <v>132</v>
      </c>
      <c r="D70" s="618">
        <v>5000</v>
      </c>
      <c r="E70" s="615" t="s">
        <v>185</v>
      </c>
      <c r="F70" s="615" t="s">
        <v>186</v>
      </c>
      <c r="G70" s="615" t="s">
        <v>45</v>
      </c>
      <c r="H70" s="615">
        <v>10</v>
      </c>
      <c r="I70" s="619">
        <v>86650</v>
      </c>
      <c r="J70" s="615">
        <v>17.329999999999998</v>
      </c>
      <c r="K70" s="615"/>
      <c r="L70" s="615"/>
      <c r="M70" s="141"/>
      <c r="N70" s="141"/>
    </row>
    <row r="71" spans="1:14">
      <c r="A71" s="621">
        <v>42643.666666666664</v>
      </c>
      <c r="B71" s="615" t="s">
        <v>84</v>
      </c>
      <c r="C71" s="615" t="s">
        <v>130</v>
      </c>
      <c r="D71" s="618">
        <v>5000</v>
      </c>
      <c r="E71" s="615" t="s">
        <v>201</v>
      </c>
      <c r="F71" s="615" t="s">
        <v>202</v>
      </c>
      <c r="G71" s="615" t="s">
        <v>45</v>
      </c>
      <c r="H71" s="615">
        <v>10</v>
      </c>
      <c r="I71" s="619">
        <v>-221400</v>
      </c>
      <c r="J71" s="615">
        <v>44.28</v>
      </c>
      <c r="K71" s="615"/>
      <c r="L71" s="615"/>
      <c r="M71" s="141"/>
      <c r="N71" s="141"/>
    </row>
    <row r="72" spans="1:14">
      <c r="A72" s="621">
        <v>42643.666666666664</v>
      </c>
      <c r="B72" s="615" t="s">
        <v>84</v>
      </c>
      <c r="C72" s="615" t="s">
        <v>130</v>
      </c>
      <c r="D72" s="618">
        <v>2000</v>
      </c>
      <c r="E72" s="615" t="s">
        <v>175</v>
      </c>
      <c r="F72" s="615" t="s">
        <v>176</v>
      </c>
      <c r="G72" s="615" t="s">
        <v>45</v>
      </c>
      <c r="H72" s="615">
        <v>10</v>
      </c>
      <c r="I72" s="619">
        <v>-26180</v>
      </c>
      <c r="J72" s="615">
        <v>13.09</v>
      </c>
      <c r="K72" s="615"/>
      <c r="L72" s="615"/>
      <c r="M72" s="141"/>
      <c r="N72" s="141"/>
    </row>
    <row r="73" spans="1:14">
      <c r="A73" s="621">
        <v>42643.666666666664</v>
      </c>
      <c r="B73" s="615" t="s">
        <v>84</v>
      </c>
      <c r="C73" s="615" t="s">
        <v>132</v>
      </c>
      <c r="D73" s="618">
        <v>5000</v>
      </c>
      <c r="E73" s="615" t="s">
        <v>173</v>
      </c>
      <c r="F73" s="615" t="s">
        <v>174</v>
      </c>
      <c r="G73" s="615" t="s">
        <v>45</v>
      </c>
      <c r="H73" s="615">
        <v>10</v>
      </c>
      <c r="I73" s="619">
        <v>129000</v>
      </c>
      <c r="J73" s="615">
        <v>25.8</v>
      </c>
      <c r="K73" s="615"/>
      <c r="L73" s="615"/>
      <c r="M73" s="141"/>
      <c r="N73" s="141"/>
    </row>
    <row r="74" spans="1:14">
      <c r="A74" s="621">
        <v>42648.666666666664</v>
      </c>
      <c r="B74" s="615" t="s">
        <v>84</v>
      </c>
      <c r="C74" s="615" t="s">
        <v>132</v>
      </c>
      <c r="D74" s="618">
        <v>5000</v>
      </c>
      <c r="E74" s="615" t="s">
        <v>197</v>
      </c>
      <c r="F74" s="615" t="s">
        <v>198</v>
      </c>
      <c r="G74" s="615" t="s">
        <v>45</v>
      </c>
      <c r="H74" s="615">
        <v>10</v>
      </c>
      <c r="I74" s="619">
        <v>20050</v>
      </c>
      <c r="J74" s="615">
        <v>4.01</v>
      </c>
      <c r="K74" s="615"/>
      <c r="L74" s="615"/>
      <c r="M74" s="141"/>
      <c r="N74" s="141"/>
    </row>
    <row r="75" spans="1:14">
      <c r="A75" s="621">
        <v>42648.666666666664</v>
      </c>
      <c r="B75" s="615" t="s">
        <v>84</v>
      </c>
      <c r="C75" s="615" t="s">
        <v>132</v>
      </c>
      <c r="D75" s="618">
        <v>4000</v>
      </c>
      <c r="E75" s="615" t="s">
        <v>189</v>
      </c>
      <c r="F75" s="615" t="s">
        <v>190</v>
      </c>
      <c r="G75" s="615" t="s">
        <v>45</v>
      </c>
      <c r="H75" s="615">
        <v>10</v>
      </c>
      <c r="I75" s="619">
        <v>34440</v>
      </c>
      <c r="J75" s="615">
        <v>8.61</v>
      </c>
      <c r="K75" s="615"/>
      <c r="L75" s="615"/>
      <c r="M75" s="141"/>
      <c r="N75" s="141"/>
    </row>
    <row r="76" spans="1:14">
      <c r="A76" s="621">
        <v>42667.666666666664</v>
      </c>
      <c r="B76" s="615" t="s">
        <v>84</v>
      </c>
      <c r="C76" s="615" t="s">
        <v>132</v>
      </c>
      <c r="D76" s="618">
        <v>5000</v>
      </c>
      <c r="E76" s="615" t="s">
        <v>159</v>
      </c>
      <c r="F76" s="615" t="s">
        <v>160</v>
      </c>
      <c r="G76" s="615" t="s">
        <v>45</v>
      </c>
      <c r="H76" s="615">
        <v>10</v>
      </c>
      <c r="I76" s="619">
        <v>522500</v>
      </c>
      <c r="J76" s="615">
        <v>104.5</v>
      </c>
      <c r="K76" s="615"/>
      <c r="L76" s="615"/>
      <c r="M76" s="141"/>
      <c r="N76" s="141"/>
    </row>
    <row r="77" spans="1:14">
      <c r="A77" s="621">
        <v>42667.666666666664</v>
      </c>
      <c r="B77" s="615" t="s">
        <v>84</v>
      </c>
      <c r="C77" s="615" t="s">
        <v>132</v>
      </c>
      <c r="D77" s="618">
        <v>6000</v>
      </c>
      <c r="E77" s="615" t="s">
        <v>163</v>
      </c>
      <c r="F77" s="615" t="s">
        <v>164</v>
      </c>
      <c r="G77" s="615" t="s">
        <v>45</v>
      </c>
      <c r="H77" s="615">
        <v>10</v>
      </c>
      <c r="I77" s="619">
        <v>5028540</v>
      </c>
      <c r="J77" s="615">
        <v>838.09</v>
      </c>
      <c r="K77" s="615"/>
      <c r="L77" s="615"/>
      <c r="M77" s="141"/>
      <c r="N77" s="141"/>
    </row>
    <row r="78" spans="1:14">
      <c r="A78" s="621">
        <v>42667.666666666664</v>
      </c>
      <c r="B78" s="615" t="s">
        <v>84</v>
      </c>
      <c r="C78" s="615" t="s">
        <v>132</v>
      </c>
      <c r="D78" s="618">
        <v>5000</v>
      </c>
      <c r="E78" s="615" t="s">
        <v>167</v>
      </c>
      <c r="F78" s="615" t="s">
        <v>168</v>
      </c>
      <c r="G78" s="615" t="s">
        <v>45</v>
      </c>
      <c r="H78" s="615">
        <v>10</v>
      </c>
      <c r="I78" s="619">
        <v>588250</v>
      </c>
      <c r="J78" s="615">
        <v>117.65</v>
      </c>
      <c r="K78" s="615"/>
      <c r="L78" s="615"/>
      <c r="M78" s="141"/>
      <c r="N78" s="141"/>
    </row>
    <row r="79" spans="1:14">
      <c r="A79" s="621">
        <v>42669.666666666664</v>
      </c>
      <c r="B79" s="615" t="s">
        <v>84</v>
      </c>
      <c r="C79" s="615" t="s">
        <v>130</v>
      </c>
      <c r="D79" s="618">
        <v>1000</v>
      </c>
      <c r="E79" s="615" t="s">
        <v>157</v>
      </c>
      <c r="F79" s="615" t="s">
        <v>158</v>
      </c>
      <c r="G79" s="615" t="s">
        <v>45</v>
      </c>
      <c r="H79" s="615">
        <v>10</v>
      </c>
      <c r="I79" s="619">
        <v>-33210</v>
      </c>
      <c r="J79" s="615">
        <v>33.21</v>
      </c>
      <c r="K79" s="615"/>
      <c r="L79" s="615"/>
      <c r="M79" s="141"/>
      <c r="N79" s="141"/>
    </row>
    <row r="80" spans="1:14">
      <c r="A80" s="621">
        <v>42669.666666666664</v>
      </c>
      <c r="B80" s="615" t="s">
        <v>84</v>
      </c>
      <c r="C80" s="615" t="s">
        <v>130</v>
      </c>
      <c r="D80" s="618">
        <v>2000</v>
      </c>
      <c r="E80" s="615" t="s">
        <v>199</v>
      </c>
      <c r="F80" s="615" t="s">
        <v>200</v>
      </c>
      <c r="G80" s="615" t="s">
        <v>45</v>
      </c>
      <c r="H80" s="615">
        <v>10</v>
      </c>
      <c r="I80" s="619">
        <v>-107260</v>
      </c>
      <c r="J80" s="615">
        <v>53.63</v>
      </c>
      <c r="K80" s="615"/>
      <c r="L80" s="615"/>
      <c r="M80" s="141"/>
      <c r="N80" s="141"/>
    </row>
    <row r="81" spans="1:14">
      <c r="A81" s="621">
        <v>42669.666666666664</v>
      </c>
      <c r="B81" s="615" t="s">
        <v>84</v>
      </c>
      <c r="C81" s="615" t="s">
        <v>130</v>
      </c>
      <c r="D81" s="618">
        <v>1000</v>
      </c>
      <c r="E81" s="615" t="s">
        <v>203</v>
      </c>
      <c r="F81" s="615" t="s">
        <v>204</v>
      </c>
      <c r="G81" s="615" t="s">
        <v>45</v>
      </c>
      <c r="H81" s="615">
        <v>10</v>
      </c>
      <c r="I81" s="619">
        <v>-42080</v>
      </c>
      <c r="J81" s="615">
        <v>42.08</v>
      </c>
      <c r="K81" s="615"/>
      <c r="L81" s="615"/>
      <c r="M81" s="141"/>
      <c r="N81" s="141"/>
    </row>
    <row r="82" spans="1:14">
      <c r="A82" s="621">
        <v>42669.666666666664</v>
      </c>
      <c r="B82" s="615" t="s">
        <v>84</v>
      </c>
      <c r="C82" s="615" t="s">
        <v>130</v>
      </c>
      <c r="D82" s="618">
        <v>5000</v>
      </c>
      <c r="E82" s="615" t="s">
        <v>189</v>
      </c>
      <c r="F82" s="615" t="s">
        <v>190</v>
      </c>
      <c r="G82" s="615" t="s">
        <v>45</v>
      </c>
      <c r="H82" s="615">
        <v>10</v>
      </c>
      <c r="I82" s="619">
        <v>-48300</v>
      </c>
      <c r="J82" s="615">
        <v>9.66</v>
      </c>
      <c r="K82" s="615"/>
      <c r="L82" s="615"/>
      <c r="M82" s="141"/>
      <c r="N82" s="141"/>
    </row>
    <row r="83" spans="1:14">
      <c r="A83" s="621">
        <v>42670.666666666664</v>
      </c>
      <c r="B83" s="615" t="s">
        <v>84</v>
      </c>
      <c r="C83" s="615" t="s">
        <v>130</v>
      </c>
      <c r="D83" s="618">
        <v>5000</v>
      </c>
      <c r="E83" s="615" t="s">
        <v>185</v>
      </c>
      <c r="F83" s="615" t="s">
        <v>186</v>
      </c>
      <c r="G83" s="615" t="s">
        <v>45</v>
      </c>
      <c r="H83" s="615">
        <v>10</v>
      </c>
      <c r="I83" s="619">
        <v>-86800</v>
      </c>
      <c r="J83" s="615">
        <v>17.36</v>
      </c>
      <c r="K83" s="615"/>
      <c r="L83" s="615"/>
      <c r="M83" s="141"/>
      <c r="N83" s="141"/>
    </row>
    <row r="84" spans="1:14">
      <c r="A84" s="621">
        <v>42670.666666666664</v>
      </c>
      <c r="B84" s="615" t="s">
        <v>84</v>
      </c>
      <c r="C84" s="615" t="s">
        <v>130</v>
      </c>
      <c r="D84" s="618">
        <v>1000</v>
      </c>
      <c r="E84" s="615" t="s">
        <v>159</v>
      </c>
      <c r="F84" s="615" t="s">
        <v>160</v>
      </c>
      <c r="G84" s="615" t="s">
        <v>45</v>
      </c>
      <c r="H84" s="615">
        <v>10</v>
      </c>
      <c r="I84" s="619">
        <v>-102380</v>
      </c>
      <c r="J84" s="615">
        <v>102.38</v>
      </c>
      <c r="K84" s="615"/>
      <c r="L84" s="615"/>
      <c r="M84" s="141"/>
      <c r="N84" s="141"/>
    </row>
    <row r="85" spans="1:14">
      <c r="A85" s="621">
        <v>42674.666666666664</v>
      </c>
      <c r="B85" s="615" t="s">
        <v>84</v>
      </c>
      <c r="C85" s="615" t="s">
        <v>130</v>
      </c>
      <c r="D85" s="618">
        <v>6500</v>
      </c>
      <c r="E85" s="615" t="s">
        <v>163</v>
      </c>
      <c r="F85" s="615" t="s">
        <v>164</v>
      </c>
      <c r="G85" s="615" t="s">
        <v>45</v>
      </c>
      <c r="H85" s="615">
        <v>10</v>
      </c>
      <c r="I85" s="619">
        <v>-5133830</v>
      </c>
      <c r="J85" s="615">
        <v>789.82</v>
      </c>
      <c r="K85" s="615"/>
      <c r="L85" s="615"/>
      <c r="M85" s="141"/>
      <c r="N85" s="141"/>
    </row>
    <row r="86" spans="1:14">
      <c r="A86" s="621">
        <v>42688.666666666664</v>
      </c>
      <c r="B86" s="615" t="s">
        <v>84</v>
      </c>
      <c r="C86" s="615" t="s">
        <v>130</v>
      </c>
      <c r="D86" s="618">
        <v>1000</v>
      </c>
      <c r="E86" s="615" t="s">
        <v>171</v>
      </c>
      <c r="F86" s="615" t="s">
        <v>172</v>
      </c>
      <c r="G86" s="615" t="s">
        <v>45</v>
      </c>
      <c r="H86" s="615">
        <v>10</v>
      </c>
      <c r="I86" s="619">
        <v>-10550</v>
      </c>
      <c r="J86" s="615">
        <v>10.55</v>
      </c>
      <c r="K86" s="615"/>
      <c r="L86" s="615"/>
      <c r="M86" s="141"/>
      <c r="N86" s="141"/>
    </row>
    <row r="87" spans="1:14">
      <c r="A87" s="621">
        <v>42688.666666666664</v>
      </c>
      <c r="B87" s="615" t="s">
        <v>84</v>
      </c>
      <c r="C87" s="615" t="s">
        <v>130</v>
      </c>
      <c r="D87" s="618">
        <v>10000</v>
      </c>
      <c r="E87" s="615" t="s">
        <v>191</v>
      </c>
      <c r="F87" s="615" t="s">
        <v>192</v>
      </c>
      <c r="G87" s="615" t="s">
        <v>45</v>
      </c>
      <c r="H87" s="615">
        <v>10</v>
      </c>
      <c r="I87" s="619">
        <v>-772400</v>
      </c>
      <c r="J87" s="615">
        <v>77.239999999999995</v>
      </c>
      <c r="K87" s="615"/>
      <c r="L87" s="615"/>
      <c r="M87" s="141"/>
      <c r="N87" s="141"/>
    </row>
    <row r="88" spans="1:14" ht="25">
      <c r="A88" s="621">
        <v>42692.666666666664</v>
      </c>
      <c r="B88" s="615" t="s">
        <v>84</v>
      </c>
      <c r="C88" s="615" t="s">
        <v>132</v>
      </c>
      <c r="D88" s="615">
        <v>500</v>
      </c>
      <c r="E88" s="615" t="s">
        <v>205</v>
      </c>
      <c r="F88" s="615" t="s">
        <v>206</v>
      </c>
      <c r="G88" s="615" t="s">
        <v>207</v>
      </c>
      <c r="H88" s="615">
        <v>10</v>
      </c>
      <c r="I88" s="619">
        <v>8605</v>
      </c>
      <c r="J88" s="615">
        <v>17.21</v>
      </c>
      <c r="K88" s="615"/>
      <c r="L88" s="615"/>
      <c r="M88" s="141"/>
      <c r="N88" s="141"/>
    </row>
    <row r="89" spans="1:14">
      <c r="A89" s="615"/>
      <c r="B89" s="615"/>
      <c r="C89" s="615"/>
      <c r="D89" s="615"/>
      <c r="E89" s="615"/>
      <c r="F89" s="615"/>
      <c r="G89" s="615"/>
      <c r="H89" s="615"/>
      <c r="I89" s="619"/>
      <c r="J89" s="615"/>
      <c r="K89" s="615"/>
      <c r="L89" s="615"/>
      <c r="M89" s="141"/>
      <c r="N89" s="141"/>
    </row>
    <row r="90" spans="1:14">
      <c r="A90" s="622" t="s">
        <v>53</v>
      </c>
      <c r="B90" s="622"/>
      <c r="C90" s="622"/>
      <c r="D90" s="622"/>
      <c r="E90" s="622"/>
      <c r="F90" s="622"/>
      <c r="G90" s="622"/>
      <c r="H90" s="622"/>
      <c r="I90" s="622"/>
      <c r="J90" s="615"/>
      <c r="K90" s="615"/>
      <c r="L90" s="615"/>
      <c r="M90" s="141"/>
      <c r="N90" s="141"/>
    </row>
    <row r="91" spans="1:14" ht="25">
      <c r="A91" s="622" t="s">
        <v>134</v>
      </c>
      <c r="B91" s="622" t="s">
        <v>133</v>
      </c>
      <c r="C91" s="622" t="s">
        <v>132</v>
      </c>
      <c r="D91" s="622" t="s">
        <v>131</v>
      </c>
      <c r="E91" s="622" t="s">
        <v>130</v>
      </c>
      <c r="F91" s="622" t="s">
        <v>129</v>
      </c>
      <c r="G91" s="622" t="s">
        <v>23</v>
      </c>
      <c r="H91" s="622" t="s">
        <v>107</v>
      </c>
      <c r="I91" s="622"/>
      <c r="J91" s="615"/>
      <c r="K91" s="615"/>
      <c r="L91" s="615"/>
      <c r="M91" s="141"/>
      <c r="N91" s="141"/>
    </row>
    <row r="92" spans="1:14">
      <c r="A92" s="622"/>
      <c r="B92" s="622"/>
      <c r="C92" s="622"/>
      <c r="D92" s="622"/>
      <c r="E92" s="622"/>
      <c r="F92" s="622"/>
      <c r="G92" s="622"/>
      <c r="H92" s="622"/>
      <c r="I92" s="622"/>
      <c r="J92" s="615"/>
      <c r="K92" s="615"/>
      <c r="L92" s="615"/>
      <c r="M92" s="141"/>
      <c r="N92" s="141"/>
    </row>
    <row r="93" spans="1:14">
      <c r="A93" s="622" t="s">
        <v>128</v>
      </c>
      <c r="B93" s="622"/>
      <c r="C93" s="622"/>
      <c r="D93" s="622"/>
      <c r="E93" s="622"/>
      <c r="F93" s="622"/>
      <c r="G93" s="622"/>
      <c r="H93" s="622"/>
      <c r="I93" s="622"/>
      <c r="J93" s="615"/>
      <c r="K93" s="615"/>
      <c r="L93" s="615"/>
      <c r="M93" s="141"/>
      <c r="N93" s="141"/>
    </row>
    <row r="94" spans="1:14" ht="25">
      <c r="A94" s="622" t="s">
        <v>106</v>
      </c>
      <c r="B94" s="622" t="s">
        <v>84</v>
      </c>
      <c r="C94" s="622" t="s">
        <v>127</v>
      </c>
      <c r="D94" s="622" t="s">
        <v>3</v>
      </c>
      <c r="E94" s="622" t="s">
        <v>5</v>
      </c>
      <c r="F94" s="622" t="s">
        <v>126</v>
      </c>
      <c r="G94" s="622" t="s">
        <v>53</v>
      </c>
      <c r="H94" s="622" t="s">
        <v>34</v>
      </c>
      <c r="I94" s="622" t="s">
        <v>125</v>
      </c>
      <c r="J94" s="615"/>
      <c r="K94" s="615"/>
      <c r="L94" s="615"/>
      <c r="M94" s="141"/>
      <c r="N94" s="141"/>
    </row>
    <row r="95" spans="1:14" ht="25">
      <c r="A95" s="623">
        <v>42614</v>
      </c>
      <c r="B95" s="622" t="s">
        <v>84</v>
      </c>
      <c r="C95" s="622" t="s">
        <v>124</v>
      </c>
      <c r="D95" s="622" t="s">
        <v>84</v>
      </c>
      <c r="E95" s="622" t="s">
        <v>84</v>
      </c>
      <c r="F95" s="622" t="s">
        <v>84</v>
      </c>
      <c r="G95" s="622" t="s">
        <v>45</v>
      </c>
      <c r="H95" s="624">
        <v>1000000</v>
      </c>
      <c r="I95" s="622" t="s">
        <v>84</v>
      </c>
      <c r="J95" s="615"/>
      <c r="K95" s="615"/>
      <c r="L95" s="615"/>
      <c r="M95" s="141"/>
      <c r="N95" s="141"/>
    </row>
    <row r="96" spans="1:14" ht="25">
      <c r="A96" s="623">
        <v>42614</v>
      </c>
      <c r="B96" s="622" t="s">
        <v>84</v>
      </c>
      <c r="C96" s="622" t="s">
        <v>124</v>
      </c>
      <c r="D96" s="622" t="s">
        <v>84</v>
      </c>
      <c r="E96" s="622" t="s">
        <v>84</v>
      </c>
      <c r="F96" s="622" t="s">
        <v>84</v>
      </c>
      <c r="G96" s="622" t="s">
        <v>45</v>
      </c>
      <c r="H96" s="624">
        <v>1000000</v>
      </c>
      <c r="I96" s="622" t="s">
        <v>84</v>
      </c>
      <c r="J96" s="615"/>
      <c r="K96" s="615"/>
      <c r="L96" s="615"/>
      <c r="M96" s="141"/>
      <c r="N96" s="141"/>
    </row>
    <row r="97" spans="1:14" ht="25">
      <c r="A97" s="623">
        <v>42614</v>
      </c>
      <c r="B97" s="622" t="s">
        <v>84</v>
      </c>
      <c r="C97" s="622" t="s">
        <v>124</v>
      </c>
      <c r="D97" s="622" t="s">
        <v>84</v>
      </c>
      <c r="E97" s="622" t="s">
        <v>84</v>
      </c>
      <c r="F97" s="622" t="s">
        <v>84</v>
      </c>
      <c r="G97" s="622" t="s">
        <v>45</v>
      </c>
      <c r="H97" s="624">
        <v>1000000</v>
      </c>
      <c r="I97" s="622" t="s">
        <v>84</v>
      </c>
      <c r="J97" s="615"/>
      <c r="K97" s="615"/>
      <c r="L97" s="615"/>
      <c r="M97" s="141"/>
      <c r="N97" s="141"/>
    </row>
    <row r="98" spans="1:14" ht="25">
      <c r="A98" s="623">
        <v>42614</v>
      </c>
      <c r="B98" s="622" t="s">
        <v>84</v>
      </c>
      <c r="C98" s="622" t="s">
        <v>124</v>
      </c>
      <c r="D98" s="622" t="s">
        <v>84</v>
      </c>
      <c r="E98" s="622" t="s">
        <v>84</v>
      </c>
      <c r="F98" s="622" t="s">
        <v>84</v>
      </c>
      <c r="G98" s="622" t="s">
        <v>45</v>
      </c>
      <c r="H98" s="624">
        <v>1000000</v>
      </c>
      <c r="I98" s="622" t="s">
        <v>84</v>
      </c>
      <c r="J98" s="615"/>
      <c r="K98" s="615"/>
      <c r="L98" s="615"/>
      <c r="M98" s="141"/>
      <c r="N98" s="141"/>
    </row>
    <row r="99" spans="1:14" ht="25">
      <c r="A99" s="623">
        <v>42643.999305555553</v>
      </c>
      <c r="B99" s="622" t="s">
        <v>84</v>
      </c>
      <c r="C99" s="625" t="s">
        <v>122</v>
      </c>
      <c r="D99" s="622" t="s">
        <v>84</v>
      </c>
      <c r="E99" s="622" t="s">
        <v>84</v>
      </c>
      <c r="F99" s="622" t="s">
        <v>121</v>
      </c>
      <c r="G99" s="622" t="s">
        <v>45</v>
      </c>
      <c r="H99" s="624">
        <v>1353.58</v>
      </c>
      <c r="I99" s="622" t="s">
        <v>84</v>
      </c>
      <c r="J99" s="615"/>
      <c r="K99" s="615"/>
      <c r="L99" s="615"/>
      <c r="M99" s="141"/>
      <c r="N99" s="141"/>
    </row>
    <row r="100" spans="1:14" ht="25">
      <c r="A100" s="623">
        <v>42668.645833333336</v>
      </c>
      <c r="B100" s="622" t="s">
        <v>84</v>
      </c>
      <c r="C100" s="625" t="s">
        <v>123</v>
      </c>
      <c r="D100" s="626">
        <v>1000</v>
      </c>
      <c r="E100" s="622" t="s">
        <v>183</v>
      </c>
      <c r="F100" s="622" t="s">
        <v>184</v>
      </c>
      <c r="G100" s="622" t="s">
        <v>45</v>
      </c>
      <c r="H100" s="622">
        <v>230</v>
      </c>
      <c r="I100" s="622">
        <v>0.23</v>
      </c>
      <c r="J100" s="615"/>
      <c r="K100" s="615"/>
      <c r="L100" s="615"/>
      <c r="M100" s="141"/>
      <c r="N100" s="141"/>
    </row>
    <row r="101" spans="1:14" ht="25">
      <c r="A101" s="623">
        <v>42674.645833333336</v>
      </c>
      <c r="B101" s="622" t="s">
        <v>84</v>
      </c>
      <c r="C101" s="625" t="s">
        <v>123</v>
      </c>
      <c r="D101" s="626">
        <v>-2000</v>
      </c>
      <c r="E101" s="622" t="s">
        <v>187</v>
      </c>
      <c r="F101" s="622" t="s">
        <v>212</v>
      </c>
      <c r="G101" s="622" t="s">
        <v>45</v>
      </c>
      <c r="H101" s="622">
        <v>-960</v>
      </c>
      <c r="I101" s="622">
        <v>0.48</v>
      </c>
      <c r="J101" s="615"/>
      <c r="K101" s="615"/>
      <c r="L101" s="615"/>
      <c r="M101" s="141"/>
      <c r="N101" s="141"/>
    </row>
    <row r="102" spans="1:14" ht="25">
      <c r="A102" s="623">
        <v>42674.999305555553</v>
      </c>
      <c r="B102" s="622" t="s">
        <v>84</v>
      </c>
      <c r="C102" s="625" t="s">
        <v>122</v>
      </c>
      <c r="D102" s="622" t="s">
        <v>84</v>
      </c>
      <c r="E102" s="622" t="s">
        <v>84</v>
      </c>
      <c r="F102" s="622" t="s">
        <v>121</v>
      </c>
      <c r="G102" s="622" t="s">
        <v>45</v>
      </c>
      <c r="H102" s="622">
        <v>584.41</v>
      </c>
      <c r="I102" s="622" t="s">
        <v>84</v>
      </c>
      <c r="J102" s="615"/>
      <c r="K102" s="615"/>
      <c r="L102" s="615"/>
      <c r="M102" s="141"/>
      <c r="N102" s="141"/>
    </row>
    <row r="103" spans="1:14" ht="37">
      <c r="A103" s="623">
        <v>42674.999305555553</v>
      </c>
      <c r="B103" s="622" t="s">
        <v>84</v>
      </c>
      <c r="C103" s="625" t="s">
        <v>154</v>
      </c>
      <c r="D103" s="622" t="s">
        <v>84</v>
      </c>
      <c r="E103" s="622" t="s">
        <v>84</v>
      </c>
      <c r="F103" s="622" t="s">
        <v>153</v>
      </c>
      <c r="G103" s="622" t="s">
        <v>45</v>
      </c>
      <c r="H103" s="624">
        <v>-1938.03</v>
      </c>
      <c r="I103" s="622" t="s">
        <v>84</v>
      </c>
      <c r="J103" s="615"/>
      <c r="K103" s="615"/>
      <c r="L103" s="615"/>
      <c r="M103" s="141"/>
      <c r="N103" s="141"/>
    </row>
    <row r="104" spans="1:14" ht="49">
      <c r="A104" s="623">
        <v>42674.999305555553</v>
      </c>
      <c r="B104" s="622" t="s">
        <v>84</v>
      </c>
      <c r="C104" s="625" t="s">
        <v>214</v>
      </c>
      <c r="D104" s="622" t="s">
        <v>84</v>
      </c>
      <c r="E104" s="622" t="s">
        <v>84</v>
      </c>
      <c r="F104" s="622" t="s">
        <v>215</v>
      </c>
      <c r="G104" s="622" t="s">
        <v>45</v>
      </c>
      <c r="H104" s="624">
        <v>-2403.61</v>
      </c>
      <c r="I104" s="622" t="s">
        <v>84</v>
      </c>
      <c r="J104" s="615"/>
      <c r="K104" s="615"/>
      <c r="L104" s="615"/>
      <c r="M104" s="141"/>
      <c r="N104" s="141"/>
    </row>
    <row r="105" spans="1:14" ht="25">
      <c r="A105" s="623">
        <v>42684.645833333336</v>
      </c>
      <c r="B105" s="622" t="s">
        <v>84</v>
      </c>
      <c r="C105" s="625" t="s">
        <v>123</v>
      </c>
      <c r="D105" s="626">
        <v>5500</v>
      </c>
      <c r="E105" s="622" t="s">
        <v>167</v>
      </c>
      <c r="F105" s="622" t="s">
        <v>168</v>
      </c>
      <c r="G105" s="622" t="s">
        <v>45</v>
      </c>
      <c r="H105" s="624">
        <v>3135</v>
      </c>
      <c r="I105" s="622">
        <v>0.56999999999999995</v>
      </c>
      <c r="J105" s="615"/>
      <c r="K105" s="615"/>
      <c r="L105" s="615"/>
      <c r="M105" s="141"/>
      <c r="N105" s="141"/>
    </row>
    <row r="106" spans="1:14" ht="25">
      <c r="A106" s="623">
        <v>42692.645833333336</v>
      </c>
      <c r="B106" s="622" t="s">
        <v>84</v>
      </c>
      <c r="C106" s="625" t="s">
        <v>123</v>
      </c>
      <c r="D106" s="626">
        <v>6000</v>
      </c>
      <c r="E106" s="622" t="s">
        <v>173</v>
      </c>
      <c r="F106" s="622" t="s">
        <v>174</v>
      </c>
      <c r="G106" s="622" t="s">
        <v>45</v>
      </c>
      <c r="H106" s="622">
        <v>120</v>
      </c>
      <c r="I106" s="622">
        <v>0.02</v>
      </c>
      <c r="J106" s="615"/>
      <c r="K106" s="615"/>
      <c r="L106" s="615"/>
      <c r="M106" s="141"/>
      <c r="N106" s="141"/>
    </row>
    <row r="107" spans="1:14" ht="37">
      <c r="A107" s="623">
        <v>42704.999305555553</v>
      </c>
      <c r="B107" s="622" t="s">
        <v>84</v>
      </c>
      <c r="C107" s="625" t="s">
        <v>154</v>
      </c>
      <c r="D107" s="622" t="s">
        <v>84</v>
      </c>
      <c r="E107" s="622" t="s">
        <v>84</v>
      </c>
      <c r="F107" s="622" t="s">
        <v>153</v>
      </c>
      <c r="G107" s="622" t="s">
        <v>207</v>
      </c>
      <c r="H107" s="622">
        <v>-18.239999999999998</v>
      </c>
      <c r="I107" s="622" t="s">
        <v>84</v>
      </c>
      <c r="J107" s="627"/>
      <c r="K107" s="627"/>
      <c r="L107" s="627"/>
    </row>
    <row r="108" spans="1:14" ht="25">
      <c r="A108" s="623">
        <v>42704.999305555553</v>
      </c>
      <c r="B108" s="622" t="s">
        <v>84</v>
      </c>
      <c r="C108" s="625" t="s">
        <v>122</v>
      </c>
      <c r="D108" s="622" t="s">
        <v>84</v>
      </c>
      <c r="E108" s="622" t="s">
        <v>84</v>
      </c>
      <c r="F108" s="622" t="s">
        <v>121</v>
      </c>
      <c r="G108" s="622" t="s">
        <v>45</v>
      </c>
      <c r="H108" s="622">
        <v>654.80999999999995</v>
      </c>
      <c r="I108" s="622" t="s">
        <v>84</v>
      </c>
      <c r="J108" s="627"/>
      <c r="K108" s="627"/>
      <c r="L108" s="627"/>
    </row>
    <row r="109" spans="1:14">
      <c r="A109" s="622"/>
      <c r="B109" s="622"/>
      <c r="C109" s="622"/>
      <c r="D109" s="622"/>
      <c r="E109" s="622"/>
      <c r="F109" s="622"/>
      <c r="G109" s="622"/>
      <c r="H109" s="624"/>
      <c r="I109" s="622"/>
      <c r="J109" s="627"/>
      <c r="K109" s="627"/>
      <c r="L109" s="627"/>
    </row>
    <row r="110" spans="1:14">
      <c r="A110" s="622"/>
      <c r="B110" s="622"/>
      <c r="C110" s="622"/>
      <c r="D110" s="622"/>
      <c r="E110" s="622"/>
      <c r="F110" s="622"/>
      <c r="G110" s="622"/>
      <c r="H110" s="622"/>
      <c r="I110" s="622"/>
      <c r="J110" s="627"/>
      <c r="K110" s="627"/>
      <c r="L110" s="627"/>
    </row>
    <row r="111" spans="1:14">
      <c r="A111" s="622" t="s">
        <v>120</v>
      </c>
      <c r="B111" s="622"/>
      <c r="C111" s="622"/>
      <c r="D111" s="622"/>
      <c r="E111" s="622"/>
      <c r="F111" s="622"/>
      <c r="G111" s="622"/>
      <c r="H111" s="622"/>
      <c r="I111" s="622"/>
      <c r="J111" s="627"/>
      <c r="K111" s="627"/>
      <c r="L111" s="627"/>
    </row>
    <row r="112" spans="1:14" ht="25">
      <c r="A112" s="622" t="s">
        <v>119</v>
      </c>
      <c r="B112" s="622" t="s">
        <v>118</v>
      </c>
      <c r="C112" s="622" t="s">
        <v>117</v>
      </c>
      <c r="D112" s="622" t="s">
        <v>116</v>
      </c>
      <c r="E112" s="622" t="s">
        <v>115</v>
      </c>
      <c r="F112" s="622"/>
      <c r="G112" s="622"/>
      <c r="H112" s="622"/>
      <c r="I112" s="622"/>
      <c r="J112" s="627"/>
      <c r="K112" s="627"/>
      <c r="L112" s="627"/>
    </row>
    <row r="113" spans="1:12" ht="25">
      <c r="A113" s="623">
        <v>42667.677777777775</v>
      </c>
      <c r="B113" s="623">
        <v>42676.677777777775</v>
      </c>
      <c r="C113" s="622">
        <v>0</v>
      </c>
      <c r="D113" s="623">
        <v>42674.678472222222</v>
      </c>
      <c r="E113" s="622" t="s">
        <v>216</v>
      </c>
      <c r="F113" s="622"/>
      <c r="G113" s="622"/>
      <c r="H113" s="622"/>
      <c r="I113" s="622"/>
      <c r="J113" s="627"/>
      <c r="K113" s="627"/>
      <c r="L113" s="627"/>
    </row>
    <row r="114" spans="1:12">
      <c r="A114" s="627"/>
      <c r="B114" s="627"/>
      <c r="C114" s="627"/>
      <c r="D114" s="627"/>
      <c r="E114" s="627"/>
      <c r="F114" s="627"/>
      <c r="G114" s="627"/>
      <c r="H114" s="627"/>
      <c r="I114" s="627"/>
      <c r="J114" s="627"/>
      <c r="K114" s="627"/>
      <c r="L114" s="627"/>
    </row>
    <row r="115" spans="1:12">
      <c r="A115" s="627"/>
      <c r="B115" s="627"/>
      <c r="C115" s="627"/>
      <c r="D115" s="627"/>
      <c r="E115" s="627"/>
      <c r="F115" s="627"/>
      <c r="G115" s="627"/>
      <c r="H115" s="627"/>
      <c r="I115" s="627"/>
      <c r="J115" s="627"/>
      <c r="K115" s="627"/>
      <c r="L115" s="627"/>
    </row>
    <row r="116" spans="1:12">
      <c r="A116" s="627"/>
      <c r="B116" s="627"/>
      <c r="C116" s="627"/>
      <c r="D116" s="627"/>
      <c r="E116" s="627"/>
      <c r="F116" s="627"/>
      <c r="G116" s="627"/>
      <c r="H116" s="627"/>
      <c r="I116" s="627"/>
      <c r="J116" s="627"/>
      <c r="K116" s="627"/>
      <c r="L116" s="627"/>
    </row>
    <row r="117" spans="1:12">
      <c r="A117" s="627"/>
      <c r="B117" s="627"/>
      <c r="C117" s="627"/>
      <c r="D117" s="627"/>
      <c r="E117" s="627"/>
      <c r="F117" s="627"/>
      <c r="G117" s="627"/>
      <c r="H117" s="627"/>
      <c r="I117" s="627"/>
      <c r="J117" s="627"/>
      <c r="K117" s="627"/>
      <c r="L117" s="627"/>
    </row>
    <row r="118" spans="1:12">
      <c r="A118" s="627"/>
      <c r="B118" s="627"/>
      <c r="C118" s="627"/>
      <c r="D118" s="627"/>
      <c r="E118" s="627"/>
      <c r="F118" s="627"/>
      <c r="G118" s="627"/>
      <c r="H118" s="627"/>
      <c r="I118" s="627"/>
      <c r="J118" s="627"/>
      <c r="K118" s="627"/>
      <c r="L118" s="627"/>
    </row>
    <row r="119" spans="1:12">
      <c r="A119" s="627"/>
      <c r="B119" s="627"/>
      <c r="C119" s="627"/>
      <c r="D119" s="627"/>
      <c r="E119" s="627"/>
      <c r="F119" s="627"/>
      <c r="G119" s="627"/>
      <c r="H119" s="627"/>
      <c r="I119" s="627"/>
      <c r="J119" s="627"/>
      <c r="K119" s="627"/>
      <c r="L119" s="627"/>
    </row>
    <row r="120" spans="1:12">
      <c r="A120" s="627"/>
      <c r="B120" s="627"/>
      <c r="C120" s="627"/>
      <c r="D120" s="627"/>
      <c r="E120" s="627"/>
      <c r="F120" s="627"/>
      <c r="G120" s="627"/>
      <c r="H120" s="627"/>
      <c r="I120" s="627"/>
      <c r="J120" s="627"/>
      <c r="K120" s="627"/>
      <c r="L120" s="627"/>
    </row>
    <row r="121" spans="1:12">
      <c r="A121" s="627"/>
      <c r="B121" s="627"/>
      <c r="C121" s="627"/>
      <c r="D121" s="627"/>
      <c r="E121" s="627"/>
      <c r="F121" s="627"/>
      <c r="G121" s="627"/>
      <c r="H121" s="627"/>
      <c r="I121" s="627"/>
      <c r="J121" s="627"/>
      <c r="K121" s="627"/>
      <c r="L121" s="627"/>
    </row>
    <row r="122" spans="1:12">
      <c r="A122" s="627"/>
      <c r="B122" s="627"/>
      <c r="C122" s="627"/>
      <c r="D122" s="627"/>
      <c r="E122" s="627"/>
      <c r="F122" s="627"/>
      <c r="G122" s="627"/>
      <c r="H122" s="627"/>
      <c r="I122" s="627"/>
      <c r="J122" s="627"/>
      <c r="K122" s="627"/>
      <c r="L122" s="627"/>
    </row>
    <row r="123" spans="1:12">
      <c r="A123" s="627"/>
      <c r="B123" s="627"/>
      <c r="C123" s="627"/>
      <c r="D123" s="627"/>
      <c r="E123" s="627"/>
      <c r="F123" s="627"/>
      <c r="G123" s="627"/>
      <c r="H123" s="627"/>
      <c r="I123" s="627"/>
      <c r="J123" s="627"/>
      <c r="K123" s="627"/>
      <c r="L123" s="627"/>
    </row>
    <row r="124" spans="1:12">
      <c r="A124" s="627"/>
      <c r="B124" s="627"/>
      <c r="C124" s="627"/>
      <c r="D124" s="627"/>
      <c r="E124" s="627"/>
      <c r="F124" s="627"/>
      <c r="G124" s="627"/>
      <c r="H124" s="627"/>
      <c r="I124" s="627"/>
      <c r="J124" s="627"/>
      <c r="K124" s="627"/>
      <c r="L124" s="627"/>
    </row>
    <row r="125" spans="1:12">
      <c r="A125" s="627"/>
      <c r="B125" s="627"/>
      <c r="C125" s="627"/>
      <c r="D125" s="627"/>
      <c r="E125" s="627"/>
      <c r="F125" s="627"/>
      <c r="G125" s="627"/>
      <c r="H125" s="627"/>
      <c r="I125" s="627"/>
      <c r="J125" s="627"/>
      <c r="K125" s="627"/>
      <c r="L125" s="627"/>
    </row>
    <row r="126" spans="1:12">
      <c r="A126" s="628"/>
      <c r="B126" s="628"/>
      <c r="C126" s="628"/>
      <c r="D126" s="628"/>
      <c r="E126" s="628"/>
      <c r="F126" s="628"/>
      <c r="G126" s="628"/>
      <c r="H126" s="628"/>
      <c r="I126" s="628"/>
      <c r="J126" s="628"/>
      <c r="K126" s="628"/>
      <c r="L126" s="628"/>
    </row>
    <row r="127" spans="1:12">
      <c r="A127" s="628"/>
      <c r="B127" s="628"/>
      <c r="C127" s="628"/>
      <c r="D127" s="628"/>
      <c r="E127" s="628"/>
      <c r="F127" s="628"/>
      <c r="G127" s="628"/>
      <c r="H127" s="628"/>
      <c r="I127" s="628"/>
      <c r="J127" s="628"/>
      <c r="K127" s="628"/>
      <c r="L127" s="628"/>
    </row>
    <row r="128" spans="1:12">
      <c r="A128" s="628"/>
      <c r="B128" s="628"/>
      <c r="C128" s="628"/>
      <c r="D128" s="628"/>
      <c r="E128" s="628"/>
      <c r="F128" s="628"/>
      <c r="G128" s="628"/>
      <c r="H128" s="628"/>
      <c r="I128" s="628"/>
      <c r="J128" s="628"/>
      <c r="K128" s="628"/>
      <c r="L128" s="628"/>
    </row>
    <row r="129" spans="1:12">
      <c r="A129" s="628"/>
      <c r="B129" s="628"/>
      <c r="C129" s="628"/>
      <c r="D129" s="628"/>
      <c r="E129" s="628"/>
      <c r="F129" s="628"/>
      <c r="G129" s="628"/>
      <c r="H129" s="628"/>
      <c r="I129" s="628"/>
      <c r="J129" s="628"/>
      <c r="K129" s="628"/>
      <c r="L129" s="628"/>
    </row>
    <row r="130" spans="1:12">
      <c r="A130" s="628"/>
      <c r="B130" s="628"/>
      <c r="C130" s="628"/>
      <c r="D130" s="628"/>
      <c r="E130" s="628"/>
      <c r="F130" s="628"/>
      <c r="G130" s="628"/>
      <c r="H130" s="628"/>
      <c r="I130" s="628"/>
      <c r="J130" s="628"/>
      <c r="K130" s="628"/>
      <c r="L130" s="628"/>
    </row>
    <row r="131" spans="1:12">
      <c r="A131" s="628"/>
      <c r="B131" s="628"/>
      <c r="C131" s="628"/>
      <c r="D131" s="628"/>
      <c r="E131" s="628"/>
      <c r="F131" s="628"/>
      <c r="G131" s="628"/>
      <c r="H131" s="628"/>
      <c r="I131" s="628"/>
      <c r="J131" s="628"/>
      <c r="K131" s="628"/>
      <c r="L131" s="628"/>
    </row>
    <row r="132" spans="1:12">
      <c r="A132" s="628"/>
      <c r="B132" s="628"/>
      <c r="C132" s="628"/>
      <c r="D132" s="628"/>
      <c r="E132" s="628"/>
      <c r="F132" s="628"/>
      <c r="G132" s="628"/>
      <c r="H132" s="628"/>
      <c r="I132" s="628"/>
      <c r="J132" s="628"/>
      <c r="K132" s="628"/>
      <c r="L132" s="628"/>
    </row>
    <row r="133" spans="1:12">
      <c r="A133" s="628"/>
      <c r="B133" s="628"/>
      <c r="C133" s="628"/>
      <c r="D133" s="628"/>
      <c r="E133" s="628"/>
      <c r="F133" s="628"/>
      <c r="G133" s="628"/>
      <c r="H133" s="628"/>
      <c r="I133" s="628"/>
      <c r="J133" s="628"/>
      <c r="K133" s="628"/>
      <c r="L133" s="628"/>
    </row>
  </sheetData>
  <sortState ref="A39:J83">
    <sortCondition ref="F39"/>
  </sortState>
  <mergeCells count="8">
    <mergeCell ref="F28:G28"/>
    <mergeCell ref="F30:G30"/>
    <mergeCell ref="A33:K34"/>
    <mergeCell ref="A2:B2"/>
    <mergeCell ref="A3:B3"/>
    <mergeCell ref="A4:D4"/>
    <mergeCell ref="F9:G9"/>
    <mergeCell ref="F11:G11"/>
  </mergeCells>
  <phoneticPr fontId="68" type="noConversion"/>
  <pageMargins left="0.43000000000000005" right="0.43000000000000005" top="0.43000000000000005" bottom="1.2700000000000002" header="0.5" footer="0.5"/>
  <pageSetup orientation="landscape" horizontalDpi="4294967292" verticalDpi="4294967292"/>
  <headerFooter>
    <oddFooter>&amp;L&amp;"Times New Roman,Italic"&amp;11&amp;K000000Investment Manager_x000D_Zhaochen Gao_x000D_(217) 323-3359&amp;R&amp;"Times New Roman,Bold Italic"&amp;11&amp;K000000LSXG Pension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4"/>
  <sheetViews>
    <sheetView workbookViewId="0">
      <selection activeCell="N21" sqref="N21"/>
    </sheetView>
  </sheetViews>
  <sheetFormatPr baseColWidth="10" defaultColWidth="8.83203125" defaultRowHeight="14" x14ac:dyDescent="0"/>
  <cols>
    <col min="1" max="1" width="11.1640625" style="134" customWidth="1"/>
    <col min="2" max="2" width="10.1640625" style="134" customWidth="1"/>
    <col min="3" max="3" width="10" style="134" customWidth="1"/>
    <col min="4" max="4" width="11.1640625" style="134" customWidth="1"/>
    <col min="5" max="5" width="7.5" style="134" customWidth="1"/>
    <col min="6" max="6" width="17" style="134" customWidth="1"/>
    <col min="7" max="7" width="8.83203125" style="134"/>
    <col min="8" max="8" width="10.1640625" style="134" customWidth="1"/>
    <col min="9" max="9" width="10.83203125" style="134" customWidth="1"/>
    <col min="10" max="10" width="8.83203125" style="134"/>
    <col min="11" max="11" width="8" style="134" customWidth="1"/>
    <col min="12" max="12" width="5.83203125" style="134" customWidth="1"/>
    <col min="13" max="16384" width="8.83203125" style="134"/>
  </cols>
  <sheetData>
    <row r="1" spans="1:13">
      <c r="A1" s="288" t="s">
        <v>209</v>
      </c>
      <c r="B1" s="288"/>
      <c r="C1" s="288"/>
      <c r="D1" s="288"/>
      <c r="E1" s="288"/>
      <c r="F1" s="288"/>
      <c r="G1" s="288"/>
      <c r="H1" s="288"/>
      <c r="I1" s="288"/>
      <c r="J1" s="288"/>
      <c r="K1" s="288"/>
      <c r="L1" s="318"/>
      <c r="M1" s="639"/>
    </row>
    <row r="2" spans="1:13">
      <c r="A2" s="288" t="s">
        <v>210</v>
      </c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318"/>
      <c r="M2" s="639"/>
    </row>
    <row r="3" spans="1:13">
      <c r="A3" s="288" t="s">
        <v>152</v>
      </c>
      <c r="B3" s="288"/>
      <c r="C3" s="288"/>
      <c r="D3" s="288"/>
      <c r="E3" s="288"/>
      <c r="F3" s="288"/>
      <c r="G3" s="288"/>
      <c r="H3" s="288"/>
      <c r="I3" s="288"/>
      <c r="J3" s="288"/>
      <c r="K3" s="288"/>
      <c r="L3" s="318"/>
      <c r="M3" s="639"/>
    </row>
    <row r="4" spans="1:13">
      <c r="A4" s="288"/>
      <c r="B4" s="288"/>
      <c r="C4" s="288"/>
      <c r="D4" s="288"/>
      <c r="E4" s="288"/>
      <c r="F4" s="288"/>
      <c r="G4" s="288"/>
      <c r="H4" s="288"/>
      <c r="I4" s="288"/>
      <c r="J4" s="288"/>
      <c r="K4" s="288"/>
      <c r="L4" s="318"/>
      <c r="M4" s="639"/>
    </row>
    <row r="5" spans="1:13">
      <c r="A5" s="630" t="s">
        <v>151</v>
      </c>
      <c r="B5" s="630"/>
      <c r="C5" s="630"/>
      <c r="D5" s="630"/>
      <c r="E5" s="630"/>
      <c r="F5" s="630"/>
      <c r="G5" s="630"/>
      <c r="H5" s="630"/>
      <c r="I5" s="630"/>
      <c r="J5" s="630"/>
      <c r="K5" s="630"/>
      <c r="L5" s="622"/>
      <c r="M5" s="639"/>
    </row>
    <row r="6" spans="1:13" ht="25">
      <c r="A6" s="630" t="s">
        <v>150</v>
      </c>
      <c r="B6" s="630" t="s">
        <v>18</v>
      </c>
      <c r="C6" s="630" t="s">
        <v>107</v>
      </c>
      <c r="D6" s="630" t="s">
        <v>3</v>
      </c>
      <c r="E6" s="630" t="s">
        <v>5</v>
      </c>
      <c r="F6" s="630" t="s">
        <v>126</v>
      </c>
      <c r="G6" s="630" t="s">
        <v>53</v>
      </c>
      <c r="H6" s="630" t="s">
        <v>149</v>
      </c>
      <c r="I6" s="630" t="s">
        <v>7</v>
      </c>
      <c r="J6" s="630" t="s">
        <v>54</v>
      </c>
      <c r="K6" s="630" t="s">
        <v>148</v>
      </c>
      <c r="L6" s="622"/>
      <c r="M6" s="639"/>
    </row>
    <row r="7" spans="1:13">
      <c r="A7" s="630" t="s">
        <v>18</v>
      </c>
      <c r="B7" s="630" t="s">
        <v>147</v>
      </c>
      <c r="C7" s="630" t="s">
        <v>108</v>
      </c>
      <c r="D7" s="631">
        <v>3000</v>
      </c>
      <c r="E7" s="630" t="s">
        <v>181</v>
      </c>
      <c r="F7" s="630" t="s">
        <v>182</v>
      </c>
      <c r="G7" s="630" t="s">
        <v>45</v>
      </c>
      <c r="H7" s="632">
        <v>36420</v>
      </c>
      <c r="I7" s="632">
        <v>35880</v>
      </c>
      <c r="J7" s="630">
        <v>11.96</v>
      </c>
      <c r="K7" s="630">
        <v>-0.18</v>
      </c>
      <c r="L7" s="622"/>
      <c r="M7" s="639"/>
    </row>
    <row r="8" spans="1:13" ht="25">
      <c r="A8" s="630" t="s">
        <v>18</v>
      </c>
      <c r="B8" s="630" t="s">
        <v>147</v>
      </c>
      <c r="C8" s="630" t="s">
        <v>108</v>
      </c>
      <c r="D8" s="631">
        <v>1000</v>
      </c>
      <c r="E8" s="630" t="s">
        <v>183</v>
      </c>
      <c r="F8" s="630" t="s">
        <v>184</v>
      </c>
      <c r="G8" s="630" t="s">
        <v>45</v>
      </c>
      <c r="H8" s="632">
        <v>30490</v>
      </c>
      <c r="I8" s="632">
        <v>30760</v>
      </c>
      <c r="J8" s="630">
        <v>30.76</v>
      </c>
      <c r="K8" s="630">
        <v>0.27</v>
      </c>
      <c r="L8" s="622"/>
      <c r="M8" s="639"/>
    </row>
    <row r="9" spans="1:13">
      <c r="A9" s="630" t="s">
        <v>18</v>
      </c>
      <c r="B9" s="630" t="s">
        <v>147</v>
      </c>
      <c r="C9" s="630" t="s">
        <v>109</v>
      </c>
      <c r="D9" s="631">
        <v>5500</v>
      </c>
      <c r="E9" s="630" t="s">
        <v>167</v>
      </c>
      <c r="F9" s="630" t="s">
        <v>168</v>
      </c>
      <c r="G9" s="630" t="s">
        <v>45</v>
      </c>
      <c r="H9" s="632">
        <v>642430</v>
      </c>
      <c r="I9" s="632">
        <v>607860</v>
      </c>
      <c r="J9" s="630">
        <v>110.52</v>
      </c>
      <c r="K9" s="630">
        <v>-6.2854549999999998</v>
      </c>
      <c r="L9" s="622"/>
      <c r="M9" s="639"/>
    </row>
    <row r="10" spans="1:13">
      <c r="A10" s="630" t="s">
        <v>18</v>
      </c>
      <c r="B10" s="630" t="s">
        <v>147</v>
      </c>
      <c r="C10" s="630" t="s">
        <v>108</v>
      </c>
      <c r="D10" s="631">
        <v>2000</v>
      </c>
      <c r="E10" s="630" t="s">
        <v>165</v>
      </c>
      <c r="F10" s="630" t="s">
        <v>166</v>
      </c>
      <c r="G10" s="630" t="s">
        <v>45</v>
      </c>
      <c r="H10" s="632">
        <v>101120</v>
      </c>
      <c r="I10" s="632">
        <v>98240</v>
      </c>
      <c r="J10" s="630">
        <v>49.12</v>
      </c>
      <c r="K10" s="630">
        <v>-1.44</v>
      </c>
      <c r="L10" s="622"/>
      <c r="M10" s="639"/>
    </row>
    <row r="11" spans="1:13">
      <c r="A11" s="630" t="s">
        <v>18</v>
      </c>
      <c r="B11" s="630" t="s">
        <v>147</v>
      </c>
      <c r="C11" s="630" t="s">
        <v>108</v>
      </c>
      <c r="D11" s="631">
        <v>2000</v>
      </c>
      <c r="E11" s="630" t="s">
        <v>177</v>
      </c>
      <c r="F11" s="630" t="s">
        <v>178</v>
      </c>
      <c r="G11" s="630" t="s">
        <v>45</v>
      </c>
      <c r="H11" s="632">
        <v>162860</v>
      </c>
      <c r="I11" s="632">
        <v>147540</v>
      </c>
      <c r="J11" s="630">
        <v>73.77</v>
      </c>
      <c r="K11" s="630">
        <v>-7.66</v>
      </c>
      <c r="L11" s="622"/>
      <c r="M11" s="639"/>
    </row>
    <row r="12" spans="1:13">
      <c r="A12" s="630" t="s">
        <v>18</v>
      </c>
      <c r="B12" s="630" t="s">
        <v>147</v>
      </c>
      <c r="C12" s="630" t="s">
        <v>108</v>
      </c>
      <c r="D12" s="631">
        <v>1000</v>
      </c>
      <c r="E12" s="630" t="s">
        <v>193</v>
      </c>
      <c r="F12" s="630" t="s">
        <v>194</v>
      </c>
      <c r="G12" s="630" t="s">
        <v>45</v>
      </c>
      <c r="H12" s="632">
        <v>54400</v>
      </c>
      <c r="I12" s="632">
        <v>50070</v>
      </c>
      <c r="J12" s="630">
        <v>50.07</v>
      </c>
      <c r="K12" s="630">
        <v>-4.33</v>
      </c>
      <c r="L12" s="622"/>
      <c r="M12" s="639"/>
    </row>
    <row r="13" spans="1:13" ht="25">
      <c r="A13" s="630" t="s">
        <v>18</v>
      </c>
      <c r="B13" s="630" t="s">
        <v>147</v>
      </c>
      <c r="C13" s="630" t="s">
        <v>108</v>
      </c>
      <c r="D13" s="631">
        <v>6000</v>
      </c>
      <c r="E13" s="630" t="s">
        <v>173</v>
      </c>
      <c r="F13" s="630" t="s">
        <v>174</v>
      </c>
      <c r="G13" s="630" t="s">
        <v>45</v>
      </c>
      <c r="H13" s="632">
        <v>154090</v>
      </c>
      <c r="I13" s="632">
        <v>132720</v>
      </c>
      <c r="J13" s="630">
        <v>22.12</v>
      </c>
      <c r="K13" s="630">
        <v>-3.5616669999999999</v>
      </c>
      <c r="L13" s="622"/>
      <c r="M13" s="639"/>
    </row>
    <row r="14" spans="1:13">
      <c r="A14" s="630" t="s">
        <v>18</v>
      </c>
      <c r="B14" s="630" t="s">
        <v>147</v>
      </c>
      <c r="C14" s="630" t="s">
        <v>109</v>
      </c>
      <c r="D14" s="631">
        <v>1000</v>
      </c>
      <c r="E14" s="630" t="s">
        <v>161</v>
      </c>
      <c r="F14" s="630" t="s">
        <v>162</v>
      </c>
      <c r="G14" s="630" t="s">
        <v>45</v>
      </c>
      <c r="H14" s="632">
        <v>814960</v>
      </c>
      <c r="I14" s="632">
        <v>775880</v>
      </c>
      <c r="J14" s="630">
        <v>775.88</v>
      </c>
      <c r="K14" s="630">
        <v>-39.08</v>
      </c>
      <c r="L14" s="622"/>
      <c r="M14" s="639"/>
    </row>
    <row r="15" spans="1:13">
      <c r="A15" s="630" t="s">
        <v>18</v>
      </c>
      <c r="B15" s="630" t="s">
        <v>147</v>
      </c>
      <c r="C15" s="630" t="s">
        <v>109</v>
      </c>
      <c r="D15" s="631">
        <v>3000</v>
      </c>
      <c r="E15" s="630" t="s">
        <v>197</v>
      </c>
      <c r="F15" s="630" t="s">
        <v>198</v>
      </c>
      <c r="G15" s="630" t="s">
        <v>45</v>
      </c>
      <c r="H15" s="632">
        <v>12030</v>
      </c>
      <c r="I15" s="632">
        <v>11520</v>
      </c>
      <c r="J15" s="630">
        <v>3.84</v>
      </c>
      <c r="K15" s="630">
        <v>-0.17</v>
      </c>
      <c r="L15" s="622"/>
      <c r="M15" s="639"/>
    </row>
    <row r="16" spans="1:13">
      <c r="A16" s="630" t="s">
        <v>18</v>
      </c>
      <c r="B16" s="630" t="s">
        <v>147</v>
      </c>
      <c r="C16" s="630" t="s">
        <v>108</v>
      </c>
      <c r="D16" s="631">
        <v>5000</v>
      </c>
      <c r="E16" s="630" t="s">
        <v>159</v>
      </c>
      <c r="F16" s="630" t="s">
        <v>160</v>
      </c>
      <c r="G16" s="630" t="s">
        <v>45</v>
      </c>
      <c r="H16" s="632">
        <v>520683.33</v>
      </c>
      <c r="I16" s="632">
        <v>470100</v>
      </c>
      <c r="J16" s="630">
        <v>94.02</v>
      </c>
      <c r="K16" s="630">
        <v>-10.116666</v>
      </c>
      <c r="L16" s="622"/>
      <c r="M16" s="639"/>
    </row>
    <row r="17" spans="1:13" ht="25">
      <c r="A17" s="630" t="s">
        <v>146</v>
      </c>
      <c r="B17" s="630" t="s">
        <v>147</v>
      </c>
      <c r="C17" s="630" t="s">
        <v>108</v>
      </c>
      <c r="D17" s="631">
        <v>-2000</v>
      </c>
      <c r="E17" s="630" t="s">
        <v>179</v>
      </c>
      <c r="F17" s="630" t="s">
        <v>180</v>
      </c>
      <c r="G17" s="630" t="s">
        <v>45</v>
      </c>
      <c r="H17" s="632">
        <v>-165080</v>
      </c>
      <c r="I17" s="632">
        <v>-174600</v>
      </c>
      <c r="J17" s="630">
        <v>87.3</v>
      </c>
      <c r="K17" s="630">
        <v>4.76</v>
      </c>
      <c r="L17" s="622"/>
      <c r="M17" s="639"/>
    </row>
    <row r="18" spans="1:13" ht="25">
      <c r="A18" s="630" t="s">
        <v>146</v>
      </c>
      <c r="B18" s="630" t="s">
        <v>147</v>
      </c>
      <c r="C18" s="630" t="s">
        <v>108</v>
      </c>
      <c r="D18" s="631">
        <v>-4000</v>
      </c>
      <c r="E18" s="630" t="s">
        <v>201</v>
      </c>
      <c r="F18" s="630" t="s">
        <v>202</v>
      </c>
      <c r="G18" s="630" t="s">
        <v>45</v>
      </c>
      <c r="H18" s="632">
        <v>-177120</v>
      </c>
      <c r="I18" s="632">
        <v>-211680</v>
      </c>
      <c r="J18" s="630">
        <v>52.92</v>
      </c>
      <c r="K18" s="630">
        <v>8.64</v>
      </c>
      <c r="L18" s="622"/>
      <c r="M18" s="639"/>
    </row>
    <row r="19" spans="1:13" ht="25">
      <c r="A19" s="630" t="s">
        <v>146</v>
      </c>
      <c r="B19" s="630" t="s">
        <v>147</v>
      </c>
      <c r="C19" s="630" t="s">
        <v>108</v>
      </c>
      <c r="D19" s="631">
        <v>-2000</v>
      </c>
      <c r="E19" s="630" t="s">
        <v>187</v>
      </c>
      <c r="F19" s="630" t="s">
        <v>212</v>
      </c>
      <c r="G19" s="630" t="s">
        <v>45</v>
      </c>
      <c r="H19" s="632">
        <v>-134320</v>
      </c>
      <c r="I19" s="632">
        <v>-160340</v>
      </c>
      <c r="J19" s="630">
        <v>80.17</v>
      </c>
      <c r="K19" s="630">
        <v>13.01</v>
      </c>
      <c r="L19" s="622"/>
      <c r="M19" s="639"/>
    </row>
    <row r="20" spans="1:13" ht="25">
      <c r="A20" s="630" t="s">
        <v>146</v>
      </c>
      <c r="B20" s="630" t="s">
        <v>147</v>
      </c>
      <c r="C20" s="630" t="s">
        <v>109</v>
      </c>
      <c r="D20" s="631">
        <v>-3000</v>
      </c>
      <c r="E20" s="630" t="s">
        <v>195</v>
      </c>
      <c r="F20" s="630" t="s">
        <v>196</v>
      </c>
      <c r="G20" s="630" t="s">
        <v>45</v>
      </c>
      <c r="H20" s="632">
        <v>-85410</v>
      </c>
      <c r="I20" s="632">
        <v>-112800</v>
      </c>
      <c r="J20" s="630">
        <v>37.6</v>
      </c>
      <c r="K20" s="630">
        <v>9.1300000000000008</v>
      </c>
      <c r="L20" s="622"/>
      <c r="M20" s="639"/>
    </row>
    <row r="21" spans="1:13">
      <c r="A21" s="630" t="s">
        <v>146</v>
      </c>
      <c r="B21" s="630" t="s">
        <v>147</v>
      </c>
      <c r="C21" s="630" t="s">
        <v>108</v>
      </c>
      <c r="D21" s="631">
        <v>-2000</v>
      </c>
      <c r="E21" s="630" t="s">
        <v>175</v>
      </c>
      <c r="F21" s="630" t="s">
        <v>176</v>
      </c>
      <c r="G21" s="630" t="s">
        <v>45</v>
      </c>
      <c r="H21" s="632">
        <v>-26180</v>
      </c>
      <c r="I21" s="632">
        <v>-31600</v>
      </c>
      <c r="J21" s="630">
        <v>15.8</v>
      </c>
      <c r="K21" s="630">
        <v>2.71</v>
      </c>
      <c r="L21" s="622"/>
      <c r="M21" s="639"/>
    </row>
    <row r="22" spans="1:13" ht="25">
      <c r="A22" s="630" t="s">
        <v>146</v>
      </c>
      <c r="B22" s="630" t="s">
        <v>147</v>
      </c>
      <c r="C22" s="630" t="s">
        <v>108</v>
      </c>
      <c r="D22" s="631">
        <v>-4000</v>
      </c>
      <c r="E22" s="630" t="s">
        <v>169</v>
      </c>
      <c r="F22" s="630" t="s">
        <v>211</v>
      </c>
      <c r="G22" s="630" t="s">
        <v>45</v>
      </c>
      <c r="H22" s="632">
        <v>-62400</v>
      </c>
      <c r="I22" s="632">
        <v>-84480</v>
      </c>
      <c r="J22" s="630">
        <v>21.12</v>
      </c>
      <c r="K22" s="630">
        <v>5.52</v>
      </c>
      <c r="L22" s="622"/>
      <c r="M22" s="639"/>
    </row>
    <row r="23" spans="1:13">
      <c r="A23" s="622"/>
      <c r="B23" s="622"/>
      <c r="C23" s="622"/>
      <c r="D23" s="626"/>
      <c r="E23" s="622"/>
      <c r="F23" s="637" t="s">
        <v>155</v>
      </c>
      <c r="G23" s="622"/>
      <c r="H23" s="638">
        <f>SUM(H7:H22)</f>
        <v>1878973.33</v>
      </c>
      <c r="I23" s="638">
        <f>SUM(I7:I22)</f>
        <v>1585070</v>
      </c>
      <c r="J23" s="622"/>
      <c r="K23" s="622"/>
      <c r="L23" s="622"/>
      <c r="M23" s="639"/>
    </row>
    <row r="24" spans="1:13">
      <c r="A24" s="630" t="s">
        <v>18</v>
      </c>
      <c r="B24" s="630" t="s">
        <v>145</v>
      </c>
      <c r="C24" s="630" t="s">
        <v>84</v>
      </c>
      <c r="D24" s="630" t="s">
        <v>84</v>
      </c>
      <c r="E24" s="630" t="s">
        <v>45</v>
      </c>
      <c r="F24" s="630" t="s">
        <v>144</v>
      </c>
      <c r="G24" s="630" t="s">
        <v>45</v>
      </c>
      <c r="H24" s="632">
        <v>1938571.16</v>
      </c>
      <c r="I24" s="632">
        <v>1938571.16</v>
      </c>
      <c r="J24" s="622" t="s">
        <v>84</v>
      </c>
      <c r="K24" s="622" t="s">
        <v>84</v>
      </c>
      <c r="L24" s="622"/>
      <c r="M24" s="639"/>
    </row>
    <row r="25" spans="1:13">
      <c r="A25" s="622"/>
      <c r="B25" s="622"/>
      <c r="C25" s="622"/>
      <c r="D25" s="622"/>
      <c r="E25" s="622"/>
      <c r="F25" s="637" t="s">
        <v>156</v>
      </c>
      <c r="G25" s="622"/>
      <c r="H25" s="638">
        <f>H23+H24</f>
        <v>3817544.49</v>
      </c>
      <c r="I25" s="638">
        <f>I23+I24</f>
        <v>3523641.16</v>
      </c>
      <c r="J25" s="622"/>
      <c r="K25" s="622"/>
      <c r="L25" s="622"/>
      <c r="M25" s="639"/>
    </row>
    <row r="26" spans="1:13" ht="14" customHeight="1">
      <c r="A26" s="630" t="s">
        <v>18</v>
      </c>
      <c r="B26" s="630" t="s">
        <v>147</v>
      </c>
      <c r="C26" s="636" t="s">
        <v>208</v>
      </c>
      <c r="D26" s="630">
        <v>500</v>
      </c>
      <c r="E26" s="630" t="s">
        <v>205</v>
      </c>
      <c r="F26" s="630" t="s">
        <v>206</v>
      </c>
      <c r="G26" s="630" t="s">
        <v>207</v>
      </c>
      <c r="H26" s="632">
        <v>8605</v>
      </c>
      <c r="I26" s="632">
        <v>8875</v>
      </c>
      <c r="J26" s="630">
        <v>17.75</v>
      </c>
      <c r="K26" s="630">
        <v>0.54</v>
      </c>
      <c r="L26" s="622"/>
      <c r="M26" s="639"/>
    </row>
    <row r="27" spans="1:13">
      <c r="A27" s="630" t="s">
        <v>146</v>
      </c>
      <c r="B27" s="630" t="s">
        <v>145</v>
      </c>
      <c r="C27" s="630" t="s">
        <v>84</v>
      </c>
      <c r="D27" s="630" t="s">
        <v>84</v>
      </c>
      <c r="E27" s="630" t="s">
        <v>207</v>
      </c>
      <c r="F27" s="630" t="s">
        <v>102</v>
      </c>
      <c r="G27" s="630" t="s">
        <v>207</v>
      </c>
      <c r="H27" s="632">
        <v>-8633.24</v>
      </c>
      <c r="I27" s="632">
        <v>-8633.24</v>
      </c>
      <c r="J27" s="630" t="s">
        <v>84</v>
      </c>
      <c r="K27" s="630" t="s">
        <v>84</v>
      </c>
      <c r="L27" s="622"/>
      <c r="M27" s="639"/>
    </row>
    <row r="28" spans="1:13">
      <c r="A28" s="622"/>
      <c r="B28" s="622"/>
      <c r="C28" s="622"/>
      <c r="D28" s="622"/>
      <c r="E28" s="622"/>
      <c r="F28" s="637" t="s">
        <v>217</v>
      </c>
      <c r="G28" s="622"/>
      <c r="H28" s="638">
        <f>SUM(H26:H27)</f>
        <v>-28.239999999999782</v>
      </c>
      <c r="I28" s="638">
        <f>SUM(I26:I27)</f>
        <v>241.76000000000022</v>
      </c>
      <c r="J28" s="622"/>
      <c r="K28" s="622"/>
      <c r="L28" s="622"/>
      <c r="M28" s="639"/>
    </row>
    <row r="29" spans="1:13">
      <c r="A29" s="630" t="s">
        <v>143</v>
      </c>
      <c r="B29" s="630" t="s">
        <v>84</v>
      </c>
      <c r="C29" s="630" t="s">
        <v>84</v>
      </c>
      <c r="D29" s="631">
        <v>13000</v>
      </c>
      <c r="E29" s="630" t="s">
        <v>84</v>
      </c>
      <c r="F29" s="630" t="s">
        <v>84</v>
      </c>
      <c r="G29" s="630" t="s">
        <v>45</v>
      </c>
      <c r="H29" s="630">
        <v>0</v>
      </c>
      <c r="I29" s="632">
        <v>3523676.24</v>
      </c>
      <c r="J29" s="630" t="s">
        <v>84</v>
      </c>
      <c r="K29" s="630" t="s">
        <v>84</v>
      </c>
      <c r="L29" s="630"/>
      <c r="M29" s="639"/>
    </row>
    <row r="30" spans="1:13">
      <c r="A30" s="630"/>
      <c r="B30" s="630"/>
      <c r="C30" s="630"/>
      <c r="D30" s="630"/>
      <c r="E30" s="630"/>
      <c r="F30" s="630"/>
      <c r="G30" s="630"/>
      <c r="H30" s="630"/>
      <c r="I30" s="630"/>
      <c r="J30" s="630"/>
      <c r="K30" s="630"/>
      <c r="L30" s="630"/>
      <c r="M30" s="639"/>
    </row>
    <row r="31" spans="1:13" ht="14" customHeight="1">
      <c r="A31" s="723" t="s">
        <v>259</v>
      </c>
      <c r="B31" s="723"/>
      <c r="C31" s="723"/>
      <c r="D31" s="723"/>
      <c r="E31" s="723"/>
      <c r="F31" s="723"/>
      <c r="G31" s="723"/>
      <c r="H31" s="723"/>
      <c r="I31" s="723"/>
      <c r="J31" s="723"/>
      <c r="K31" s="723"/>
      <c r="L31" s="723"/>
      <c r="M31" s="639"/>
    </row>
    <row r="32" spans="1:13">
      <c r="A32" s="723"/>
      <c r="B32" s="723"/>
      <c r="C32" s="723"/>
      <c r="D32" s="723"/>
      <c r="E32" s="723"/>
      <c r="F32" s="723"/>
      <c r="G32" s="723"/>
      <c r="H32" s="723"/>
      <c r="I32" s="723"/>
      <c r="J32" s="723"/>
      <c r="K32" s="723"/>
      <c r="L32" s="723"/>
      <c r="M32" s="639"/>
    </row>
    <row r="33" spans="1:13">
      <c r="A33" s="630"/>
      <c r="B33" s="630"/>
      <c r="C33" s="630"/>
      <c r="D33" s="630"/>
      <c r="E33" s="630"/>
      <c r="F33" s="630"/>
      <c r="G33" s="630"/>
      <c r="H33" s="630"/>
      <c r="I33" s="630"/>
      <c r="J33" s="630"/>
      <c r="K33" s="630"/>
      <c r="L33" s="630"/>
      <c r="M33" s="639"/>
    </row>
    <row r="34" spans="1:13">
      <c r="A34" s="630" t="s">
        <v>141</v>
      </c>
      <c r="B34" s="630"/>
      <c r="C34" s="630"/>
      <c r="D34" s="630"/>
      <c r="E34" s="630"/>
      <c r="F34" s="630"/>
      <c r="G34" s="630"/>
      <c r="H34" s="630"/>
      <c r="I34" s="630"/>
      <c r="J34" s="630"/>
      <c r="K34" s="630"/>
      <c r="L34" s="630"/>
      <c r="M34" s="639"/>
    </row>
    <row r="35" spans="1:13" ht="25">
      <c r="A35" s="630" t="s">
        <v>140</v>
      </c>
      <c r="B35" s="630" t="s">
        <v>134</v>
      </c>
      <c r="C35" s="630" t="s">
        <v>127</v>
      </c>
      <c r="D35" s="630" t="s">
        <v>3</v>
      </c>
      <c r="E35" s="630" t="s">
        <v>5</v>
      </c>
      <c r="F35" s="630" t="s">
        <v>126</v>
      </c>
      <c r="G35" s="630" t="s">
        <v>53</v>
      </c>
      <c r="H35" s="630" t="s">
        <v>139</v>
      </c>
      <c r="I35" s="630" t="s">
        <v>138</v>
      </c>
      <c r="J35" s="630" t="s">
        <v>137</v>
      </c>
      <c r="K35" s="630" t="s">
        <v>136</v>
      </c>
      <c r="L35" s="630" t="s">
        <v>115</v>
      </c>
      <c r="M35" s="639"/>
    </row>
    <row r="36" spans="1:13">
      <c r="A36" s="633">
        <v>42626.711111111108</v>
      </c>
      <c r="B36" s="630" t="s">
        <v>213</v>
      </c>
      <c r="C36" s="630" t="s">
        <v>130</v>
      </c>
      <c r="D36" s="631">
        <v>3000</v>
      </c>
      <c r="E36" s="630" t="s">
        <v>181</v>
      </c>
      <c r="F36" s="630" t="s">
        <v>182</v>
      </c>
      <c r="G36" s="630" t="s">
        <v>45</v>
      </c>
      <c r="H36" s="630" t="s">
        <v>39</v>
      </c>
      <c r="I36" s="630" t="s">
        <v>84</v>
      </c>
      <c r="J36" s="630" t="s">
        <v>84</v>
      </c>
      <c r="K36" s="630" t="s">
        <v>84</v>
      </c>
      <c r="L36" s="630" t="s">
        <v>84</v>
      </c>
      <c r="M36" s="639"/>
    </row>
    <row r="37" spans="1:13">
      <c r="A37" s="633">
        <v>42673.546527777777</v>
      </c>
      <c r="B37" s="630" t="s">
        <v>213</v>
      </c>
      <c r="C37" s="630" t="s">
        <v>130</v>
      </c>
      <c r="D37" s="631">
        <v>6500</v>
      </c>
      <c r="E37" s="630" t="s">
        <v>163</v>
      </c>
      <c r="F37" s="630" t="s">
        <v>164</v>
      </c>
      <c r="G37" s="630" t="s">
        <v>45</v>
      </c>
      <c r="H37" s="630" t="s">
        <v>39</v>
      </c>
      <c r="I37" s="630" t="s">
        <v>84</v>
      </c>
      <c r="J37" s="630" t="s">
        <v>84</v>
      </c>
      <c r="K37" s="630" t="s">
        <v>84</v>
      </c>
      <c r="L37" s="630" t="s">
        <v>84</v>
      </c>
      <c r="M37" s="639"/>
    </row>
    <row r="38" spans="1:13">
      <c r="A38" s="630"/>
      <c r="B38" s="630"/>
      <c r="C38" s="630"/>
      <c r="D38" s="630"/>
      <c r="E38" s="630"/>
      <c r="F38" s="630"/>
      <c r="G38" s="630"/>
      <c r="H38" s="630"/>
      <c r="I38" s="630"/>
      <c r="J38" s="630"/>
      <c r="K38" s="630"/>
      <c r="L38" s="630"/>
      <c r="M38" s="639"/>
    </row>
    <row r="39" spans="1:13">
      <c r="A39" s="630"/>
      <c r="B39" s="630"/>
      <c r="C39" s="630"/>
      <c r="D39" s="630"/>
      <c r="E39" s="630"/>
      <c r="F39" s="630"/>
      <c r="G39" s="630"/>
      <c r="H39" s="630"/>
      <c r="I39" s="630"/>
      <c r="J39" s="630"/>
      <c r="K39" s="630"/>
      <c r="L39" s="630"/>
      <c r="M39" s="639"/>
    </row>
    <row r="40" spans="1:13">
      <c r="A40" s="630" t="s">
        <v>135</v>
      </c>
      <c r="B40" s="630"/>
      <c r="C40" s="630"/>
      <c r="D40" s="630"/>
      <c r="E40" s="630"/>
      <c r="F40" s="630"/>
      <c r="G40" s="630"/>
      <c r="H40" s="630"/>
      <c r="I40" s="630"/>
      <c r="J40" s="630"/>
      <c r="K40" s="630"/>
      <c r="L40" s="630"/>
      <c r="M40" s="639"/>
    </row>
    <row r="41" spans="1:13" ht="25">
      <c r="A41" s="630" t="s">
        <v>133</v>
      </c>
      <c r="B41" s="630" t="s">
        <v>84</v>
      </c>
      <c r="C41" s="630" t="s">
        <v>127</v>
      </c>
      <c r="D41" s="630" t="s">
        <v>3</v>
      </c>
      <c r="E41" s="630" t="s">
        <v>5</v>
      </c>
      <c r="F41" s="630" t="s">
        <v>126</v>
      </c>
      <c r="G41" s="630" t="s">
        <v>53</v>
      </c>
      <c r="H41" s="630" t="s">
        <v>23</v>
      </c>
      <c r="I41" s="630" t="s">
        <v>34</v>
      </c>
      <c r="J41" s="630" t="s">
        <v>21</v>
      </c>
      <c r="K41" s="630"/>
      <c r="L41" s="630"/>
      <c r="M41" s="639"/>
    </row>
    <row r="42" spans="1:13">
      <c r="A42" s="633">
        <v>42620.666666666664</v>
      </c>
      <c r="B42" s="630" t="s">
        <v>84</v>
      </c>
      <c r="C42" s="630" t="s">
        <v>132</v>
      </c>
      <c r="D42" s="631">
        <v>1000</v>
      </c>
      <c r="E42" s="630" t="s">
        <v>157</v>
      </c>
      <c r="F42" s="630" t="s">
        <v>158</v>
      </c>
      <c r="G42" s="630" t="s">
        <v>45</v>
      </c>
      <c r="H42" s="630">
        <v>10</v>
      </c>
      <c r="I42" s="632">
        <v>33500</v>
      </c>
      <c r="J42" s="630">
        <v>33.5</v>
      </c>
      <c r="K42" s="630"/>
      <c r="L42" s="630"/>
      <c r="M42" s="639"/>
    </row>
    <row r="43" spans="1:13">
      <c r="A43" s="633">
        <v>42669.666666666664</v>
      </c>
      <c r="B43" s="630" t="s">
        <v>84</v>
      </c>
      <c r="C43" s="630" t="s">
        <v>130</v>
      </c>
      <c r="D43" s="631">
        <v>1000</v>
      </c>
      <c r="E43" s="630" t="s">
        <v>157</v>
      </c>
      <c r="F43" s="630" t="s">
        <v>158</v>
      </c>
      <c r="G43" s="630" t="s">
        <v>45</v>
      </c>
      <c r="H43" s="630">
        <v>10</v>
      </c>
      <c r="I43" s="632">
        <v>-33210</v>
      </c>
      <c r="J43" s="630">
        <v>33.21</v>
      </c>
      <c r="K43" s="630"/>
      <c r="L43" s="630"/>
      <c r="M43" s="639"/>
    </row>
    <row r="44" spans="1:13">
      <c r="A44" s="633">
        <v>42620.666666666664</v>
      </c>
      <c r="B44" s="630" t="s">
        <v>84</v>
      </c>
      <c r="C44" s="630" t="s">
        <v>132</v>
      </c>
      <c r="D44" s="631">
        <v>1000</v>
      </c>
      <c r="E44" s="630" t="s">
        <v>159</v>
      </c>
      <c r="F44" s="630" t="s">
        <v>160</v>
      </c>
      <c r="G44" s="630" t="s">
        <v>45</v>
      </c>
      <c r="H44" s="630">
        <v>10</v>
      </c>
      <c r="I44" s="632">
        <v>102320</v>
      </c>
      <c r="J44" s="630">
        <v>102.32</v>
      </c>
      <c r="K44" s="630"/>
      <c r="L44" s="630"/>
      <c r="M44" s="639"/>
    </row>
    <row r="45" spans="1:13">
      <c r="A45" s="633">
        <v>42667.666666666664</v>
      </c>
      <c r="B45" s="630" t="s">
        <v>84</v>
      </c>
      <c r="C45" s="630" t="s">
        <v>132</v>
      </c>
      <c r="D45" s="631">
        <v>5000</v>
      </c>
      <c r="E45" s="630" t="s">
        <v>159</v>
      </c>
      <c r="F45" s="630" t="s">
        <v>160</v>
      </c>
      <c r="G45" s="630" t="s">
        <v>45</v>
      </c>
      <c r="H45" s="630">
        <v>10</v>
      </c>
      <c r="I45" s="632">
        <v>522500</v>
      </c>
      <c r="J45" s="630">
        <v>104.5</v>
      </c>
      <c r="K45" s="630"/>
      <c r="L45" s="630"/>
      <c r="M45" s="639"/>
    </row>
    <row r="46" spans="1:13">
      <c r="A46" s="633">
        <v>42670.666666666664</v>
      </c>
      <c r="B46" s="630" t="s">
        <v>84</v>
      </c>
      <c r="C46" s="630" t="s">
        <v>130</v>
      </c>
      <c r="D46" s="631">
        <v>1000</v>
      </c>
      <c r="E46" s="630" t="s">
        <v>159</v>
      </c>
      <c r="F46" s="630" t="s">
        <v>160</v>
      </c>
      <c r="G46" s="630" t="s">
        <v>45</v>
      </c>
      <c r="H46" s="630">
        <v>10</v>
      </c>
      <c r="I46" s="632">
        <v>-102380</v>
      </c>
      <c r="J46" s="630">
        <v>102.38</v>
      </c>
      <c r="K46" s="630"/>
      <c r="L46" s="630"/>
      <c r="M46" s="639"/>
    </row>
    <row r="47" spans="1:13">
      <c r="A47" s="633">
        <v>42636.666666666664</v>
      </c>
      <c r="B47" s="630" t="s">
        <v>84</v>
      </c>
      <c r="C47" s="630" t="s">
        <v>132</v>
      </c>
      <c r="D47" s="631">
        <v>1000</v>
      </c>
      <c r="E47" s="630" t="s">
        <v>161</v>
      </c>
      <c r="F47" s="630" t="s">
        <v>162</v>
      </c>
      <c r="G47" s="630" t="s">
        <v>45</v>
      </c>
      <c r="H47" s="630">
        <v>10</v>
      </c>
      <c r="I47" s="632">
        <v>814960</v>
      </c>
      <c r="J47" s="630">
        <v>814.96</v>
      </c>
      <c r="K47" s="630"/>
      <c r="L47" s="630"/>
      <c r="M47" s="639"/>
    </row>
    <row r="48" spans="1:13">
      <c r="A48" s="633">
        <v>42625.666666666664</v>
      </c>
      <c r="B48" s="630" t="s">
        <v>84</v>
      </c>
      <c r="C48" s="630" t="s">
        <v>132</v>
      </c>
      <c r="D48" s="630">
        <v>500</v>
      </c>
      <c r="E48" s="630" t="s">
        <v>163</v>
      </c>
      <c r="F48" s="630" t="s">
        <v>164</v>
      </c>
      <c r="G48" s="630" t="s">
        <v>45</v>
      </c>
      <c r="H48" s="630">
        <v>10</v>
      </c>
      <c r="I48" s="632">
        <v>385745</v>
      </c>
      <c r="J48" s="630">
        <v>771.49</v>
      </c>
      <c r="K48" s="630"/>
      <c r="L48" s="630"/>
      <c r="M48" s="639"/>
    </row>
    <row r="49" spans="1:13">
      <c r="A49" s="633">
        <v>42667.666666666664</v>
      </c>
      <c r="B49" s="630" t="s">
        <v>84</v>
      </c>
      <c r="C49" s="630" t="s">
        <v>132</v>
      </c>
      <c r="D49" s="631">
        <v>6000</v>
      </c>
      <c r="E49" s="630" t="s">
        <v>163</v>
      </c>
      <c r="F49" s="630" t="s">
        <v>164</v>
      </c>
      <c r="G49" s="630" t="s">
        <v>45</v>
      </c>
      <c r="H49" s="630">
        <v>10</v>
      </c>
      <c r="I49" s="632">
        <v>5028540</v>
      </c>
      <c r="J49" s="630">
        <v>838.09</v>
      </c>
      <c r="K49" s="630"/>
      <c r="L49" s="630"/>
      <c r="M49" s="639"/>
    </row>
    <row r="50" spans="1:13">
      <c r="A50" s="633">
        <v>42674.666666666664</v>
      </c>
      <c r="B50" s="630" t="s">
        <v>84</v>
      </c>
      <c r="C50" s="630" t="s">
        <v>130</v>
      </c>
      <c r="D50" s="631">
        <v>6500</v>
      </c>
      <c r="E50" s="630" t="s">
        <v>163</v>
      </c>
      <c r="F50" s="630" t="s">
        <v>164</v>
      </c>
      <c r="G50" s="630" t="s">
        <v>45</v>
      </c>
      <c r="H50" s="630">
        <v>10</v>
      </c>
      <c r="I50" s="632">
        <v>-5133830</v>
      </c>
      <c r="J50" s="630">
        <v>789.82</v>
      </c>
      <c r="K50" s="630"/>
      <c r="L50" s="630"/>
      <c r="M50" s="639"/>
    </row>
    <row r="51" spans="1:13">
      <c r="A51" s="633">
        <v>42640.666666666664</v>
      </c>
      <c r="B51" s="630" t="s">
        <v>84</v>
      </c>
      <c r="C51" s="630" t="s">
        <v>132</v>
      </c>
      <c r="D51" s="631">
        <v>2000</v>
      </c>
      <c r="E51" s="630" t="s">
        <v>165</v>
      </c>
      <c r="F51" s="630" t="s">
        <v>166</v>
      </c>
      <c r="G51" s="630" t="s">
        <v>45</v>
      </c>
      <c r="H51" s="630">
        <v>10</v>
      </c>
      <c r="I51" s="632">
        <v>101120</v>
      </c>
      <c r="J51" s="630">
        <v>50.56</v>
      </c>
      <c r="K51" s="630"/>
      <c r="L51" s="630"/>
      <c r="M51" s="639"/>
    </row>
    <row r="52" spans="1:13">
      <c r="A52" s="633">
        <v>42620.666666666664</v>
      </c>
      <c r="B52" s="630" t="s">
        <v>84</v>
      </c>
      <c r="C52" s="630" t="s">
        <v>132</v>
      </c>
      <c r="D52" s="631">
        <v>1000</v>
      </c>
      <c r="E52" s="630" t="s">
        <v>167</v>
      </c>
      <c r="F52" s="630" t="s">
        <v>168</v>
      </c>
      <c r="G52" s="630" t="s">
        <v>45</v>
      </c>
      <c r="H52" s="630">
        <v>10</v>
      </c>
      <c r="I52" s="632">
        <v>108360</v>
      </c>
      <c r="J52" s="630">
        <v>108.36</v>
      </c>
      <c r="K52" s="630"/>
      <c r="L52" s="630"/>
      <c r="M52" s="639"/>
    </row>
    <row r="53" spans="1:13">
      <c r="A53" s="633">
        <v>42625.666666666664</v>
      </c>
      <c r="B53" s="630" t="s">
        <v>84</v>
      </c>
      <c r="C53" s="630" t="s">
        <v>130</v>
      </c>
      <c r="D53" s="630">
        <v>500</v>
      </c>
      <c r="E53" s="630" t="s">
        <v>167</v>
      </c>
      <c r="F53" s="630" t="s">
        <v>168</v>
      </c>
      <c r="G53" s="630" t="s">
        <v>45</v>
      </c>
      <c r="H53" s="630">
        <v>10</v>
      </c>
      <c r="I53" s="632">
        <v>-52720</v>
      </c>
      <c r="J53" s="630">
        <v>105.44</v>
      </c>
      <c r="K53" s="630"/>
      <c r="L53" s="630"/>
      <c r="M53" s="639"/>
    </row>
    <row r="54" spans="1:13">
      <c r="A54" s="633">
        <v>42667.666666666664</v>
      </c>
      <c r="B54" s="630" t="s">
        <v>84</v>
      </c>
      <c r="C54" s="630" t="s">
        <v>132</v>
      </c>
      <c r="D54" s="631">
        <v>5000</v>
      </c>
      <c r="E54" s="630" t="s">
        <v>167</v>
      </c>
      <c r="F54" s="630" t="s">
        <v>168</v>
      </c>
      <c r="G54" s="630" t="s">
        <v>45</v>
      </c>
      <c r="H54" s="630">
        <v>10</v>
      </c>
      <c r="I54" s="632">
        <v>588250</v>
      </c>
      <c r="J54" s="630">
        <v>117.65</v>
      </c>
      <c r="K54" s="630"/>
      <c r="L54" s="630"/>
      <c r="M54" s="639"/>
    </row>
    <row r="55" spans="1:13" ht="25">
      <c r="A55" s="633">
        <v>42620.666666666664</v>
      </c>
      <c r="B55" s="630" t="s">
        <v>84</v>
      </c>
      <c r="C55" s="630" t="s">
        <v>132</v>
      </c>
      <c r="D55" s="631">
        <v>1000</v>
      </c>
      <c r="E55" s="630" t="s">
        <v>169</v>
      </c>
      <c r="F55" s="630" t="s">
        <v>211</v>
      </c>
      <c r="G55" s="630" t="s">
        <v>45</v>
      </c>
      <c r="H55" s="630">
        <v>10</v>
      </c>
      <c r="I55" s="632">
        <v>15700</v>
      </c>
      <c r="J55" s="630">
        <v>15.7</v>
      </c>
      <c r="K55" s="630"/>
      <c r="L55" s="630"/>
      <c r="M55" s="639"/>
    </row>
    <row r="56" spans="1:13" ht="25">
      <c r="A56" s="633">
        <v>42635.666666666664</v>
      </c>
      <c r="B56" s="630" t="s">
        <v>84</v>
      </c>
      <c r="C56" s="630" t="s">
        <v>130</v>
      </c>
      <c r="D56" s="631">
        <v>5000</v>
      </c>
      <c r="E56" s="630" t="s">
        <v>169</v>
      </c>
      <c r="F56" s="630" t="s">
        <v>211</v>
      </c>
      <c r="G56" s="630" t="s">
        <v>45</v>
      </c>
      <c r="H56" s="630">
        <v>10</v>
      </c>
      <c r="I56" s="632">
        <v>-78000</v>
      </c>
      <c r="J56" s="630">
        <v>15.6</v>
      </c>
      <c r="K56" s="630"/>
      <c r="L56" s="630"/>
      <c r="M56" s="639"/>
    </row>
    <row r="57" spans="1:13">
      <c r="A57" s="633">
        <v>42621.666666666664</v>
      </c>
      <c r="B57" s="630" t="s">
        <v>84</v>
      </c>
      <c r="C57" s="630" t="s">
        <v>132</v>
      </c>
      <c r="D57" s="631">
        <v>1000</v>
      </c>
      <c r="E57" s="630" t="s">
        <v>171</v>
      </c>
      <c r="F57" s="630" t="s">
        <v>172</v>
      </c>
      <c r="G57" s="630" t="s">
        <v>45</v>
      </c>
      <c r="H57" s="630">
        <v>10</v>
      </c>
      <c r="I57" s="632">
        <v>9230</v>
      </c>
      <c r="J57" s="630">
        <v>9.23</v>
      </c>
      <c r="K57" s="630"/>
      <c r="L57" s="630"/>
      <c r="M57" s="639"/>
    </row>
    <row r="58" spans="1:13">
      <c r="A58" s="633">
        <v>42688.666666666664</v>
      </c>
      <c r="B58" s="630" t="s">
        <v>84</v>
      </c>
      <c r="C58" s="630" t="s">
        <v>130</v>
      </c>
      <c r="D58" s="631">
        <v>1000</v>
      </c>
      <c r="E58" s="630" t="s">
        <v>171</v>
      </c>
      <c r="F58" s="630" t="s">
        <v>172</v>
      </c>
      <c r="G58" s="630" t="s">
        <v>45</v>
      </c>
      <c r="H58" s="630">
        <v>10</v>
      </c>
      <c r="I58" s="632">
        <v>-10550</v>
      </c>
      <c r="J58" s="630">
        <v>10.55</v>
      </c>
      <c r="K58" s="630"/>
      <c r="L58" s="630"/>
      <c r="M58" s="639"/>
    </row>
    <row r="59" spans="1:13" ht="25">
      <c r="A59" s="633">
        <v>42627.666666666664</v>
      </c>
      <c r="B59" s="630" t="s">
        <v>84</v>
      </c>
      <c r="C59" s="630" t="s">
        <v>132</v>
      </c>
      <c r="D59" s="631">
        <v>1000</v>
      </c>
      <c r="E59" s="630" t="s">
        <v>173</v>
      </c>
      <c r="F59" s="630" t="s">
        <v>174</v>
      </c>
      <c r="G59" s="630" t="s">
        <v>45</v>
      </c>
      <c r="H59" s="630">
        <v>10</v>
      </c>
      <c r="I59" s="632">
        <v>25090</v>
      </c>
      <c r="J59" s="630">
        <v>25.09</v>
      </c>
      <c r="K59" s="630"/>
      <c r="L59" s="630"/>
      <c r="M59" s="639"/>
    </row>
    <row r="60" spans="1:13" ht="25">
      <c r="A60" s="633">
        <v>42643.666666666664</v>
      </c>
      <c r="B60" s="630" t="s">
        <v>84</v>
      </c>
      <c r="C60" s="630" t="s">
        <v>132</v>
      </c>
      <c r="D60" s="631">
        <v>5000</v>
      </c>
      <c r="E60" s="630" t="s">
        <v>173</v>
      </c>
      <c r="F60" s="630" t="s">
        <v>174</v>
      </c>
      <c r="G60" s="630" t="s">
        <v>45</v>
      </c>
      <c r="H60" s="630">
        <v>10</v>
      </c>
      <c r="I60" s="632">
        <v>129000</v>
      </c>
      <c r="J60" s="630">
        <v>25.8</v>
      </c>
      <c r="K60" s="630"/>
      <c r="L60" s="630"/>
      <c r="M60" s="639"/>
    </row>
    <row r="61" spans="1:13" ht="25">
      <c r="A61" s="633">
        <v>42692.666666666664</v>
      </c>
      <c r="B61" s="630" t="s">
        <v>84</v>
      </c>
      <c r="C61" s="630" t="s">
        <v>132</v>
      </c>
      <c r="D61" s="630">
        <v>500</v>
      </c>
      <c r="E61" s="630" t="s">
        <v>205</v>
      </c>
      <c r="F61" s="630" t="s">
        <v>206</v>
      </c>
      <c r="G61" s="630" t="s">
        <v>207</v>
      </c>
      <c r="H61" s="630">
        <v>10</v>
      </c>
      <c r="I61" s="632">
        <v>8605</v>
      </c>
      <c r="J61" s="630">
        <v>17.21</v>
      </c>
      <c r="K61" s="630"/>
      <c r="L61" s="630"/>
      <c r="M61" s="639"/>
    </row>
    <row r="62" spans="1:13">
      <c r="A62" s="633">
        <v>42643.666666666664</v>
      </c>
      <c r="B62" s="630" t="s">
        <v>84</v>
      </c>
      <c r="C62" s="630" t="s">
        <v>130</v>
      </c>
      <c r="D62" s="631">
        <v>2000</v>
      </c>
      <c r="E62" s="630" t="s">
        <v>175</v>
      </c>
      <c r="F62" s="630" t="s">
        <v>176</v>
      </c>
      <c r="G62" s="630" t="s">
        <v>45</v>
      </c>
      <c r="H62" s="630">
        <v>10</v>
      </c>
      <c r="I62" s="632">
        <v>-26180</v>
      </c>
      <c r="J62" s="630">
        <v>13.09</v>
      </c>
      <c r="K62" s="630"/>
      <c r="L62" s="630"/>
      <c r="M62" s="639"/>
    </row>
    <row r="63" spans="1:13">
      <c r="A63" s="633">
        <v>42640.666666666664</v>
      </c>
      <c r="B63" s="630" t="s">
        <v>84</v>
      </c>
      <c r="C63" s="630" t="s">
        <v>132</v>
      </c>
      <c r="D63" s="631">
        <v>2000</v>
      </c>
      <c r="E63" s="630" t="s">
        <v>177</v>
      </c>
      <c r="F63" s="630" t="s">
        <v>178</v>
      </c>
      <c r="G63" s="630" t="s">
        <v>45</v>
      </c>
      <c r="H63" s="630">
        <v>10</v>
      </c>
      <c r="I63" s="632">
        <v>162860</v>
      </c>
      <c r="J63" s="630">
        <v>81.430000000000007</v>
      </c>
      <c r="K63" s="630"/>
      <c r="L63" s="630"/>
      <c r="M63" s="639"/>
    </row>
    <row r="64" spans="1:13" ht="25">
      <c r="A64" s="633">
        <v>42633.666666666664</v>
      </c>
      <c r="B64" s="630" t="s">
        <v>84</v>
      </c>
      <c r="C64" s="630" t="s">
        <v>130</v>
      </c>
      <c r="D64" s="631">
        <v>2000</v>
      </c>
      <c r="E64" s="630" t="s">
        <v>179</v>
      </c>
      <c r="F64" s="630" t="s">
        <v>180</v>
      </c>
      <c r="G64" s="630" t="s">
        <v>45</v>
      </c>
      <c r="H64" s="630">
        <v>10</v>
      </c>
      <c r="I64" s="632">
        <v>-165080</v>
      </c>
      <c r="J64" s="630">
        <v>82.54</v>
      </c>
      <c r="K64" s="630"/>
      <c r="L64" s="630"/>
      <c r="M64" s="639"/>
    </row>
    <row r="65" spans="1:13">
      <c r="A65" s="633">
        <v>42627.666666666664</v>
      </c>
      <c r="B65" s="630" t="s">
        <v>84</v>
      </c>
      <c r="C65" s="630" t="s">
        <v>132</v>
      </c>
      <c r="D65" s="631">
        <v>3000</v>
      </c>
      <c r="E65" s="630" t="s">
        <v>181</v>
      </c>
      <c r="F65" s="630" t="s">
        <v>182</v>
      </c>
      <c r="G65" s="630" t="s">
        <v>45</v>
      </c>
      <c r="H65" s="630">
        <v>10</v>
      </c>
      <c r="I65" s="632">
        <v>36420</v>
      </c>
      <c r="J65" s="630">
        <v>12.14</v>
      </c>
      <c r="K65" s="630"/>
      <c r="L65" s="630"/>
      <c r="M65" s="639"/>
    </row>
    <row r="66" spans="1:13" ht="25">
      <c r="A66" s="633">
        <v>42625.666666666664</v>
      </c>
      <c r="B66" s="630" t="s">
        <v>84</v>
      </c>
      <c r="C66" s="630" t="s">
        <v>132</v>
      </c>
      <c r="D66" s="631">
        <v>1000</v>
      </c>
      <c r="E66" s="630" t="s">
        <v>183</v>
      </c>
      <c r="F66" s="630" t="s">
        <v>184</v>
      </c>
      <c r="G66" s="630" t="s">
        <v>45</v>
      </c>
      <c r="H66" s="630">
        <v>10</v>
      </c>
      <c r="I66" s="632">
        <v>30490</v>
      </c>
      <c r="J66" s="630">
        <v>30.49</v>
      </c>
      <c r="K66" s="630"/>
      <c r="L66" s="630"/>
      <c r="M66" s="639"/>
    </row>
    <row r="67" spans="1:13" ht="25">
      <c r="A67" s="633">
        <v>42620.666666666664</v>
      </c>
      <c r="B67" s="630" t="s">
        <v>84</v>
      </c>
      <c r="C67" s="630" t="s">
        <v>130</v>
      </c>
      <c r="D67" s="631">
        <v>2000</v>
      </c>
      <c r="E67" s="630" t="s">
        <v>187</v>
      </c>
      <c r="F67" s="630" t="s">
        <v>212</v>
      </c>
      <c r="G67" s="630" t="s">
        <v>45</v>
      </c>
      <c r="H67" s="630">
        <v>10</v>
      </c>
      <c r="I67" s="632">
        <v>-134320</v>
      </c>
      <c r="J67" s="630">
        <v>67.16</v>
      </c>
      <c r="K67" s="630"/>
      <c r="L67" s="630"/>
      <c r="M67" s="639"/>
    </row>
    <row r="68" spans="1:13">
      <c r="A68" s="633">
        <v>42625.666666666664</v>
      </c>
      <c r="B68" s="630" t="s">
        <v>84</v>
      </c>
      <c r="C68" s="630" t="s">
        <v>132</v>
      </c>
      <c r="D68" s="631">
        <v>1000</v>
      </c>
      <c r="E68" s="630" t="s">
        <v>185</v>
      </c>
      <c r="F68" s="630" t="s">
        <v>186</v>
      </c>
      <c r="G68" s="630" t="s">
        <v>45</v>
      </c>
      <c r="H68" s="630">
        <v>10</v>
      </c>
      <c r="I68" s="632">
        <v>16780</v>
      </c>
      <c r="J68" s="630">
        <v>16.78</v>
      </c>
      <c r="K68" s="630"/>
      <c r="L68" s="630"/>
      <c r="M68" s="639"/>
    </row>
    <row r="69" spans="1:13">
      <c r="A69" s="633">
        <v>42634.666666666664</v>
      </c>
      <c r="B69" s="630" t="s">
        <v>84</v>
      </c>
      <c r="C69" s="630" t="s">
        <v>130</v>
      </c>
      <c r="D69" s="631">
        <v>1000</v>
      </c>
      <c r="E69" s="630" t="s">
        <v>185</v>
      </c>
      <c r="F69" s="630" t="s">
        <v>186</v>
      </c>
      <c r="G69" s="630" t="s">
        <v>45</v>
      </c>
      <c r="H69" s="630">
        <v>10</v>
      </c>
      <c r="I69" s="632">
        <v>-17190</v>
      </c>
      <c r="J69" s="630">
        <v>17.190000000000001</v>
      </c>
      <c r="K69" s="630"/>
      <c r="L69" s="630"/>
      <c r="M69" s="639"/>
    </row>
    <row r="70" spans="1:13">
      <c r="A70" s="633">
        <v>42640.666666666664</v>
      </c>
      <c r="B70" s="630" t="s">
        <v>84</v>
      </c>
      <c r="C70" s="630" t="s">
        <v>132</v>
      </c>
      <c r="D70" s="631">
        <v>5000</v>
      </c>
      <c r="E70" s="630" t="s">
        <v>185</v>
      </c>
      <c r="F70" s="630" t="s">
        <v>186</v>
      </c>
      <c r="G70" s="630" t="s">
        <v>45</v>
      </c>
      <c r="H70" s="630">
        <v>10</v>
      </c>
      <c r="I70" s="632">
        <v>86650</v>
      </c>
      <c r="J70" s="630">
        <v>17.329999999999998</v>
      </c>
      <c r="K70" s="630"/>
      <c r="L70" s="630"/>
      <c r="M70" s="639"/>
    </row>
    <row r="71" spans="1:13">
      <c r="A71" s="633">
        <v>42670.666666666664</v>
      </c>
      <c r="B71" s="630" t="s">
        <v>84</v>
      </c>
      <c r="C71" s="630" t="s">
        <v>130</v>
      </c>
      <c r="D71" s="631">
        <v>5000</v>
      </c>
      <c r="E71" s="630" t="s">
        <v>185</v>
      </c>
      <c r="F71" s="630" t="s">
        <v>186</v>
      </c>
      <c r="G71" s="630" t="s">
        <v>45</v>
      </c>
      <c r="H71" s="630">
        <v>10</v>
      </c>
      <c r="I71" s="632">
        <v>-86800</v>
      </c>
      <c r="J71" s="630">
        <v>17.36</v>
      </c>
      <c r="K71" s="630"/>
      <c r="L71" s="630"/>
      <c r="M71" s="639"/>
    </row>
    <row r="72" spans="1:13">
      <c r="A72" s="633">
        <v>42625.666666666664</v>
      </c>
      <c r="B72" s="630" t="s">
        <v>84</v>
      </c>
      <c r="C72" s="630" t="s">
        <v>132</v>
      </c>
      <c r="D72" s="631">
        <v>1000</v>
      </c>
      <c r="E72" s="630" t="s">
        <v>189</v>
      </c>
      <c r="F72" s="630" t="s">
        <v>190</v>
      </c>
      <c r="G72" s="630" t="s">
        <v>45</v>
      </c>
      <c r="H72" s="630">
        <v>10</v>
      </c>
      <c r="I72" s="632">
        <v>7930</v>
      </c>
      <c r="J72" s="630">
        <v>7.93</v>
      </c>
      <c r="K72" s="630"/>
      <c r="L72" s="630"/>
      <c r="M72" s="639"/>
    </row>
    <row r="73" spans="1:13">
      <c r="A73" s="633">
        <v>42648.666666666664</v>
      </c>
      <c r="B73" s="630" t="s">
        <v>84</v>
      </c>
      <c r="C73" s="630" t="s">
        <v>132</v>
      </c>
      <c r="D73" s="631">
        <v>4000</v>
      </c>
      <c r="E73" s="630" t="s">
        <v>189</v>
      </c>
      <c r="F73" s="630" t="s">
        <v>190</v>
      </c>
      <c r="G73" s="630" t="s">
        <v>45</v>
      </c>
      <c r="H73" s="630">
        <v>10</v>
      </c>
      <c r="I73" s="632">
        <v>34440</v>
      </c>
      <c r="J73" s="630">
        <v>8.61</v>
      </c>
      <c r="K73" s="630"/>
      <c r="L73" s="630"/>
      <c r="M73" s="639"/>
    </row>
    <row r="74" spans="1:13">
      <c r="A74" s="633">
        <v>42669.666666666664</v>
      </c>
      <c r="B74" s="630" t="s">
        <v>84</v>
      </c>
      <c r="C74" s="630" t="s">
        <v>130</v>
      </c>
      <c r="D74" s="631">
        <v>5000</v>
      </c>
      <c r="E74" s="630" t="s">
        <v>189</v>
      </c>
      <c r="F74" s="630" t="s">
        <v>190</v>
      </c>
      <c r="G74" s="630" t="s">
        <v>45</v>
      </c>
      <c r="H74" s="630">
        <v>10</v>
      </c>
      <c r="I74" s="632">
        <v>-48300</v>
      </c>
      <c r="J74" s="630">
        <v>9.66</v>
      </c>
      <c r="K74" s="630"/>
      <c r="L74" s="630"/>
      <c r="M74" s="639"/>
    </row>
    <row r="75" spans="1:13">
      <c r="A75" s="633">
        <v>42639.666666666664</v>
      </c>
      <c r="B75" s="630" t="s">
        <v>84</v>
      </c>
      <c r="C75" s="630" t="s">
        <v>132</v>
      </c>
      <c r="D75" s="631">
        <v>10000</v>
      </c>
      <c r="E75" s="630" t="s">
        <v>191</v>
      </c>
      <c r="F75" s="630" t="s">
        <v>192</v>
      </c>
      <c r="G75" s="630" t="s">
        <v>45</v>
      </c>
      <c r="H75" s="630">
        <v>10</v>
      </c>
      <c r="I75" s="632">
        <v>671500</v>
      </c>
      <c r="J75" s="630">
        <v>67.150000000000006</v>
      </c>
      <c r="K75" s="630"/>
      <c r="L75" s="630"/>
      <c r="M75" s="639"/>
    </row>
    <row r="76" spans="1:13">
      <c r="A76" s="633">
        <v>42688.666666666664</v>
      </c>
      <c r="B76" s="630" t="s">
        <v>84</v>
      </c>
      <c r="C76" s="630" t="s">
        <v>130</v>
      </c>
      <c r="D76" s="631">
        <v>10000</v>
      </c>
      <c r="E76" s="630" t="s">
        <v>191</v>
      </c>
      <c r="F76" s="630" t="s">
        <v>192</v>
      </c>
      <c r="G76" s="630" t="s">
        <v>45</v>
      </c>
      <c r="H76" s="630">
        <v>10</v>
      </c>
      <c r="I76" s="632">
        <v>-772400</v>
      </c>
      <c r="J76" s="630">
        <v>77.239999999999995</v>
      </c>
      <c r="K76" s="630"/>
      <c r="L76" s="630"/>
      <c r="M76" s="639"/>
    </row>
    <row r="77" spans="1:13">
      <c r="A77" s="633">
        <v>42639.666666666664</v>
      </c>
      <c r="B77" s="630" t="s">
        <v>84</v>
      </c>
      <c r="C77" s="630" t="s">
        <v>132</v>
      </c>
      <c r="D77" s="631">
        <v>1000</v>
      </c>
      <c r="E77" s="630" t="s">
        <v>193</v>
      </c>
      <c r="F77" s="630" t="s">
        <v>194</v>
      </c>
      <c r="G77" s="630" t="s">
        <v>45</v>
      </c>
      <c r="H77" s="630">
        <v>10</v>
      </c>
      <c r="I77" s="632">
        <v>54400</v>
      </c>
      <c r="J77" s="630">
        <v>54.4</v>
      </c>
      <c r="K77" s="630"/>
      <c r="L77" s="630"/>
      <c r="M77" s="639"/>
    </row>
    <row r="78" spans="1:13" ht="25">
      <c r="A78" s="633">
        <v>42627.666666666664</v>
      </c>
      <c r="B78" s="630" t="s">
        <v>84</v>
      </c>
      <c r="C78" s="630" t="s">
        <v>130</v>
      </c>
      <c r="D78" s="631">
        <v>3000</v>
      </c>
      <c r="E78" s="630" t="s">
        <v>195</v>
      </c>
      <c r="F78" s="630" t="s">
        <v>196</v>
      </c>
      <c r="G78" s="630" t="s">
        <v>45</v>
      </c>
      <c r="H78" s="630">
        <v>10</v>
      </c>
      <c r="I78" s="632">
        <v>-85410</v>
      </c>
      <c r="J78" s="630">
        <v>28.47</v>
      </c>
      <c r="K78" s="630"/>
      <c r="L78" s="630"/>
      <c r="M78" s="639"/>
    </row>
    <row r="79" spans="1:13">
      <c r="A79" s="633">
        <v>42625.666666666664</v>
      </c>
      <c r="B79" s="630" t="s">
        <v>84</v>
      </c>
      <c r="C79" s="630" t="s">
        <v>130</v>
      </c>
      <c r="D79" s="631">
        <v>2000</v>
      </c>
      <c r="E79" s="630" t="s">
        <v>197</v>
      </c>
      <c r="F79" s="630" t="s">
        <v>198</v>
      </c>
      <c r="G79" s="630" t="s">
        <v>45</v>
      </c>
      <c r="H79" s="630">
        <v>10</v>
      </c>
      <c r="I79" s="632">
        <v>-7100</v>
      </c>
      <c r="J79" s="630">
        <v>3.55</v>
      </c>
      <c r="K79" s="630"/>
      <c r="L79" s="630"/>
      <c r="M79" s="639"/>
    </row>
    <row r="80" spans="1:13">
      <c r="A80" s="633">
        <v>42648.666666666664</v>
      </c>
      <c r="B80" s="630" t="s">
        <v>84</v>
      </c>
      <c r="C80" s="630" t="s">
        <v>132</v>
      </c>
      <c r="D80" s="631">
        <v>5000</v>
      </c>
      <c r="E80" s="630" t="s">
        <v>197</v>
      </c>
      <c r="F80" s="630" t="s">
        <v>198</v>
      </c>
      <c r="G80" s="630" t="s">
        <v>45</v>
      </c>
      <c r="H80" s="630">
        <v>10</v>
      </c>
      <c r="I80" s="632">
        <v>20050</v>
      </c>
      <c r="J80" s="630">
        <v>4.01</v>
      </c>
      <c r="K80" s="630"/>
      <c r="L80" s="630"/>
      <c r="M80" s="639"/>
    </row>
    <row r="81" spans="1:13">
      <c r="A81" s="633">
        <v>42639.666666666664</v>
      </c>
      <c r="B81" s="630" t="s">
        <v>84</v>
      </c>
      <c r="C81" s="630" t="s">
        <v>132</v>
      </c>
      <c r="D81" s="631">
        <v>2000</v>
      </c>
      <c r="E81" s="630" t="s">
        <v>199</v>
      </c>
      <c r="F81" s="630" t="s">
        <v>200</v>
      </c>
      <c r="G81" s="630" t="s">
        <v>45</v>
      </c>
      <c r="H81" s="630">
        <v>10</v>
      </c>
      <c r="I81" s="632">
        <v>108080</v>
      </c>
      <c r="J81" s="630">
        <v>54.04</v>
      </c>
      <c r="K81" s="630"/>
      <c r="L81" s="630"/>
      <c r="M81" s="639"/>
    </row>
    <row r="82" spans="1:13">
      <c r="A82" s="633">
        <v>42669.666666666664</v>
      </c>
      <c r="B82" s="630" t="s">
        <v>84</v>
      </c>
      <c r="C82" s="630" t="s">
        <v>130</v>
      </c>
      <c r="D82" s="631">
        <v>2000</v>
      </c>
      <c r="E82" s="630" t="s">
        <v>199</v>
      </c>
      <c r="F82" s="630" t="s">
        <v>200</v>
      </c>
      <c r="G82" s="630" t="s">
        <v>45</v>
      </c>
      <c r="H82" s="630">
        <v>10</v>
      </c>
      <c r="I82" s="632">
        <v>-107260</v>
      </c>
      <c r="J82" s="630">
        <v>53.63</v>
      </c>
      <c r="K82" s="630"/>
      <c r="L82" s="630"/>
      <c r="M82" s="639"/>
    </row>
    <row r="83" spans="1:13" ht="25">
      <c r="A83" s="633">
        <v>42620.666666666664</v>
      </c>
      <c r="B83" s="630" t="s">
        <v>84</v>
      </c>
      <c r="C83" s="630" t="s">
        <v>132</v>
      </c>
      <c r="D83" s="631">
        <v>1000</v>
      </c>
      <c r="E83" s="630" t="s">
        <v>201</v>
      </c>
      <c r="F83" s="630" t="s">
        <v>202</v>
      </c>
      <c r="G83" s="630" t="s">
        <v>45</v>
      </c>
      <c r="H83" s="630">
        <v>10</v>
      </c>
      <c r="I83" s="632">
        <v>49770</v>
      </c>
      <c r="J83" s="630">
        <v>49.77</v>
      </c>
      <c r="K83" s="630"/>
      <c r="L83" s="630"/>
      <c r="M83" s="639"/>
    </row>
    <row r="84" spans="1:13" ht="25">
      <c r="A84" s="633">
        <v>42643.666666666664</v>
      </c>
      <c r="B84" s="630" t="s">
        <v>84</v>
      </c>
      <c r="C84" s="630" t="s">
        <v>130</v>
      </c>
      <c r="D84" s="631">
        <v>5000</v>
      </c>
      <c r="E84" s="630" t="s">
        <v>201</v>
      </c>
      <c r="F84" s="630" t="s">
        <v>202</v>
      </c>
      <c r="G84" s="630" t="s">
        <v>45</v>
      </c>
      <c r="H84" s="630">
        <v>10</v>
      </c>
      <c r="I84" s="632">
        <v>-221400</v>
      </c>
      <c r="J84" s="630">
        <v>44.28</v>
      </c>
      <c r="K84" s="630"/>
      <c r="L84" s="630"/>
      <c r="M84" s="639"/>
    </row>
    <row r="85" spans="1:13">
      <c r="A85" s="633">
        <v>42639.666666666664</v>
      </c>
      <c r="B85" s="630" t="s">
        <v>84</v>
      </c>
      <c r="C85" s="630" t="s">
        <v>132</v>
      </c>
      <c r="D85" s="631">
        <v>1000</v>
      </c>
      <c r="E85" s="630" t="s">
        <v>203</v>
      </c>
      <c r="F85" s="630" t="s">
        <v>204</v>
      </c>
      <c r="G85" s="630" t="s">
        <v>45</v>
      </c>
      <c r="H85" s="630">
        <v>10</v>
      </c>
      <c r="I85" s="632">
        <v>42290</v>
      </c>
      <c r="J85" s="630">
        <v>42.29</v>
      </c>
      <c r="K85" s="630"/>
      <c r="L85" s="630"/>
      <c r="M85" s="639"/>
    </row>
    <row r="86" spans="1:13">
      <c r="A86" s="633">
        <v>42669.666666666664</v>
      </c>
      <c r="B86" s="630" t="s">
        <v>84</v>
      </c>
      <c r="C86" s="630" t="s">
        <v>130</v>
      </c>
      <c r="D86" s="631">
        <v>1000</v>
      </c>
      <c r="E86" s="630" t="s">
        <v>203</v>
      </c>
      <c r="F86" s="630" t="s">
        <v>204</v>
      </c>
      <c r="G86" s="630" t="s">
        <v>45</v>
      </c>
      <c r="H86" s="630">
        <v>10</v>
      </c>
      <c r="I86" s="632">
        <v>-42080</v>
      </c>
      <c r="J86" s="630">
        <v>42.08</v>
      </c>
      <c r="K86" s="630"/>
      <c r="L86" s="630"/>
      <c r="M86" s="639"/>
    </row>
    <row r="87" spans="1:13">
      <c r="A87" s="630"/>
      <c r="B87" s="630"/>
      <c r="C87" s="630"/>
      <c r="D87" s="630"/>
      <c r="E87" s="630"/>
      <c r="F87" s="630"/>
      <c r="G87" s="630"/>
      <c r="H87" s="630"/>
      <c r="I87" s="632">
        <f>SUM(I42:I86)</f>
        <v>2070370</v>
      </c>
      <c r="J87" s="630"/>
      <c r="K87" s="630"/>
      <c r="L87" s="630"/>
      <c r="M87" s="639"/>
    </row>
    <row r="88" spans="1:13">
      <c r="A88" s="630" t="s">
        <v>53</v>
      </c>
      <c r="B88" s="630"/>
      <c r="C88" s="630"/>
      <c r="D88" s="630"/>
      <c r="E88" s="630"/>
      <c r="F88" s="630"/>
      <c r="G88" s="630"/>
      <c r="H88" s="630"/>
      <c r="I88" s="630"/>
      <c r="J88" s="630"/>
      <c r="K88" s="630"/>
      <c r="L88" s="630"/>
      <c r="M88" s="639"/>
    </row>
    <row r="89" spans="1:13" ht="25">
      <c r="A89" s="630" t="s">
        <v>134</v>
      </c>
      <c r="B89" s="630" t="s">
        <v>133</v>
      </c>
      <c r="C89" s="630" t="s">
        <v>132</v>
      </c>
      <c r="D89" s="630" t="s">
        <v>131</v>
      </c>
      <c r="E89" s="630" t="s">
        <v>130</v>
      </c>
      <c r="F89" s="630" t="s">
        <v>129</v>
      </c>
      <c r="G89" s="630" t="s">
        <v>23</v>
      </c>
      <c r="H89" s="630" t="s">
        <v>107</v>
      </c>
      <c r="I89" s="630"/>
      <c r="J89" s="630"/>
      <c r="K89" s="630"/>
      <c r="L89" s="630"/>
      <c r="M89" s="639"/>
    </row>
    <row r="90" spans="1:13">
      <c r="A90" s="630"/>
      <c r="B90" s="630"/>
      <c r="C90" s="630"/>
      <c r="D90" s="630"/>
      <c r="E90" s="630"/>
      <c r="F90" s="630"/>
      <c r="G90" s="630"/>
      <c r="H90" s="630"/>
      <c r="I90" s="630"/>
      <c r="J90" s="630"/>
      <c r="K90" s="630"/>
      <c r="L90" s="630"/>
      <c r="M90" s="639"/>
    </row>
    <row r="91" spans="1:13">
      <c r="A91" s="630" t="s">
        <v>128</v>
      </c>
      <c r="B91" s="630"/>
      <c r="C91" s="630"/>
      <c r="D91" s="630"/>
      <c r="E91" s="630"/>
      <c r="F91" s="630"/>
      <c r="G91" s="630"/>
      <c r="H91" s="630"/>
      <c r="I91" s="630"/>
      <c r="J91" s="630"/>
      <c r="K91" s="630"/>
      <c r="L91" s="630"/>
      <c r="M91" s="639"/>
    </row>
    <row r="92" spans="1:13">
      <c r="A92" s="630" t="s">
        <v>106</v>
      </c>
      <c r="B92" s="630" t="s">
        <v>84</v>
      </c>
      <c r="C92" s="630" t="s">
        <v>127</v>
      </c>
      <c r="D92" s="630" t="s">
        <v>3</v>
      </c>
      <c r="E92" s="630" t="s">
        <v>5</v>
      </c>
      <c r="F92" s="630" t="s">
        <v>126</v>
      </c>
      <c r="G92" s="630" t="s">
        <v>53</v>
      </c>
      <c r="H92" s="630" t="s">
        <v>34</v>
      </c>
      <c r="I92" s="630" t="s">
        <v>125</v>
      </c>
      <c r="J92" s="630"/>
      <c r="K92" s="630"/>
      <c r="L92" s="630"/>
      <c r="M92" s="639"/>
    </row>
    <row r="93" spans="1:13" ht="25">
      <c r="A93" s="633">
        <v>42614</v>
      </c>
      <c r="B93" s="630" t="s">
        <v>84</v>
      </c>
      <c r="C93" s="630" t="s">
        <v>124</v>
      </c>
      <c r="D93" s="630" t="s">
        <v>84</v>
      </c>
      <c r="E93" s="630" t="s">
        <v>84</v>
      </c>
      <c r="F93" s="630" t="s">
        <v>84</v>
      </c>
      <c r="G93" s="630" t="s">
        <v>45</v>
      </c>
      <c r="H93" s="632">
        <v>1000000</v>
      </c>
      <c r="I93" s="630" t="s">
        <v>84</v>
      </c>
      <c r="J93" s="630"/>
      <c r="K93" s="630"/>
      <c r="L93" s="630"/>
      <c r="M93" s="639"/>
    </row>
    <row r="94" spans="1:13" ht="25">
      <c r="A94" s="633">
        <v>42614</v>
      </c>
      <c r="B94" s="630" t="s">
        <v>84</v>
      </c>
      <c r="C94" s="630" t="s">
        <v>124</v>
      </c>
      <c r="D94" s="630" t="s">
        <v>84</v>
      </c>
      <c r="E94" s="630" t="s">
        <v>84</v>
      </c>
      <c r="F94" s="630" t="s">
        <v>84</v>
      </c>
      <c r="G94" s="630" t="s">
        <v>45</v>
      </c>
      <c r="H94" s="632">
        <v>1000000</v>
      </c>
      <c r="I94" s="630" t="s">
        <v>84</v>
      </c>
      <c r="J94" s="630"/>
      <c r="K94" s="630"/>
      <c r="L94" s="630"/>
      <c r="M94" s="639"/>
    </row>
    <row r="95" spans="1:13" ht="25">
      <c r="A95" s="633">
        <v>42614</v>
      </c>
      <c r="B95" s="630" t="s">
        <v>84</v>
      </c>
      <c r="C95" s="630" t="s">
        <v>124</v>
      </c>
      <c r="D95" s="630" t="s">
        <v>84</v>
      </c>
      <c r="E95" s="630" t="s">
        <v>84</v>
      </c>
      <c r="F95" s="630" t="s">
        <v>84</v>
      </c>
      <c r="G95" s="630" t="s">
        <v>45</v>
      </c>
      <c r="H95" s="632">
        <v>1000000</v>
      </c>
      <c r="I95" s="630" t="s">
        <v>84</v>
      </c>
      <c r="J95" s="630"/>
      <c r="K95" s="630"/>
      <c r="L95" s="630"/>
      <c r="M95" s="639"/>
    </row>
    <row r="96" spans="1:13" ht="25">
      <c r="A96" s="633">
        <v>42614</v>
      </c>
      <c r="B96" s="630" t="s">
        <v>84</v>
      </c>
      <c r="C96" s="630" t="s">
        <v>124</v>
      </c>
      <c r="D96" s="630" t="s">
        <v>84</v>
      </c>
      <c r="E96" s="630" t="s">
        <v>84</v>
      </c>
      <c r="F96" s="630" t="s">
        <v>84</v>
      </c>
      <c r="G96" s="630" t="s">
        <v>45</v>
      </c>
      <c r="H96" s="632">
        <v>1000000</v>
      </c>
      <c r="I96" s="630" t="s">
        <v>84</v>
      </c>
      <c r="J96" s="630"/>
      <c r="K96" s="630"/>
      <c r="L96" s="630"/>
      <c r="M96" s="639"/>
    </row>
    <row r="97" spans="1:13" ht="25">
      <c r="A97" s="633">
        <v>42643.999305555553</v>
      </c>
      <c r="B97" s="630" t="s">
        <v>84</v>
      </c>
      <c r="C97" s="634" t="s">
        <v>122</v>
      </c>
      <c r="D97" s="630" t="s">
        <v>84</v>
      </c>
      <c r="E97" s="630" t="s">
        <v>84</v>
      </c>
      <c r="F97" s="630" t="s">
        <v>121</v>
      </c>
      <c r="G97" s="630" t="s">
        <v>45</v>
      </c>
      <c r="H97" s="632">
        <v>1353.58</v>
      </c>
      <c r="I97" s="630" t="s">
        <v>84</v>
      </c>
      <c r="J97" s="630"/>
      <c r="K97" s="630"/>
      <c r="L97" s="630"/>
      <c r="M97" s="639"/>
    </row>
    <row r="98" spans="1:13" ht="25">
      <c r="A98" s="633">
        <v>42668.645833333336</v>
      </c>
      <c r="B98" s="630" t="s">
        <v>84</v>
      </c>
      <c r="C98" s="634" t="s">
        <v>123</v>
      </c>
      <c r="D98" s="631">
        <v>1000</v>
      </c>
      <c r="E98" s="630" t="s">
        <v>183</v>
      </c>
      <c r="F98" s="630" t="s">
        <v>184</v>
      </c>
      <c r="G98" s="630" t="s">
        <v>45</v>
      </c>
      <c r="H98" s="630">
        <v>230</v>
      </c>
      <c r="I98" s="630">
        <v>0.23</v>
      </c>
      <c r="J98" s="630"/>
      <c r="K98" s="630"/>
      <c r="L98" s="630"/>
      <c r="M98" s="639"/>
    </row>
    <row r="99" spans="1:13" ht="25">
      <c r="A99" s="633">
        <v>42674.645833333336</v>
      </c>
      <c r="B99" s="630" t="s">
        <v>84</v>
      </c>
      <c r="C99" s="634" t="s">
        <v>123</v>
      </c>
      <c r="D99" s="631">
        <v>-2000</v>
      </c>
      <c r="E99" s="630" t="s">
        <v>187</v>
      </c>
      <c r="F99" s="630" t="s">
        <v>212</v>
      </c>
      <c r="G99" s="630" t="s">
        <v>45</v>
      </c>
      <c r="H99" s="630">
        <v>-960</v>
      </c>
      <c r="I99" s="630">
        <v>0.48</v>
      </c>
      <c r="J99" s="630"/>
      <c r="K99" s="630"/>
      <c r="L99" s="630"/>
      <c r="M99" s="639"/>
    </row>
    <row r="100" spans="1:13" ht="25">
      <c r="A100" s="633">
        <v>42674.999305555553</v>
      </c>
      <c r="B100" s="630" t="s">
        <v>84</v>
      </c>
      <c r="C100" s="634" t="s">
        <v>122</v>
      </c>
      <c r="D100" s="630" t="s">
        <v>84</v>
      </c>
      <c r="E100" s="630" t="s">
        <v>84</v>
      </c>
      <c r="F100" s="630" t="s">
        <v>121</v>
      </c>
      <c r="G100" s="630" t="s">
        <v>45</v>
      </c>
      <c r="H100" s="630">
        <v>584.41</v>
      </c>
      <c r="I100" s="630" t="s">
        <v>84</v>
      </c>
      <c r="J100" s="630"/>
      <c r="K100" s="630"/>
      <c r="L100" s="630"/>
      <c r="M100" s="639"/>
    </row>
    <row r="101" spans="1:13" ht="37">
      <c r="A101" s="633">
        <v>42674.999305555553</v>
      </c>
      <c r="B101" s="630" t="s">
        <v>84</v>
      </c>
      <c r="C101" s="634" t="s">
        <v>154</v>
      </c>
      <c r="D101" s="630" t="s">
        <v>84</v>
      </c>
      <c r="E101" s="630" t="s">
        <v>84</v>
      </c>
      <c r="F101" s="630" t="s">
        <v>153</v>
      </c>
      <c r="G101" s="630" t="s">
        <v>45</v>
      </c>
      <c r="H101" s="632">
        <v>-1938.03</v>
      </c>
      <c r="I101" s="630" t="s">
        <v>84</v>
      </c>
      <c r="J101" s="630"/>
      <c r="K101" s="630"/>
      <c r="L101" s="630"/>
      <c r="M101" s="639"/>
    </row>
    <row r="102" spans="1:13" ht="37">
      <c r="A102" s="633">
        <v>42674.999305555553</v>
      </c>
      <c r="B102" s="630" t="s">
        <v>84</v>
      </c>
      <c r="C102" s="634" t="s">
        <v>214</v>
      </c>
      <c r="D102" s="630" t="s">
        <v>84</v>
      </c>
      <c r="E102" s="630" t="s">
        <v>84</v>
      </c>
      <c r="F102" s="630" t="s">
        <v>215</v>
      </c>
      <c r="G102" s="630" t="s">
        <v>45</v>
      </c>
      <c r="H102" s="632">
        <v>-2403.61</v>
      </c>
      <c r="I102" s="630" t="s">
        <v>84</v>
      </c>
      <c r="J102" s="630"/>
      <c r="K102" s="630"/>
      <c r="L102" s="630"/>
      <c r="M102" s="639"/>
    </row>
    <row r="103" spans="1:13" ht="25">
      <c r="A103" s="633">
        <v>42684.645833333336</v>
      </c>
      <c r="B103" s="630" t="s">
        <v>84</v>
      </c>
      <c r="C103" s="634" t="s">
        <v>123</v>
      </c>
      <c r="D103" s="631">
        <v>5500</v>
      </c>
      <c r="E103" s="630" t="s">
        <v>167</v>
      </c>
      <c r="F103" s="630" t="s">
        <v>168</v>
      </c>
      <c r="G103" s="630" t="s">
        <v>45</v>
      </c>
      <c r="H103" s="632">
        <v>3135</v>
      </c>
      <c r="I103" s="630">
        <v>0.56999999999999995</v>
      </c>
      <c r="J103" s="630"/>
      <c r="K103" s="630"/>
      <c r="L103" s="630"/>
      <c r="M103" s="639"/>
    </row>
    <row r="104" spans="1:13" ht="25">
      <c r="A104" s="633">
        <v>42692.645833333336</v>
      </c>
      <c r="B104" s="630" t="s">
        <v>84</v>
      </c>
      <c r="C104" s="634" t="s">
        <v>123</v>
      </c>
      <c r="D104" s="631">
        <v>6000</v>
      </c>
      <c r="E104" s="630" t="s">
        <v>173</v>
      </c>
      <c r="F104" s="630" t="s">
        <v>174</v>
      </c>
      <c r="G104" s="630" t="s">
        <v>45</v>
      </c>
      <c r="H104" s="630">
        <v>120</v>
      </c>
      <c r="I104" s="630">
        <v>0.02</v>
      </c>
      <c r="J104" s="630"/>
      <c r="K104" s="630"/>
      <c r="L104" s="630"/>
      <c r="M104" s="639"/>
    </row>
    <row r="105" spans="1:13" ht="37">
      <c r="A105" s="633">
        <v>42704.999305555553</v>
      </c>
      <c r="B105" s="630" t="s">
        <v>84</v>
      </c>
      <c r="C105" s="634" t="s">
        <v>154</v>
      </c>
      <c r="D105" s="630" t="s">
        <v>84</v>
      </c>
      <c r="E105" s="630" t="s">
        <v>84</v>
      </c>
      <c r="F105" s="630" t="s">
        <v>153</v>
      </c>
      <c r="G105" s="630" t="s">
        <v>207</v>
      </c>
      <c r="H105" s="630">
        <v>-18.239999999999998</v>
      </c>
      <c r="I105" s="630" t="s">
        <v>84</v>
      </c>
      <c r="J105" s="630"/>
      <c r="K105" s="630"/>
      <c r="L105" s="630"/>
      <c r="M105" s="639"/>
    </row>
    <row r="106" spans="1:13" ht="25">
      <c r="A106" s="633">
        <v>42704.999305555553</v>
      </c>
      <c r="B106" s="630" t="s">
        <v>84</v>
      </c>
      <c r="C106" s="634" t="s">
        <v>122</v>
      </c>
      <c r="D106" s="630" t="s">
        <v>84</v>
      </c>
      <c r="E106" s="630" t="s">
        <v>84</v>
      </c>
      <c r="F106" s="630" t="s">
        <v>121</v>
      </c>
      <c r="G106" s="630" t="s">
        <v>45</v>
      </c>
      <c r="H106" s="630">
        <v>654.80999999999995</v>
      </c>
      <c r="I106" s="630" t="s">
        <v>84</v>
      </c>
      <c r="J106" s="630"/>
      <c r="K106" s="630"/>
      <c r="L106" s="630"/>
      <c r="M106" s="639"/>
    </row>
    <row r="107" spans="1:13">
      <c r="A107" s="630"/>
      <c r="B107" s="630"/>
      <c r="C107" s="630"/>
      <c r="D107" s="630"/>
      <c r="E107" s="630"/>
      <c r="F107" s="630"/>
      <c r="G107" s="630"/>
      <c r="H107" s="632">
        <f>SUM(H97:H106)</f>
        <v>757.91999999999939</v>
      </c>
      <c r="I107" s="630"/>
      <c r="J107" s="630"/>
      <c r="K107" s="630"/>
      <c r="L107" s="630"/>
      <c r="M107" s="639"/>
    </row>
    <row r="108" spans="1:13">
      <c r="A108" s="630"/>
      <c r="B108" s="630"/>
      <c r="C108" s="630"/>
      <c r="D108" s="630"/>
      <c r="E108" s="630"/>
      <c r="F108" s="630"/>
      <c r="G108" s="630"/>
      <c r="H108" s="630"/>
      <c r="I108" s="630"/>
      <c r="J108" s="630"/>
      <c r="K108" s="630"/>
      <c r="L108" s="630"/>
      <c r="M108" s="639"/>
    </row>
    <row r="109" spans="1:13">
      <c r="A109" s="630" t="s">
        <v>120</v>
      </c>
      <c r="B109" s="630"/>
      <c r="C109" s="630"/>
      <c r="D109" s="630"/>
      <c r="E109" s="630"/>
      <c r="F109" s="630"/>
      <c r="G109" s="630"/>
      <c r="H109" s="630"/>
      <c r="I109" s="630"/>
      <c r="J109" s="630"/>
      <c r="K109" s="630"/>
      <c r="L109" s="630"/>
      <c r="M109" s="639"/>
    </row>
    <row r="110" spans="1:13" ht="25">
      <c r="A110" s="630" t="s">
        <v>119</v>
      </c>
      <c r="B110" s="630" t="s">
        <v>118</v>
      </c>
      <c r="C110" s="630" t="s">
        <v>117</v>
      </c>
      <c r="D110" s="630" t="s">
        <v>116</v>
      </c>
      <c r="E110" s="630" t="s">
        <v>115</v>
      </c>
      <c r="F110" s="630"/>
      <c r="G110" s="630"/>
      <c r="H110" s="630"/>
      <c r="I110" s="630"/>
      <c r="J110" s="630"/>
      <c r="K110" s="630"/>
      <c r="L110" s="630"/>
      <c r="M110" s="639"/>
    </row>
    <row r="111" spans="1:13" ht="37">
      <c r="A111" s="633">
        <v>42667.677777777775</v>
      </c>
      <c r="B111" s="633">
        <v>42676.677777777775</v>
      </c>
      <c r="C111" s="630">
        <v>0</v>
      </c>
      <c r="D111" s="633">
        <v>42674.678472222222</v>
      </c>
      <c r="E111" s="630" t="s">
        <v>216</v>
      </c>
      <c r="F111" s="630"/>
      <c r="G111" s="630"/>
      <c r="H111" s="630"/>
      <c r="I111" s="630"/>
      <c r="J111" s="630"/>
      <c r="K111" s="630"/>
      <c r="L111" s="630"/>
      <c r="M111" s="639"/>
    </row>
    <row r="112" spans="1:13">
      <c r="A112" s="630"/>
      <c r="B112" s="630"/>
      <c r="C112" s="630"/>
      <c r="D112" s="630"/>
      <c r="E112" s="630"/>
      <c r="F112" s="630"/>
      <c r="G112" s="630"/>
      <c r="H112" s="630"/>
      <c r="I112" s="630"/>
      <c r="J112" s="630"/>
      <c r="K112" s="630"/>
      <c r="L112" s="630"/>
      <c r="M112" s="639"/>
    </row>
    <row r="113" spans="1:13">
      <c r="A113" s="635"/>
      <c r="B113" s="635"/>
      <c r="C113" s="635"/>
      <c r="D113" s="635"/>
      <c r="E113" s="635"/>
      <c r="F113" s="635"/>
      <c r="G113" s="635"/>
      <c r="H113" s="635"/>
      <c r="I113" s="635"/>
      <c r="J113" s="635"/>
      <c r="K113" s="635"/>
      <c r="L113" s="635"/>
      <c r="M113" s="639"/>
    </row>
    <row r="114" spans="1:13">
      <c r="A114" s="635"/>
      <c r="B114" s="635"/>
      <c r="C114" s="635"/>
      <c r="D114" s="635"/>
      <c r="E114" s="635"/>
      <c r="F114" s="635"/>
      <c r="G114" s="635"/>
      <c r="H114" s="635"/>
      <c r="I114" s="635"/>
      <c r="J114" s="635"/>
      <c r="K114" s="635"/>
      <c r="L114" s="635"/>
      <c r="M114" s="639"/>
    </row>
    <row r="115" spans="1:13">
      <c r="A115" s="635"/>
      <c r="B115" s="635"/>
      <c r="C115" s="635"/>
      <c r="D115" s="635"/>
      <c r="E115" s="635"/>
      <c r="F115" s="635"/>
      <c r="G115" s="635"/>
      <c r="H115" s="635"/>
      <c r="I115" s="635"/>
      <c r="J115" s="635"/>
      <c r="K115" s="635"/>
      <c r="L115" s="635"/>
      <c r="M115" s="639"/>
    </row>
    <row r="116" spans="1:13">
      <c r="A116" s="635"/>
      <c r="B116" s="635"/>
      <c r="C116" s="635"/>
      <c r="D116" s="635"/>
      <c r="E116" s="635"/>
      <c r="F116" s="635"/>
      <c r="G116" s="635"/>
      <c r="H116" s="635"/>
      <c r="I116" s="635"/>
      <c r="J116" s="635"/>
      <c r="K116" s="635"/>
      <c r="L116" s="635"/>
      <c r="M116" s="639"/>
    </row>
    <row r="117" spans="1:13">
      <c r="A117" s="640"/>
      <c r="B117" s="640"/>
      <c r="C117" s="640"/>
      <c r="D117" s="640"/>
      <c r="E117" s="640"/>
      <c r="F117" s="640"/>
      <c r="G117" s="640"/>
      <c r="H117" s="640"/>
      <c r="I117" s="640"/>
      <c r="J117" s="640"/>
      <c r="K117" s="640"/>
      <c r="L117" s="640"/>
    </row>
    <row r="118" spans="1:13">
      <c r="A118" s="640"/>
      <c r="B118" s="640"/>
      <c r="C118" s="640"/>
      <c r="D118" s="640"/>
      <c r="E118" s="640"/>
      <c r="F118" s="640"/>
      <c r="G118" s="640"/>
      <c r="H118" s="640"/>
      <c r="I118" s="640"/>
      <c r="J118" s="640"/>
      <c r="K118" s="640"/>
      <c r="L118" s="640"/>
    </row>
    <row r="119" spans="1:13">
      <c r="A119" s="640"/>
      <c r="B119" s="640"/>
      <c r="C119" s="640"/>
      <c r="D119" s="640"/>
      <c r="E119" s="640"/>
      <c r="F119" s="640"/>
      <c r="G119" s="640"/>
      <c r="H119" s="640"/>
      <c r="I119" s="640"/>
      <c r="J119" s="640"/>
      <c r="K119" s="640"/>
      <c r="L119" s="640"/>
    </row>
    <row r="120" spans="1:13">
      <c r="A120" s="640"/>
      <c r="B120" s="640"/>
      <c r="C120" s="640"/>
      <c r="D120" s="640"/>
      <c r="E120" s="640"/>
      <c r="F120" s="640"/>
      <c r="G120" s="640"/>
      <c r="H120" s="640"/>
      <c r="I120" s="640"/>
      <c r="J120" s="640"/>
      <c r="K120" s="640"/>
      <c r="L120" s="640"/>
    </row>
    <row r="121" spans="1:13">
      <c r="A121" s="640"/>
      <c r="B121" s="640"/>
      <c r="C121" s="640"/>
      <c r="D121" s="640"/>
      <c r="E121" s="640"/>
      <c r="F121" s="640"/>
      <c r="G121" s="640"/>
      <c r="H121" s="640"/>
      <c r="I121" s="640"/>
      <c r="J121" s="640"/>
      <c r="K121" s="640"/>
      <c r="L121" s="640"/>
    </row>
    <row r="122" spans="1:13">
      <c r="A122" s="640"/>
      <c r="B122" s="640"/>
      <c r="C122" s="640"/>
      <c r="D122" s="640"/>
      <c r="E122" s="640"/>
      <c r="F122" s="640"/>
      <c r="G122" s="640"/>
      <c r="H122" s="640"/>
      <c r="I122" s="640"/>
      <c r="J122" s="640"/>
      <c r="K122" s="640"/>
      <c r="L122" s="640"/>
    </row>
    <row r="123" spans="1:13">
      <c r="A123" s="640"/>
      <c r="B123" s="640"/>
      <c r="C123" s="640"/>
      <c r="D123" s="640"/>
      <c r="E123" s="640"/>
      <c r="F123" s="640"/>
      <c r="G123" s="640"/>
      <c r="H123" s="640"/>
      <c r="I123" s="640"/>
      <c r="J123" s="640"/>
      <c r="K123" s="640"/>
      <c r="L123" s="640"/>
    </row>
    <row r="124" spans="1:13">
      <c r="A124" s="629"/>
      <c r="B124" s="629"/>
      <c r="C124" s="629"/>
      <c r="D124" s="629"/>
      <c r="E124" s="629"/>
      <c r="F124" s="629"/>
      <c r="G124" s="629"/>
      <c r="H124" s="629"/>
      <c r="I124" s="629"/>
      <c r="J124" s="629"/>
      <c r="K124" s="629"/>
      <c r="L124" s="629"/>
    </row>
  </sheetData>
  <sortState ref="A41:J85">
    <sortCondition ref="F41"/>
  </sortState>
  <mergeCells count="1">
    <mergeCell ref="A31:L32"/>
  </mergeCells>
  <phoneticPr fontId="68" type="noConversion"/>
  <printOptions gridLines="1"/>
  <pageMargins left="0.43000000000000005" right="0.43000000000000005" top="0.43000000000000005" bottom="1.2700000000000002" header="0" footer="0"/>
  <pageSetup orientation="landscape"/>
  <headerFooter>
    <oddFooter>&amp;L&amp;"Times New Roman,Italic"&amp;11&amp;K000000Investment Manager_x000D_Zhaochen Gao_x000D_(217) 323-3359&amp;R&amp;"Times New Roman,Regular"&amp;11&amp;K000000LSXG Pension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Title</vt:lpstr>
      <vt:lpstr>Stewardship</vt:lpstr>
      <vt:lpstr>EquityT</vt:lpstr>
      <vt:lpstr>CurrencyT</vt:lpstr>
      <vt:lpstr>Dividends</vt:lpstr>
      <vt:lpstr>Cash</vt:lpstr>
      <vt:lpstr>Management Report</vt:lpstr>
      <vt:lpstr>Data</vt:lpstr>
      <vt:lpstr>Portfolio11611315317.csv</vt:lpstr>
      <vt:lpstr>Managed UISES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Stewardship Reports</dc:title>
  <dc:creator>Elisabeth Oltheten</dc:creator>
  <cp:lastModifiedBy>Gao Winnie</cp:lastModifiedBy>
  <cp:lastPrinted>2016-12-07T04:27:47Z</cp:lastPrinted>
  <dcterms:created xsi:type="dcterms:W3CDTF">1997-10-14T14:20:24Z</dcterms:created>
  <dcterms:modified xsi:type="dcterms:W3CDTF">2016-12-07T20:06:27Z</dcterms:modified>
</cp:coreProperties>
</file>