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winsen/Desktop/Personal documents/Dissertation and projects files Masters/"/>
    </mc:Choice>
  </mc:AlternateContent>
  <xr:revisionPtr revIDLastSave="0" documentId="8_{05F0F9BE-0A3E-474B-AF1E-CD6698563A88}" xr6:coauthVersionLast="47" xr6:coauthVersionMax="47" xr10:uidLastSave="{00000000-0000-0000-0000-000000000000}"/>
  <bookViews>
    <workbookView xWindow="19200" yWindow="500" windowWidth="19200" windowHeight="21100" firstSheet="1" activeTab="2" xr2:uid="{CF984372-2B80-4E1C-B145-05E1DDC2C321}"/>
  </bookViews>
  <sheets>
    <sheet name="__FDSCACHE__" sheetId="7" state="veryHidden" r:id="rId1"/>
    <sheet name="Cover" sheetId="6" r:id="rId2"/>
    <sheet name="DCF" sheetId="5" r:id="rId3"/>
    <sheet name="WACC" sheetId="8" r:id="rId4"/>
    <sheet name="IS" sheetId="2" r:id="rId5"/>
    <sheet name="Sheet1" sheetId="9" r:id="rId6"/>
    <sheet name="Sheet2" sheetId="14" r:id="rId7"/>
    <sheet name="Sheet4" sheetId="13" r:id="rId8"/>
    <sheet name="Historical stock prices" sheetId="11" r:id="rId9"/>
    <sheet name="CFS" sheetId="3" r:id="rId10"/>
    <sheet name="Historical CFS" sheetId="4" r:id="rId11"/>
  </sheets>
  <definedNames>
    <definedName name="hello">DCF!$D$16</definedName>
    <definedName name="tgr">DCF!$D$17</definedName>
    <definedName name="wacc">DCF!$D$16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5" l="1"/>
  <c r="Q81" i="5" s="1"/>
  <c r="R81" i="5" s="1"/>
  <c r="S81" i="5" s="1"/>
  <c r="T81" i="5" s="1"/>
  <c r="U81" i="5" s="1"/>
  <c r="L16" i="5" l="1"/>
  <c r="F66" i="8"/>
  <c r="F64" i="8"/>
  <c r="F61" i="8"/>
  <c r="F44" i="8"/>
  <c r="D44" i="8"/>
  <c r="U55" i="5"/>
  <c r="U53" i="5"/>
  <c r="U88" i="5" l="1"/>
  <c r="U87" i="5"/>
  <c r="P17" i="5"/>
  <c r="H17" i="5"/>
  <c r="P16" i="5"/>
  <c r="H16" i="5"/>
  <c r="F72" i="8"/>
  <c r="F54" i="8"/>
  <c r="F71" i="8"/>
  <c r="F70" i="8"/>
  <c r="F69" i="8"/>
  <c r="F62" i="8"/>
  <c r="F77" i="8" s="1"/>
  <c r="R43" i="5"/>
  <c r="S43" i="5" s="1"/>
  <c r="T43" i="5" s="1"/>
  <c r="U43" i="5" s="1"/>
  <c r="Q75" i="5"/>
  <c r="R75" i="5"/>
  <c r="S75" i="5"/>
  <c r="T75" i="5"/>
  <c r="U75" i="5"/>
  <c r="P75" i="5"/>
  <c r="K24" i="14" l="1"/>
  <c r="K26" i="14" s="1"/>
  <c r="L28" i="14" s="1"/>
  <c r="H26" i="14"/>
  <c r="I26" i="14"/>
  <c r="J26" i="14"/>
  <c r="L26" i="14"/>
  <c r="L17" i="14"/>
  <c r="I3" i="14"/>
  <c r="H3" i="14"/>
  <c r="H24" i="14"/>
  <c r="I24" i="14"/>
  <c r="J24" i="14"/>
  <c r="H13" i="14"/>
  <c r="I13" i="14"/>
  <c r="J13" i="14"/>
  <c r="K13" i="14"/>
  <c r="L24" i="14"/>
  <c r="L13" i="14"/>
  <c r="J3" i="14"/>
  <c r="K3" i="14"/>
  <c r="L3" i="14"/>
  <c r="L10" i="14"/>
  <c r="L5" i="14"/>
  <c r="L2" i="14"/>
  <c r="L8" i="14" s="1"/>
  <c r="I5" i="14"/>
  <c r="J5" i="14" s="1"/>
  <c r="K5" i="14" s="1"/>
  <c r="P54" i="5"/>
  <c r="P48" i="5"/>
  <c r="R33" i="5"/>
  <c r="S33" i="5"/>
  <c r="U33" i="5"/>
  <c r="Q26" i="5"/>
  <c r="R26" i="5" s="1"/>
  <c r="P22" i="5"/>
  <c r="M2" i="14" s="1"/>
  <c r="Q23" i="5"/>
  <c r="Q48" i="5" s="1"/>
  <c r="Q49" i="5" l="1"/>
  <c r="Q46" i="5" s="1"/>
  <c r="Q47" i="5"/>
  <c r="P47" i="5"/>
  <c r="P55" i="5"/>
  <c r="P52" i="5" s="1"/>
  <c r="P53" i="5"/>
  <c r="P25" i="5"/>
  <c r="P51" i="5" s="1"/>
  <c r="P32" i="5"/>
  <c r="M5" i="14"/>
  <c r="N5" i="14" s="1"/>
  <c r="O5" i="14" s="1"/>
  <c r="P5" i="14" s="1"/>
  <c r="Q5" i="14" s="1"/>
  <c r="R5" i="14" s="1"/>
  <c r="L12" i="14"/>
  <c r="L23" i="14"/>
  <c r="S26" i="5"/>
  <c r="R54" i="5"/>
  <c r="Q54" i="5"/>
  <c r="Q22" i="5"/>
  <c r="N2" i="14" s="1"/>
  <c r="R23" i="5"/>
  <c r="R55" i="5" l="1"/>
  <c r="S55" i="5" s="1"/>
  <c r="T55" i="5" s="1"/>
  <c r="R53" i="5"/>
  <c r="S53" i="5" s="1"/>
  <c r="T53" i="5" s="1"/>
  <c r="Q55" i="5"/>
  <c r="Q53" i="5"/>
  <c r="Q52" i="5"/>
  <c r="S23" i="5"/>
  <c r="R48" i="5"/>
  <c r="T26" i="5"/>
  <c r="S54" i="5"/>
  <c r="Q32" i="5"/>
  <c r="Q62" i="5" s="1"/>
  <c r="R22" i="5"/>
  <c r="O2" i="14" s="1"/>
  <c r="F4" i="11"/>
  <c r="E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0" i="11"/>
  <c r="F110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E122" i="11"/>
  <c r="F122" i="11"/>
  <c r="E123" i="11"/>
  <c r="F123" i="11"/>
  <c r="E124" i="11"/>
  <c r="F124" i="11"/>
  <c r="E125" i="11"/>
  <c r="F125" i="11"/>
  <c r="E126" i="11"/>
  <c r="F126" i="11"/>
  <c r="E127" i="11"/>
  <c r="F127" i="11"/>
  <c r="E128" i="11"/>
  <c r="F128" i="11"/>
  <c r="E129" i="11"/>
  <c r="F129" i="11"/>
  <c r="E130" i="11"/>
  <c r="F130" i="11"/>
  <c r="E131" i="11"/>
  <c r="F131" i="11"/>
  <c r="E132" i="11"/>
  <c r="F132" i="11"/>
  <c r="E133" i="11"/>
  <c r="F133" i="11"/>
  <c r="E134" i="11"/>
  <c r="F134" i="11"/>
  <c r="E135" i="11"/>
  <c r="F135" i="11"/>
  <c r="E136" i="11"/>
  <c r="F136" i="11"/>
  <c r="E137" i="11"/>
  <c r="F137" i="11"/>
  <c r="E138" i="11"/>
  <c r="F138" i="11"/>
  <c r="E139" i="11"/>
  <c r="F139" i="11"/>
  <c r="E140" i="11"/>
  <c r="F140" i="11"/>
  <c r="E141" i="11"/>
  <c r="F141" i="11"/>
  <c r="E142" i="11"/>
  <c r="F142" i="11"/>
  <c r="E143" i="11"/>
  <c r="F143" i="11"/>
  <c r="E144" i="11"/>
  <c r="F144" i="11"/>
  <c r="E145" i="11"/>
  <c r="F145" i="11"/>
  <c r="E146" i="11"/>
  <c r="F146" i="11"/>
  <c r="E147" i="11"/>
  <c r="F147" i="11"/>
  <c r="E148" i="11"/>
  <c r="F148" i="11"/>
  <c r="E149" i="11"/>
  <c r="F149" i="11"/>
  <c r="E150" i="11"/>
  <c r="F150" i="11"/>
  <c r="E151" i="11"/>
  <c r="F151" i="11"/>
  <c r="E152" i="11"/>
  <c r="F152" i="11"/>
  <c r="E153" i="11"/>
  <c r="F153" i="11"/>
  <c r="E154" i="11"/>
  <c r="F154" i="11"/>
  <c r="E155" i="11"/>
  <c r="F155" i="11"/>
  <c r="E156" i="11"/>
  <c r="F156" i="11"/>
  <c r="E157" i="11"/>
  <c r="F157" i="11"/>
  <c r="E158" i="11"/>
  <c r="F158" i="11"/>
  <c r="E159" i="11"/>
  <c r="F159" i="11"/>
  <c r="E160" i="11"/>
  <c r="F160" i="11"/>
  <c r="E161" i="11"/>
  <c r="F161" i="11"/>
  <c r="E162" i="11"/>
  <c r="F162" i="11"/>
  <c r="E163" i="11"/>
  <c r="F163" i="11"/>
  <c r="E164" i="11"/>
  <c r="F164" i="11"/>
  <c r="E165" i="11"/>
  <c r="F165" i="11"/>
  <c r="E166" i="11"/>
  <c r="F166" i="11"/>
  <c r="E167" i="11"/>
  <c r="F167" i="11"/>
  <c r="E168" i="11"/>
  <c r="F168" i="11"/>
  <c r="E169" i="11"/>
  <c r="F169" i="11"/>
  <c r="E170" i="11"/>
  <c r="F170" i="11"/>
  <c r="E171" i="11"/>
  <c r="F171" i="11"/>
  <c r="E172" i="11"/>
  <c r="F172" i="11"/>
  <c r="E173" i="11"/>
  <c r="F173" i="11"/>
  <c r="E174" i="11"/>
  <c r="F174" i="11"/>
  <c r="E175" i="11"/>
  <c r="F175" i="11"/>
  <c r="E176" i="11"/>
  <c r="F176" i="11"/>
  <c r="E177" i="11"/>
  <c r="F177" i="11"/>
  <c r="E178" i="11"/>
  <c r="F178" i="11"/>
  <c r="E179" i="11"/>
  <c r="F179" i="11"/>
  <c r="E180" i="11"/>
  <c r="F180" i="11"/>
  <c r="E181" i="11"/>
  <c r="F181" i="11"/>
  <c r="E182" i="11"/>
  <c r="F182" i="11"/>
  <c r="E183" i="11"/>
  <c r="F183" i="11"/>
  <c r="E184" i="11"/>
  <c r="F184" i="11"/>
  <c r="E185" i="11"/>
  <c r="F185" i="11"/>
  <c r="E186" i="11"/>
  <c r="F186" i="11"/>
  <c r="E187" i="11"/>
  <c r="F187" i="11"/>
  <c r="E188" i="11"/>
  <c r="F188" i="11"/>
  <c r="E189" i="11"/>
  <c r="F189" i="11"/>
  <c r="E190" i="11"/>
  <c r="F190" i="11"/>
  <c r="E191" i="11"/>
  <c r="F191" i="11"/>
  <c r="E192" i="11"/>
  <c r="F192" i="11"/>
  <c r="E193" i="11"/>
  <c r="F193" i="11"/>
  <c r="E194" i="11"/>
  <c r="F194" i="11"/>
  <c r="E195" i="11"/>
  <c r="F195" i="11"/>
  <c r="E196" i="11"/>
  <c r="F196" i="11"/>
  <c r="E197" i="11"/>
  <c r="F197" i="11"/>
  <c r="E198" i="11"/>
  <c r="F198" i="11"/>
  <c r="E199" i="11"/>
  <c r="F199" i="11"/>
  <c r="E200" i="11"/>
  <c r="F200" i="11"/>
  <c r="E201" i="11"/>
  <c r="F201" i="11"/>
  <c r="E202" i="11"/>
  <c r="F202" i="11"/>
  <c r="E203" i="11"/>
  <c r="F203" i="11"/>
  <c r="E204" i="11"/>
  <c r="F204" i="11"/>
  <c r="E205" i="11"/>
  <c r="F205" i="11"/>
  <c r="E206" i="11"/>
  <c r="F206" i="11"/>
  <c r="E207" i="11"/>
  <c r="F207" i="11"/>
  <c r="E208" i="11"/>
  <c r="F208" i="11"/>
  <c r="E209" i="11"/>
  <c r="F209" i="11"/>
  <c r="E210" i="11"/>
  <c r="F210" i="11"/>
  <c r="E211" i="11"/>
  <c r="F211" i="11"/>
  <c r="E212" i="11"/>
  <c r="F212" i="11"/>
  <c r="E213" i="11"/>
  <c r="F213" i="11"/>
  <c r="E214" i="11"/>
  <c r="F214" i="11"/>
  <c r="E215" i="11"/>
  <c r="F215" i="11"/>
  <c r="E216" i="11"/>
  <c r="F216" i="11"/>
  <c r="E217" i="11"/>
  <c r="F217" i="11"/>
  <c r="E218" i="11"/>
  <c r="F218" i="11"/>
  <c r="E219" i="11"/>
  <c r="F219" i="11"/>
  <c r="E220" i="11"/>
  <c r="F220" i="11"/>
  <c r="E221" i="11"/>
  <c r="F221" i="11"/>
  <c r="E222" i="11"/>
  <c r="F222" i="11"/>
  <c r="E223" i="11"/>
  <c r="F223" i="11"/>
  <c r="E224" i="11"/>
  <c r="F224" i="11"/>
  <c r="E225" i="11"/>
  <c r="F225" i="11"/>
  <c r="E226" i="11"/>
  <c r="F226" i="11"/>
  <c r="E227" i="11"/>
  <c r="F227" i="11"/>
  <c r="E228" i="11"/>
  <c r="F228" i="11"/>
  <c r="E229" i="11"/>
  <c r="F229" i="11"/>
  <c r="E230" i="11"/>
  <c r="F230" i="11"/>
  <c r="E231" i="11"/>
  <c r="F231" i="11"/>
  <c r="E232" i="11"/>
  <c r="F232" i="11"/>
  <c r="E233" i="11"/>
  <c r="F233" i="11"/>
  <c r="E234" i="11"/>
  <c r="F234" i="11"/>
  <c r="E235" i="11"/>
  <c r="F235" i="11"/>
  <c r="E236" i="11"/>
  <c r="F236" i="11"/>
  <c r="E237" i="11"/>
  <c r="F237" i="11"/>
  <c r="E238" i="11"/>
  <c r="F238" i="11"/>
  <c r="E239" i="11"/>
  <c r="F239" i="11"/>
  <c r="E240" i="11"/>
  <c r="F240" i="11"/>
  <c r="E241" i="11"/>
  <c r="F241" i="11"/>
  <c r="E242" i="11"/>
  <c r="F242" i="11"/>
  <c r="E243" i="11"/>
  <c r="F243" i="11"/>
  <c r="E244" i="11"/>
  <c r="F244" i="11"/>
  <c r="E245" i="11"/>
  <c r="F245" i="11"/>
  <c r="E246" i="11"/>
  <c r="F246" i="11"/>
  <c r="E247" i="11"/>
  <c r="F247" i="11"/>
  <c r="E248" i="11"/>
  <c r="F248" i="11"/>
  <c r="E249" i="11"/>
  <c r="F249" i="11"/>
  <c r="E250" i="11"/>
  <c r="F250" i="11"/>
  <c r="E251" i="11"/>
  <c r="F251" i="11"/>
  <c r="E252" i="11"/>
  <c r="F252" i="11"/>
  <c r="E253" i="11"/>
  <c r="F253" i="11"/>
  <c r="E254" i="11"/>
  <c r="F254" i="11"/>
  <c r="E255" i="11"/>
  <c r="F255" i="11"/>
  <c r="E256" i="11"/>
  <c r="F256" i="11"/>
  <c r="E257" i="11"/>
  <c r="F257" i="11"/>
  <c r="E258" i="11"/>
  <c r="F258" i="11"/>
  <c r="E259" i="11"/>
  <c r="F259" i="11"/>
  <c r="E260" i="11"/>
  <c r="F260" i="11"/>
  <c r="E261" i="11"/>
  <c r="F261" i="11"/>
  <c r="E262" i="11"/>
  <c r="F262" i="11"/>
  <c r="E263" i="11"/>
  <c r="F263" i="11"/>
  <c r="E264" i="11"/>
  <c r="F264" i="11"/>
  <c r="S52" i="5" l="1"/>
  <c r="R52" i="5"/>
  <c r="R47" i="5"/>
  <c r="R49" i="5"/>
  <c r="R46" i="5" s="1"/>
  <c r="R32" i="5"/>
  <c r="R62" i="5" s="1"/>
  <c r="S22" i="5"/>
  <c r="P2" i="14" s="1"/>
  <c r="U26" i="5"/>
  <c r="T54" i="5"/>
  <c r="T52" i="5" s="1"/>
  <c r="T23" i="5"/>
  <c r="S48" i="5"/>
  <c r="E31" i="8"/>
  <c r="U54" i="5" l="1"/>
  <c r="U52" i="5" s="1"/>
  <c r="L13" i="5"/>
  <c r="U23" i="5"/>
  <c r="T48" i="5"/>
  <c r="T22" i="5"/>
  <c r="Q2" i="14" s="1"/>
  <c r="S32" i="5"/>
  <c r="S62" i="5" s="1"/>
  <c r="P36" i="5"/>
  <c r="N63" i="5"/>
  <c r="O63" i="5"/>
  <c r="U48" i="5" l="1"/>
  <c r="L11" i="5"/>
  <c r="P68" i="5"/>
  <c r="P34" i="5"/>
  <c r="U22" i="5"/>
  <c r="R2" i="14" s="1"/>
  <c r="T32" i="5"/>
  <c r="T62" i="5" s="1"/>
  <c r="D45" i="8"/>
  <c r="D41" i="8"/>
  <c r="E34" i="8"/>
  <c r="E35" i="8" s="1"/>
  <c r="G10" i="8"/>
  <c r="G24" i="8"/>
  <c r="G23" i="8"/>
  <c r="G18" i="8"/>
  <c r="G17" i="8"/>
  <c r="G16" i="8"/>
  <c r="F53" i="8"/>
  <c r="P11" i="5" l="1"/>
  <c r="U49" i="5" s="1"/>
  <c r="S49" i="5" s="1"/>
  <c r="H11" i="5"/>
  <c r="U47" i="5" s="1"/>
  <c r="S47" i="5" s="1"/>
  <c r="T47" i="5" s="1"/>
  <c r="F60" i="8"/>
  <c r="U32" i="5"/>
  <c r="U62" i="5" s="1"/>
  <c r="D46" i="8"/>
  <c r="F45" i="8" s="1"/>
  <c r="G19" i="8"/>
  <c r="G21" i="8" s="1"/>
  <c r="U46" i="5" l="1"/>
  <c r="T49" i="5"/>
  <c r="T46" i="5" s="1"/>
  <c r="S46" i="5"/>
  <c r="C48" i="8"/>
  <c r="M39" i="5" l="1"/>
  <c r="H11" i="9" l="1"/>
  <c r="O44" i="9"/>
  <c r="P44" i="9"/>
  <c r="Q44" i="9"/>
  <c r="P41" i="9"/>
  <c r="Q41" i="9"/>
  <c r="P37" i="9"/>
  <c r="Q37" i="9"/>
  <c r="P33" i="9"/>
  <c r="Q33" i="9"/>
  <c r="N6" i="9"/>
  <c r="O6" i="9"/>
  <c r="O3" i="9"/>
  <c r="G36" i="9"/>
  <c r="F2" i="9"/>
  <c r="G2" i="9" s="1"/>
  <c r="E39" i="5"/>
  <c r="G44" i="9" s="1"/>
  <c r="O25" i="9" l="1"/>
  <c r="H12" i="9"/>
  <c r="P50" i="9"/>
  <c r="O7" i="9"/>
  <c r="P34" i="9"/>
  <c r="Q45" i="9"/>
  <c r="P45" i="9"/>
  <c r="Q34" i="9"/>
  <c r="Q38" i="9"/>
  <c r="P39" i="9"/>
  <c r="Q39" i="9"/>
  <c r="Q42" i="9"/>
  <c r="I36" i="9"/>
  <c r="H2" i="9"/>
  <c r="H36" i="9"/>
  <c r="H13" i="9" l="1"/>
  <c r="J36" i="9"/>
  <c r="I2" i="9"/>
  <c r="H14" i="9" l="1"/>
  <c r="K36" i="9"/>
  <c r="J2" i="9"/>
  <c r="H15" i="9" l="1"/>
  <c r="K2" i="9"/>
  <c r="L36" i="9"/>
  <c r="E22" i="5"/>
  <c r="E32" i="5"/>
  <c r="O58" i="5"/>
  <c r="N58" i="5"/>
  <c r="O45" i="5"/>
  <c r="N22" i="5"/>
  <c r="N40" i="5"/>
  <c r="O40" i="5"/>
  <c r="O33" i="5"/>
  <c r="N34" i="5"/>
  <c r="O34" i="5"/>
  <c r="M36" i="5"/>
  <c r="O41" i="9" s="1"/>
  <c r="N3" i="9" l="1"/>
  <c r="I19" i="9" s="1"/>
  <c r="O41" i="5"/>
  <c r="K2" i="14"/>
  <c r="H16" i="9"/>
  <c r="O69" i="5"/>
  <c r="P37" i="5"/>
  <c r="G37" i="9"/>
  <c r="E45" i="5"/>
  <c r="E3" i="9"/>
  <c r="P42" i="9"/>
  <c r="Q46" i="9"/>
  <c r="P38" i="9"/>
  <c r="N7" i="9"/>
  <c r="O4" i="9"/>
  <c r="N33" i="5"/>
  <c r="N45" i="5"/>
  <c r="L2" i="9"/>
  <c r="M36" i="9"/>
  <c r="O52" i="5"/>
  <c r="E33" i="5"/>
  <c r="O23" i="5"/>
  <c r="K12" i="14" l="1"/>
  <c r="K23" i="14"/>
  <c r="P71" i="5"/>
  <c r="Q37" i="5"/>
  <c r="H17" i="9"/>
  <c r="O75" i="5"/>
  <c r="N69" i="5"/>
  <c r="N52" i="5"/>
  <c r="O46" i="5"/>
  <c r="I10" i="9"/>
  <c r="G38" i="9"/>
  <c r="G45" i="9"/>
  <c r="N36" i="9"/>
  <c r="M2" i="9"/>
  <c r="P70" i="5" l="1"/>
  <c r="Q71" i="5"/>
  <c r="R37" i="5"/>
  <c r="Q36" i="5"/>
  <c r="Q68" i="5" s="1"/>
  <c r="H18" i="9"/>
  <c r="N2" i="9"/>
  <c r="O36" i="9"/>
  <c r="D17" i="5"/>
  <c r="S37" i="5" l="1"/>
  <c r="R71" i="5"/>
  <c r="R36" i="5"/>
  <c r="R68" i="5" s="1"/>
  <c r="H19" i="9"/>
  <c r="O2" i="9"/>
  <c r="Q36" i="9" s="1"/>
  <c r="P36" i="9"/>
  <c r="M74" i="5"/>
  <c r="L39" i="5"/>
  <c r="K39" i="5"/>
  <c r="J39" i="5"/>
  <c r="I39" i="5"/>
  <c r="H39" i="5"/>
  <c r="G39" i="5"/>
  <c r="F39" i="5"/>
  <c r="E74" i="5"/>
  <c r="E31" i="5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M68" i="5"/>
  <c r="L36" i="5"/>
  <c r="K36" i="5"/>
  <c r="J36" i="5"/>
  <c r="I36" i="5"/>
  <c r="H36" i="5"/>
  <c r="G36" i="5"/>
  <c r="F36" i="5"/>
  <c r="E36" i="5"/>
  <c r="M32" i="5"/>
  <c r="L32" i="5"/>
  <c r="K32" i="5"/>
  <c r="J32" i="5"/>
  <c r="I32" i="5"/>
  <c r="H32" i="5"/>
  <c r="G32" i="5"/>
  <c r="F32" i="5"/>
  <c r="M28" i="5"/>
  <c r="L28" i="5"/>
  <c r="K28" i="5"/>
  <c r="J28" i="5"/>
  <c r="I28" i="5"/>
  <c r="H28" i="5"/>
  <c r="G28" i="5"/>
  <c r="F28" i="5"/>
  <c r="E28" i="5"/>
  <c r="M25" i="5"/>
  <c r="L25" i="5"/>
  <c r="K25" i="5"/>
  <c r="J25" i="5"/>
  <c r="I25" i="5"/>
  <c r="H25" i="5"/>
  <c r="G25" i="5"/>
  <c r="F25" i="5"/>
  <c r="E25" i="5"/>
  <c r="M22" i="5"/>
  <c r="J2" i="14" s="1"/>
  <c r="L22" i="5"/>
  <c r="I2" i="14" s="1"/>
  <c r="K22" i="5"/>
  <c r="H2" i="14" s="1"/>
  <c r="J22" i="5"/>
  <c r="I22" i="5"/>
  <c r="H22" i="5"/>
  <c r="G22" i="5"/>
  <c r="F22" i="5"/>
  <c r="R20" i="5"/>
  <c r="S20" i="5" s="1"/>
  <c r="T20" i="5" s="1"/>
  <c r="U20" i="5" s="1"/>
  <c r="F21" i="5"/>
  <c r="G21" i="5" s="1"/>
  <c r="H21" i="5" s="1"/>
  <c r="I21" i="5" s="1"/>
  <c r="J21" i="5" s="1"/>
  <c r="K21" i="5" s="1"/>
  <c r="L21" i="5" s="1"/>
  <c r="M21" i="5" s="1"/>
  <c r="N21" i="5" s="1"/>
  <c r="O21" i="5" s="1"/>
  <c r="I23" i="14" l="1"/>
  <c r="I12" i="14"/>
  <c r="H23" i="14"/>
  <c r="H12" i="14"/>
  <c r="J12" i="14"/>
  <c r="J23" i="14"/>
  <c r="T37" i="5"/>
  <c r="S71" i="5"/>
  <c r="S36" i="5"/>
  <c r="S68" i="5" s="1"/>
  <c r="T18" i="9"/>
  <c r="F74" i="5"/>
  <c r="H44" i="9"/>
  <c r="O37" i="9"/>
  <c r="M33" i="5"/>
  <c r="M34" i="5"/>
  <c r="K57" i="5"/>
  <c r="M33" i="9"/>
  <c r="M50" i="9" s="1"/>
  <c r="G74" i="5"/>
  <c r="I44" i="9"/>
  <c r="M37" i="9"/>
  <c r="K33" i="5"/>
  <c r="K34" i="5"/>
  <c r="L3" i="9"/>
  <c r="I17" i="9" s="1"/>
  <c r="L23" i="5"/>
  <c r="L45" i="5"/>
  <c r="L57" i="5"/>
  <c r="N33" i="9"/>
  <c r="N50" i="9" s="1"/>
  <c r="H74" i="5"/>
  <c r="J44" i="9"/>
  <c r="I3" i="9"/>
  <c r="I14" i="9" s="1"/>
  <c r="I45" i="5"/>
  <c r="I57" i="5"/>
  <c r="K33" i="9"/>
  <c r="K50" i="9" s="1"/>
  <c r="I74" i="5"/>
  <c r="K44" i="9"/>
  <c r="K37" i="9"/>
  <c r="I33" i="5"/>
  <c r="I34" i="5"/>
  <c r="J3" i="9"/>
  <c r="I15" i="9" s="1"/>
  <c r="J45" i="5"/>
  <c r="F51" i="5"/>
  <c r="F6" i="9"/>
  <c r="G51" i="5"/>
  <c r="G6" i="9"/>
  <c r="H51" i="5"/>
  <c r="H6" i="9"/>
  <c r="E68" i="5"/>
  <c r="E63" i="5" s="1"/>
  <c r="G41" i="9"/>
  <c r="E34" i="5"/>
  <c r="J74" i="5"/>
  <c r="L44" i="9"/>
  <c r="E57" i="5"/>
  <c r="G33" i="9"/>
  <c r="G50" i="9" s="1"/>
  <c r="F57" i="5"/>
  <c r="H33" i="9"/>
  <c r="H50" i="9" s="1"/>
  <c r="H57" i="5"/>
  <c r="J33" i="9"/>
  <c r="M3" i="9"/>
  <c r="I18" i="9" s="1"/>
  <c r="M23" i="5"/>
  <c r="M45" i="5"/>
  <c r="M69" i="5" s="1"/>
  <c r="N23" i="5"/>
  <c r="N41" i="5"/>
  <c r="E51" i="5"/>
  <c r="E52" i="5" s="1"/>
  <c r="E6" i="9"/>
  <c r="I51" i="5"/>
  <c r="I6" i="9"/>
  <c r="F68" i="5"/>
  <c r="F63" i="5" s="1"/>
  <c r="H41" i="9"/>
  <c r="K74" i="5"/>
  <c r="M44" i="9"/>
  <c r="H3" i="9"/>
  <c r="I13" i="9" s="1"/>
  <c r="H45" i="5"/>
  <c r="G57" i="5"/>
  <c r="I33" i="9"/>
  <c r="I50" i="9" s="1"/>
  <c r="K3" i="9"/>
  <c r="I16" i="9" s="1"/>
  <c r="K45" i="5"/>
  <c r="J57" i="5"/>
  <c r="L33" i="9"/>
  <c r="L50" i="9" s="1"/>
  <c r="M57" i="5"/>
  <c r="O33" i="9"/>
  <c r="O50" i="9" s="1"/>
  <c r="J51" i="5"/>
  <c r="J6" i="9"/>
  <c r="G68" i="5"/>
  <c r="G63" i="5" s="1"/>
  <c r="I41" i="9"/>
  <c r="L74" i="5"/>
  <c r="N44" i="9"/>
  <c r="L68" i="5"/>
  <c r="L63" i="5" s="1"/>
  <c r="N41" i="9"/>
  <c r="K51" i="5"/>
  <c r="K6" i="9"/>
  <c r="L37" i="9"/>
  <c r="J33" i="5"/>
  <c r="J34" i="5"/>
  <c r="N37" i="9"/>
  <c r="L33" i="5"/>
  <c r="L34" i="5"/>
  <c r="L51" i="5"/>
  <c r="L6" i="9"/>
  <c r="H37" i="9"/>
  <c r="F34" i="5"/>
  <c r="F33" i="5"/>
  <c r="I68" i="5"/>
  <c r="I63" i="5" s="1"/>
  <c r="K41" i="9"/>
  <c r="F3" i="9"/>
  <c r="I11" i="9" s="1"/>
  <c r="F45" i="5"/>
  <c r="F46" i="5" s="1"/>
  <c r="M51" i="5"/>
  <c r="M6" i="9"/>
  <c r="I37" i="9"/>
  <c r="G33" i="5"/>
  <c r="G34" i="5"/>
  <c r="J68" i="5"/>
  <c r="J63" i="5" s="1"/>
  <c r="L41" i="9"/>
  <c r="H68" i="5"/>
  <c r="H63" i="5" s="1"/>
  <c r="J41" i="9"/>
  <c r="G3" i="9"/>
  <c r="I12" i="9" s="1"/>
  <c r="G45" i="5"/>
  <c r="J37" i="9"/>
  <c r="H33" i="5"/>
  <c r="H34" i="5"/>
  <c r="K68" i="5"/>
  <c r="M41" i="9"/>
  <c r="S31" i="5"/>
  <c r="M63" i="5"/>
  <c r="K26" i="5"/>
  <c r="G37" i="5"/>
  <c r="I37" i="5"/>
  <c r="Q34" i="5"/>
  <c r="Q65" i="5" s="1"/>
  <c r="Q64" i="5" s="1"/>
  <c r="O37" i="5"/>
  <c r="F41" i="5"/>
  <c r="H37" i="5"/>
  <c r="J37" i="5"/>
  <c r="I40" i="5"/>
  <c r="R34" i="5"/>
  <c r="R65" i="5" s="1"/>
  <c r="R64" i="5" s="1"/>
  <c r="E37" i="5"/>
  <c r="M37" i="5"/>
  <c r="N37" i="5"/>
  <c r="K41" i="5"/>
  <c r="K37" i="5"/>
  <c r="E29" i="5"/>
  <c r="H31" i="5"/>
  <c r="L40" i="5"/>
  <c r="H41" i="5"/>
  <c r="F37" i="5"/>
  <c r="L37" i="5"/>
  <c r="I31" i="5"/>
  <c r="E40" i="5"/>
  <c r="M41" i="5"/>
  <c r="G41" i="5"/>
  <c r="J41" i="5"/>
  <c r="P31" i="5"/>
  <c r="I41" i="5"/>
  <c r="L41" i="5"/>
  <c r="L31" i="5"/>
  <c r="M40" i="5"/>
  <c r="R31" i="5"/>
  <c r="K40" i="5"/>
  <c r="F40" i="5"/>
  <c r="F31" i="5"/>
  <c r="N31" i="5"/>
  <c r="G40" i="5"/>
  <c r="Q31" i="5"/>
  <c r="J40" i="5"/>
  <c r="J31" i="5"/>
  <c r="K31" i="5"/>
  <c r="M31" i="5"/>
  <c r="G31" i="5"/>
  <c r="O31" i="5"/>
  <c r="H40" i="5"/>
  <c r="M29" i="5"/>
  <c r="O26" i="5"/>
  <c r="L26" i="5"/>
  <c r="E26" i="5"/>
  <c r="I23" i="5"/>
  <c r="G29" i="5"/>
  <c r="O29" i="5"/>
  <c r="N29" i="5"/>
  <c r="J23" i="5"/>
  <c r="J26" i="5"/>
  <c r="H23" i="5"/>
  <c r="F29" i="5"/>
  <c r="K23" i="5"/>
  <c r="K29" i="5"/>
  <c r="L29" i="5"/>
  <c r="I26" i="5"/>
  <c r="G26" i="5"/>
  <c r="H26" i="5"/>
  <c r="G23" i="5"/>
  <c r="J29" i="5"/>
  <c r="M26" i="5"/>
  <c r="F26" i="5"/>
  <c r="N26" i="5"/>
  <c r="H29" i="5"/>
  <c r="I29" i="5"/>
  <c r="F23" i="5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P29" i="5" l="1"/>
  <c r="P41" i="5"/>
  <c r="M58" i="5"/>
  <c r="P58" i="5" s="1"/>
  <c r="E58" i="5"/>
  <c r="I52" i="5"/>
  <c r="E69" i="5"/>
  <c r="H58" i="5"/>
  <c r="S34" i="5"/>
  <c r="S65" i="5" s="1"/>
  <c r="G52" i="5"/>
  <c r="G58" i="5"/>
  <c r="J46" i="5"/>
  <c r="U37" i="5"/>
  <c r="T71" i="5"/>
  <c r="T36" i="5"/>
  <c r="I20" i="9"/>
  <c r="I21" i="9"/>
  <c r="I7" i="9"/>
  <c r="I25" i="9"/>
  <c r="T13" i="9"/>
  <c r="E7" i="9"/>
  <c r="T9" i="9"/>
  <c r="P52" i="9"/>
  <c r="H25" i="9"/>
  <c r="T12" i="9"/>
  <c r="K25" i="9"/>
  <c r="T15" i="9"/>
  <c r="J25" i="9"/>
  <c r="T14" i="9"/>
  <c r="M25" i="9"/>
  <c r="N25" i="9"/>
  <c r="T17" i="9"/>
  <c r="L25" i="9"/>
  <c r="T16" i="9"/>
  <c r="G25" i="9"/>
  <c r="T11" i="9"/>
  <c r="F25" i="9"/>
  <c r="T10" i="9"/>
  <c r="K58" i="5"/>
  <c r="F75" i="5"/>
  <c r="F7" i="9"/>
  <c r="L58" i="5"/>
  <c r="J34" i="9"/>
  <c r="J50" i="9"/>
  <c r="P53" i="9" s="1"/>
  <c r="N42" i="9"/>
  <c r="H75" i="5"/>
  <c r="L42" i="9"/>
  <c r="I34" i="9"/>
  <c r="L46" i="5"/>
  <c r="K7" i="9"/>
  <c r="L7" i="9"/>
  <c r="M42" i="9"/>
  <c r="O34" i="9"/>
  <c r="K69" i="5"/>
  <c r="J58" i="5"/>
  <c r="I58" i="5"/>
  <c r="L34" i="9"/>
  <c r="K75" i="5"/>
  <c r="G34" i="9"/>
  <c r="I69" i="5"/>
  <c r="G69" i="5"/>
  <c r="H46" i="5"/>
  <c r="F52" i="5"/>
  <c r="L75" i="5"/>
  <c r="J42" i="9"/>
  <c r="J7" i="9"/>
  <c r="J52" i="5"/>
  <c r="H7" i="9"/>
  <c r="H69" i="5"/>
  <c r="F4" i="9"/>
  <c r="G75" i="5"/>
  <c r="K42" i="9"/>
  <c r="H4" i="9"/>
  <c r="H34" i="9"/>
  <c r="J4" i="9"/>
  <c r="L4" i="9"/>
  <c r="F58" i="5"/>
  <c r="N46" i="9"/>
  <c r="N45" i="9"/>
  <c r="M45" i="9"/>
  <c r="M46" i="9"/>
  <c r="J69" i="5"/>
  <c r="G46" i="5"/>
  <c r="I42" i="9"/>
  <c r="H42" i="9"/>
  <c r="K39" i="9"/>
  <c r="K38" i="9"/>
  <c r="M38" i="9"/>
  <c r="M39" i="9"/>
  <c r="M4" i="9"/>
  <c r="O46" i="9"/>
  <c r="P46" i="9"/>
  <c r="O42" i="9"/>
  <c r="N4" i="9"/>
  <c r="G4" i="9"/>
  <c r="H38" i="9"/>
  <c r="H39" i="9"/>
  <c r="L46" i="9"/>
  <c r="L45" i="9"/>
  <c r="K46" i="9"/>
  <c r="K45" i="9"/>
  <c r="I46" i="9"/>
  <c r="I45" i="9"/>
  <c r="J38" i="9"/>
  <c r="J39" i="9"/>
  <c r="M52" i="5"/>
  <c r="L52" i="5"/>
  <c r="K63" i="5"/>
  <c r="K34" i="9"/>
  <c r="M34" i="9"/>
  <c r="G42" i="9"/>
  <c r="G39" i="9"/>
  <c r="F69" i="5"/>
  <c r="K52" i="5"/>
  <c r="H52" i="5"/>
  <c r="I46" i="5"/>
  <c r="L69" i="5"/>
  <c r="J75" i="5"/>
  <c r="J46" i="9"/>
  <c r="J45" i="9"/>
  <c r="O45" i="9"/>
  <c r="O38" i="9"/>
  <c r="O39" i="9"/>
  <c r="M75" i="5"/>
  <c r="I4" i="9"/>
  <c r="I39" i="9"/>
  <c r="I38" i="9"/>
  <c r="K46" i="5"/>
  <c r="M46" i="5"/>
  <c r="N46" i="5"/>
  <c r="N75" i="5"/>
  <c r="G7" i="9"/>
  <c r="H45" i="9"/>
  <c r="H46" i="9"/>
  <c r="N39" i="9"/>
  <c r="N38" i="9"/>
  <c r="I75" i="5"/>
  <c r="M7" i="9"/>
  <c r="L39" i="9"/>
  <c r="L38" i="9"/>
  <c r="K4" i="9"/>
  <c r="N34" i="9"/>
  <c r="T31" i="5"/>
  <c r="U31" i="5"/>
  <c r="Q66" i="5"/>
  <c r="R66" i="5"/>
  <c r="P72" i="5"/>
  <c r="P69" i="5" s="1"/>
  <c r="P49" i="5"/>
  <c r="P46" i="5" s="1"/>
  <c r="P45" i="5" s="1"/>
  <c r="P74" i="5" l="1"/>
  <c r="Q45" i="5"/>
  <c r="S66" i="5"/>
  <c r="S64" i="5"/>
  <c r="P39" i="5"/>
  <c r="Q41" i="5"/>
  <c r="Q4" i="9"/>
  <c r="T68" i="5"/>
  <c r="T34" i="5"/>
  <c r="T65" i="5" s="1"/>
  <c r="T64" i="5" s="1"/>
  <c r="T20" i="9"/>
  <c r="U71" i="5"/>
  <c r="U36" i="5"/>
  <c r="S7" i="9"/>
  <c r="Q29" i="5"/>
  <c r="R29" i="5" s="1"/>
  <c r="S29" i="5" s="1"/>
  <c r="T29" i="5" s="1"/>
  <c r="U29" i="5" s="1"/>
  <c r="P28" i="5"/>
  <c r="T19" i="9"/>
  <c r="R7" i="9"/>
  <c r="P54" i="9"/>
  <c r="Q74" i="5" l="1"/>
  <c r="R45" i="5"/>
  <c r="Q39" i="5"/>
  <c r="R41" i="5"/>
  <c r="P57" i="5"/>
  <c r="P60" i="5" s="1"/>
  <c r="Q58" i="5"/>
  <c r="R58" i="5" s="1"/>
  <c r="S58" i="5" s="1"/>
  <c r="T58" i="5" s="1"/>
  <c r="U58" i="5" s="1"/>
  <c r="U68" i="5"/>
  <c r="U34" i="5"/>
  <c r="T66" i="5"/>
  <c r="T63" i="5" s="1"/>
  <c r="R74" i="5" l="1"/>
  <c r="S45" i="5"/>
  <c r="S41" i="5"/>
  <c r="R39" i="5"/>
  <c r="U65" i="5"/>
  <c r="D16" i="5"/>
  <c r="S74" i="5" l="1"/>
  <c r="T45" i="5"/>
  <c r="U66" i="5"/>
  <c r="U64" i="5"/>
  <c r="T41" i="5"/>
  <c r="S39" i="5"/>
  <c r="U63" i="5"/>
  <c r="R63" i="5"/>
  <c r="Q63" i="5"/>
  <c r="S63" i="5"/>
  <c r="T74" i="5" l="1"/>
  <c r="U45" i="5"/>
  <c r="U74" i="5" s="1"/>
  <c r="U41" i="5"/>
  <c r="U39" i="5" s="1"/>
  <c r="T39" i="5"/>
  <c r="R25" i="5" l="1"/>
  <c r="S25" i="5"/>
  <c r="S72" i="5"/>
  <c r="R70" i="5"/>
  <c r="Q25" i="5"/>
  <c r="U70" i="5"/>
  <c r="U25" i="5"/>
  <c r="T25" i="5"/>
  <c r="T28" i="5" l="1"/>
  <c r="T57" i="5" s="1"/>
  <c r="T51" i="5"/>
  <c r="U28" i="5"/>
  <c r="U57" i="5" s="1"/>
  <c r="U51" i="5"/>
  <c r="Q28" i="5"/>
  <c r="Q57" i="5" s="1"/>
  <c r="Q51" i="5"/>
  <c r="S28" i="5"/>
  <c r="S57" i="5" s="1"/>
  <c r="S51" i="5"/>
  <c r="R28" i="5"/>
  <c r="R57" i="5" s="1"/>
  <c r="R51" i="5"/>
  <c r="Q70" i="5"/>
  <c r="Q72" i="5"/>
  <c r="R72" i="5"/>
  <c r="R69" i="5" s="1"/>
  <c r="U72" i="5"/>
  <c r="U69" i="5" s="1"/>
  <c r="S70" i="5"/>
  <c r="S69" i="5" s="1"/>
  <c r="T72" i="5"/>
  <c r="T70" i="5"/>
  <c r="T69" i="5" l="1"/>
  <c r="Q69" i="5"/>
  <c r="P65" i="5"/>
  <c r="P62" i="5"/>
  <c r="P77" i="5" s="1"/>
  <c r="P78" i="5" l="1"/>
  <c r="P66" i="5"/>
  <c r="P64" i="5"/>
  <c r="P63" i="5"/>
  <c r="S60" i="5" l="1"/>
  <c r="T60" i="5"/>
  <c r="Q60" i="5"/>
  <c r="U60" i="5"/>
  <c r="U77" i="5" s="1"/>
  <c r="T83" i="5" s="1"/>
  <c r="R60" i="5"/>
  <c r="T84" i="5" l="1"/>
  <c r="U78" i="5"/>
  <c r="T77" i="5"/>
  <c r="T78" i="5" s="1"/>
  <c r="R77" i="5"/>
  <c r="R78" i="5" s="1"/>
  <c r="S77" i="5"/>
  <c r="S78" i="5" s="1"/>
  <c r="Q77" i="5"/>
  <c r="Q78" i="5" l="1"/>
  <c r="T86" i="5" s="1"/>
  <c r="T89" i="5" l="1"/>
  <c r="T91" i="5" s="1"/>
  <c r="H4" i="5" s="1"/>
  <c r="M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A1" authorId="0" shapeId="0" xr:uid="{48B4B6DC-27F7-4B5D-92EB-98CC58A386C6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Timestamp="1668187392"&gt;&lt;FQL&gt;&lt;Q&gt;META-US^FE_ESTIMATE(EPS,MEAN,ANN_ROLL,+1,NOW,,,'')&lt;/Q&gt;&lt;R&gt;1&lt;/R&gt;&lt;C&gt;1&lt;/C&gt;&lt;D xsi:type="xsd:double"&gt;9.105563&lt;/D&gt;&lt;/FQL&gt;&lt;FQL&gt;&lt;Q&gt;META-US^FE_ESTIMATE(DEP_AMORT_EXP,MEAN,ANN_ROLL,+1,NOW,,,'')&lt;/Q&gt;&lt;R&gt;1&lt;/R&gt;&lt;C&gt;1&lt;/C&gt;&lt;D xsi:type="xsd:double"&gt;9217.304&lt;/D&gt;&lt;/FQL&gt;&lt;FQL&gt;&lt;Q&gt;META-US^FE_ESTIMATE(DEP_AMORT_EXP,MEAN,ANN_ROLL,2027,NOW,,,'')&lt;/Q&gt;&lt;R&gt;1&lt;/R&gt;&lt;C&gt;1&lt;/C&gt;&lt;D xsi:type="xsd:double"&gt;23066.867&lt;/D&gt;&lt;/FQL&gt;&lt;FQL&gt;&lt;Q&gt;META-US^FE_ESTIMATE(DEP_AMORT_EXP,MEAN,ANN_ROLL,2026,NOW,,,'')&lt;/Q&gt;&lt;R&gt;1&lt;/R&gt;&lt;C&gt;1&lt;/C&gt;&lt;D xsi:type="xsd:double"&gt;20615.967&lt;/D&gt;&lt;/FQL&gt;&lt;FQL&gt;&lt;Q&gt;META-US^FE_ESTIMATE(DEP_AMORT_EXP,MEAN,ANN_ROLL,2025,NOW,,,'')&lt;/Q&gt;&lt;R&gt;1&lt;/R&gt;&lt;C&gt;1&lt;/C&gt;&lt;D xsi:type="xsd:double"&gt;15813.463&lt;/D&gt;&lt;/FQL&gt;&lt;FQL&gt;&lt;Q&gt;META-US^FE_ESTIMATE(DEP_AMORT_EXP,MEAN,ANN_ROLL,2024,NOW,,,'')&lt;/Q&gt;&lt;R&gt;1&lt;/R&gt;&lt;C&gt;1&lt;/C&gt;&lt;D xsi:type="xsd:double"&gt;13916.89&lt;/D&gt;&lt;/FQL&gt;&lt;FQL&gt;&lt;Q&gt;META-US^FE_ESTIMATE(DEP_AMORT_EXP,MEAN,ANN_ROLL,2023,NOW,,,'')&lt;/Q&gt;&lt;R&gt;1&lt;/R&gt;&lt;C&gt;1&lt;/C&gt;&lt;D xsi:type="xsd:double"&gt;11304.668&lt;/D&gt;&lt;/FQL&gt;&lt;FQL&gt;&lt;Q&gt;META-US^FE_ESTIMATE(DEP_AMORT_EXP,MEAN,ANN_ROLL,2022,NOW,,,'')&lt;/Q&gt;&lt;R&gt;1&lt;/R&gt;&lt;C&gt;1&lt;/C&gt;&lt;D xsi:type="xsd:double"&gt;9217.304&lt;/D&gt;&lt;/FQL&gt;&lt;/Schema&gt;</t>
        </r>
      </text>
    </comment>
  </commentList>
</comments>
</file>

<file path=xl/sharedStrings.xml><?xml version="1.0" encoding="utf-8"?>
<sst xmlns="http://schemas.openxmlformats.org/spreadsheetml/2006/main" count="850" uniqueCount="318">
  <si>
    <t>This sheet contains FactSet XML data for use with this workbook's =FDS codes.  Modifying the worksheet's contents may damage the workbook's =FDS functionality.</t>
  </si>
  <si>
    <t>Cover</t>
  </si>
  <si>
    <t>x</t>
  </si>
  <si>
    <t>The Bull Case</t>
  </si>
  <si>
    <t>1. Reels engagement is improving (50% increase vs 6 months ago) and is at a $3BN annual revenue run rate vs. $1BN last quarter; lots of AI investment</t>
  </si>
  <si>
    <t>2. Long-term potential of the metaverse given Meta's ownership of software + hardware (Occulus)</t>
  </si>
  <si>
    <t>3. Instagram still strong, Whatsapp has monetization opportunities, Facebook still a cash cow</t>
  </si>
  <si>
    <t>Key Takeaway: Given its recent decline, Meta could be a good contrarian play in the next 6-12 months to position for once the economy rebounds</t>
  </si>
  <si>
    <t>The Bear Case</t>
  </si>
  <si>
    <t>1. Facing deteriorating addressable advertising market and macro headwinds / recession will result in much lower advertising budgets; result has been massive layoffs</t>
  </si>
  <si>
    <t>2. Massive ($69BN of CapEx) spending has lowered FCF in order to fend off competition (TikTok) + create the next computing platform (metaverse)</t>
  </si>
  <si>
    <t>3. Regulatory / branding issues - Meta / Facebook / Zuck are not beloved</t>
  </si>
  <si>
    <t>Key Takeaway: Metaverse is a "go big or go home" strategy and represents the greatest risk + investors don't like all the $$$ being spent (seemingly recklessly)</t>
  </si>
  <si>
    <t>Meta DCF</t>
  </si>
  <si>
    <t>Ticker</t>
  </si>
  <si>
    <t>META</t>
  </si>
  <si>
    <t xml:space="preserve">             Implied Share Price</t>
  </si>
  <si>
    <t>$505.51 - $ 644.66</t>
  </si>
  <si>
    <t>Implied Share Price</t>
  </si>
  <si>
    <t>Date</t>
  </si>
  <si>
    <t xml:space="preserve">             Current Share Price</t>
  </si>
  <si>
    <t>Implied upside (downside)</t>
  </si>
  <si>
    <t>Current Share Price</t>
  </si>
  <si>
    <t>Assumptions</t>
  </si>
  <si>
    <t>Switches</t>
  </si>
  <si>
    <t>Conservative</t>
  </si>
  <si>
    <t>Street / Base</t>
  </si>
  <si>
    <t>Optimistic</t>
  </si>
  <si>
    <t>Revenue</t>
  </si>
  <si>
    <t>Revenue 2025</t>
  </si>
  <si>
    <t>EBIT</t>
  </si>
  <si>
    <t>Revenue 2026</t>
  </si>
  <si>
    <t>D&amp;A</t>
  </si>
  <si>
    <t>Revenue 2029</t>
  </si>
  <si>
    <t>CapEx</t>
  </si>
  <si>
    <t>EBIT 2025-26</t>
  </si>
  <si>
    <t>WACC</t>
  </si>
  <si>
    <t>EBIT 2029</t>
  </si>
  <si>
    <t>TGR</t>
  </si>
  <si>
    <t>D&amp;A Trend</t>
  </si>
  <si>
    <t>CapEx Trend</t>
  </si>
  <si>
    <t>Income Statement</t>
  </si>
  <si>
    <t>2024 E</t>
  </si>
  <si>
    <t>2025 E</t>
  </si>
  <si>
    <t>2026 E</t>
  </si>
  <si>
    <t>2027 E</t>
  </si>
  <si>
    <t>2028 E</t>
  </si>
  <si>
    <t>2029 E</t>
  </si>
  <si>
    <t>% growth</t>
  </si>
  <si>
    <t>% of sales</t>
  </si>
  <si>
    <t>Taxes</t>
  </si>
  <si>
    <t>% of EBIT</t>
  </si>
  <si>
    <t>Cash Flow Items</t>
  </si>
  <si>
    <t>% of CapEx</t>
  </si>
  <si>
    <t>Capital Expenditures</t>
  </si>
  <si>
    <t>Change in Net Working Capital</t>
  </si>
  <si>
    <t>% of Change in Sales</t>
  </si>
  <si>
    <t>DCF</t>
  </si>
  <si>
    <t xml:space="preserve">   Conservative Case</t>
  </si>
  <si>
    <t xml:space="preserve">   Base Case (Street)</t>
  </si>
  <si>
    <t xml:space="preserve">   Optimistic Case</t>
  </si>
  <si>
    <t>EBIAT</t>
  </si>
  <si>
    <t>Change in NWC</t>
  </si>
  <si>
    <t>Unlevered FCF</t>
  </si>
  <si>
    <t>Present Value of UFCF</t>
  </si>
  <si>
    <t>Initial Discount Year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</si>
  <si>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</si>
  <si>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</si>
  <si>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</si>
  <si>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</si>
  <si>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</si>
  <si>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</si>
  <si>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</si>
  <si>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Shares Outstanding</t>
  </si>
  <si>
    <t>WACC = % of equity x cost of equity + % of debt x cost of debt x (1 - Tax Rate)</t>
  </si>
  <si>
    <t>Cost of equity = Risk free rate + Beta x Market Risk Premium</t>
  </si>
  <si>
    <t>Equity</t>
  </si>
  <si>
    <t>Basic Shares Outstanding on 28/06/2024 (Millions)</t>
  </si>
  <si>
    <t xml:space="preserve">Market Value per share (Closing price as on 28/06/2024) </t>
  </si>
  <si>
    <t>Market Value of Equity (Millions)</t>
  </si>
  <si>
    <t>Debt</t>
  </si>
  <si>
    <t>Collateralized borrowing</t>
  </si>
  <si>
    <t>Non-collaterized borrowing</t>
  </si>
  <si>
    <t xml:space="preserve">Bank borrowings </t>
  </si>
  <si>
    <t xml:space="preserve">Lease liabilities </t>
  </si>
  <si>
    <t>Straight Bonds</t>
  </si>
  <si>
    <t>Debentures</t>
  </si>
  <si>
    <t>Total Debt</t>
  </si>
  <si>
    <t>Total</t>
  </si>
  <si>
    <t>Weight of Equity</t>
  </si>
  <si>
    <t>Weight of Debt</t>
  </si>
  <si>
    <t>Cost of Debt</t>
  </si>
  <si>
    <t>Interest Expense</t>
  </si>
  <si>
    <t>Income Tax Expense</t>
  </si>
  <si>
    <t>Income Before Tax</t>
  </si>
  <si>
    <t>Effective Tax Rate</t>
  </si>
  <si>
    <t>Cost of Debt after Tax</t>
  </si>
  <si>
    <t>Cost of Equity</t>
  </si>
  <si>
    <t>Risk Free Rate</t>
  </si>
  <si>
    <t>Beta</t>
  </si>
  <si>
    <t>Market Return</t>
  </si>
  <si>
    <t>Weight of Debt and Equity</t>
  </si>
  <si>
    <t>Market Cap</t>
  </si>
  <si>
    <t>Wacc</t>
  </si>
  <si>
    <t>% of Equity</t>
  </si>
  <si>
    <t>Market Risk Premium</t>
  </si>
  <si>
    <t>% of Debt</t>
  </si>
  <si>
    <t>Tax Rate</t>
  </si>
  <si>
    <t>Total Debt and Equity</t>
  </si>
  <si>
    <t>Equity Beta</t>
  </si>
  <si>
    <t>Risk-Free Rate</t>
  </si>
  <si>
    <t>Market-Risk Premium</t>
  </si>
  <si>
    <t xml:space="preserve">Credit Spread </t>
  </si>
  <si>
    <t xml:space="preserve">Risk Free Rate  </t>
  </si>
  <si>
    <t xml:space="preserve">Cost of debt </t>
  </si>
  <si>
    <t>META-US</t>
  </si>
  <si>
    <t>Income Statement (M)</t>
  </si>
  <si>
    <t>CY '13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</si>
  <si>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</si>
  <si>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</si>
  <si>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</si>
  <si>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</si>
  <si>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</si>
  <si>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</si>
  <si>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</si>
  <si>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</si>
  <si>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'22E</t>
  </si>
  <si>
    <t>CY '23E</t>
  </si>
  <si>
    <t>CY '24E</t>
  </si>
  <si>
    <t>CY '25E</t>
  </si>
  <si>
    <t>CY '26E</t>
  </si>
  <si>
    <t>CY '27E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</si>
  <si>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</si>
  <si>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</si>
  <si>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</si>
  <si>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</si>
  <si>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</si>
  <si>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</si>
  <si>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</si>
  <si>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</si>
  <si>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</si>
  <si>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'22E</t>
  </si>
  <si>
    <t>Dec '23E</t>
  </si>
  <si>
    <t>Dec '24E</t>
  </si>
  <si>
    <t>Dec '25E</t>
  </si>
  <si>
    <t>Dec '26E</t>
  </si>
  <si>
    <t>Dec '27E</t>
  </si>
  <si>
    <t>Sales</t>
  </si>
  <si>
    <t>Cost of Sales</t>
  </si>
  <si>
    <t>-</t>
  </si>
  <si>
    <t>Organic Growth (%)</t>
  </si>
  <si>
    <t>Gross Income</t>
  </si>
  <si>
    <t>SG&amp;A Expense</t>
  </si>
  <si>
    <t>Selling &amp; Marketing Expense</t>
  </si>
  <si>
    <t>General &amp; Admin Expense</t>
  </si>
  <si>
    <t>Research &amp; Development</t>
  </si>
  <si>
    <t>EBITDA</t>
  </si>
  <si>
    <t>EBITDA Non-GAAP</t>
  </si>
  <si>
    <t>EBITDA GAAP</t>
  </si>
  <si>
    <t>Depr. &amp; Amort.</t>
  </si>
  <si>
    <t>Operating Income</t>
  </si>
  <si>
    <t>EBITA</t>
  </si>
  <si>
    <t>Operating Income - Non GAAP</t>
  </si>
  <si>
    <t>Operating Income - GAAP</t>
  </si>
  <si>
    <t>Pretax Income</t>
  </si>
  <si>
    <t>Pretax Income - Non GAAP</t>
  </si>
  <si>
    <t>Pretax Income - GAAP</t>
  </si>
  <si>
    <t>Tax Expense</t>
  </si>
  <si>
    <t>Net Income</t>
  </si>
  <si>
    <t>Net Income - Non GAAP</t>
  </si>
  <si>
    <t>Net Income - GAAP</t>
  </si>
  <si>
    <t>Years</t>
  </si>
  <si>
    <t>Compound Annual Growth Rate</t>
  </si>
  <si>
    <t>5-Y AVG</t>
  </si>
  <si>
    <t xml:space="preserve">10-Y AVG </t>
  </si>
  <si>
    <t>+</t>
  </si>
  <si>
    <t>Current assets</t>
  </si>
  <si>
    <t>Account recievables, net</t>
  </si>
  <si>
    <t>Days receivable</t>
  </si>
  <si>
    <t>Prepaid expenses and other current assets</t>
  </si>
  <si>
    <t>Days prepaid</t>
  </si>
  <si>
    <t>Other assets</t>
  </si>
  <si>
    <t>% of revenue</t>
  </si>
  <si>
    <t>Total current assets</t>
  </si>
  <si>
    <t>Current liabilities</t>
  </si>
  <si>
    <t>Accounts payble</t>
  </si>
  <si>
    <t>Days payable</t>
  </si>
  <si>
    <t>Partners payable</t>
  </si>
  <si>
    <t>Accured expenses and other current liabiliteis</t>
  </si>
  <si>
    <t xml:space="preserve">Days accrued </t>
  </si>
  <si>
    <t>Other liabilities</t>
  </si>
  <si>
    <t>Total current liabilities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</si>
  <si>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</si>
  <si>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</si>
  <si>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</si>
  <si>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</si>
  <si>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</si>
  <si>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</si>
  <si>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</si>
  <si>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</si>
  <si>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</si>
  <si>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</si>
  <si>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</si>
  <si>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</si>
  <si>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</si>
  <si>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</si>
  <si>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</si>
  <si>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</si>
  <si>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</si>
  <si>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</si>
  <si>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</si>
  <si>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</si>
  <si>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</si>
  <si>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</si>
  <si>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</si>
  <si>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</si>
  <si>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Meta Adj Close</t>
  </si>
  <si>
    <t>Nasdaq Adj Close</t>
  </si>
  <si>
    <t>Returns Meta</t>
  </si>
  <si>
    <t>Returns Nasdaq</t>
  </si>
  <si>
    <t>Cash Flow (M)</t>
  </si>
  <si>
    <t>Free Cash Flow</t>
  </si>
  <si>
    <t>Unlevered Free Cash Flow</t>
  </si>
  <si>
    <t>Cash Flow from Operations</t>
  </si>
  <si>
    <t>Cash Flow from Investing</t>
  </si>
  <si>
    <t>Cash Flow from Financing</t>
  </si>
  <si>
    <t>Share Repurchase</t>
  </si>
  <si>
    <t>Depreciation</t>
  </si>
  <si>
    <t>Meta Platforms Inc. Class A</t>
  </si>
  <si>
    <t xml:space="preserve">META   30303M102   B7TL820   NASDAQ    Common stock    </t>
  </si>
  <si>
    <t>FactSet Fundamentals</t>
  </si>
  <si>
    <t>31 DEC '12</t>
  </si>
  <si>
    <t>31 DEC '13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</si>
  <si>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</si>
  <si>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</si>
  <si>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</si>
  <si>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</si>
  <si>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</si>
  <si>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</si>
  <si>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</si>
  <si>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</si>
  <si>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Net cash provided by operating activities</t>
  </si>
  <si>
    <t>Net income / loss</t>
  </si>
  <si>
    <t>Adjustments to reconcile net income / loss to net cash provided by operating activities</t>
  </si>
  <si>
    <t>Depreciation and amortization</t>
  </si>
  <si>
    <t>Loss on disposal or write-off of equipment</t>
  </si>
  <si>
    <t>Share-based compensation</t>
  </si>
  <si>
    <t>Deferred income taxes</t>
  </si>
  <si>
    <t>Tax benefit from share-based award activity</t>
  </si>
  <si>
    <t>Excess tax benefit from share-based award activity</t>
  </si>
  <si>
    <t>Impairment related to leases and leasehold improvements</t>
  </si>
  <si>
    <t>Other</t>
  </si>
  <si>
    <t>Lease abandonment</t>
  </si>
  <si>
    <t>Other excluding lease abandonment</t>
  </si>
  <si>
    <t>Changes in assets and liabilities</t>
  </si>
  <si>
    <t>Accounts receivable</t>
  </si>
  <si>
    <t>Income tax refundable</t>
  </si>
  <si>
    <t>Prepaid expenses and other current assets excluding income tax refundable</t>
  </si>
  <si>
    <t>Accounts payable</t>
  </si>
  <si>
    <t>Accrued expenses and other current liabilities</t>
  </si>
  <si>
    <t>Deferred revenue and deposits</t>
  </si>
  <si>
    <t>Operating lease right-of-use assets, net</t>
  </si>
  <si>
    <t>Operating lease liabilities, non-current</t>
  </si>
  <si>
    <t>Other liabilities excluding operating lease right-of-use assets, net and operating lease liabilities, non-current</t>
  </si>
  <si>
    <t>Net cash used in / provided by investing activities</t>
  </si>
  <si>
    <t>Purchases of property and equipment</t>
  </si>
  <si>
    <t>Purchases of property and equipment excluding proceeds relating to property and equipment</t>
  </si>
  <si>
    <t>Proceeds relating to property and equipment</t>
  </si>
  <si>
    <t>Purchases of marketable securities</t>
  </si>
  <si>
    <t>Sales of marketable securities</t>
  </si>
  <si>
    <t>Maturities of marketable securities</t>
  </si>
  <si>
    <t>Investments in non-marketable equity securities</t>
  </si>
  <si>
    <t>Change in restricted cash and deposits</t>
  </si>
  <si>
    <t>Other investing activities, net</t>
  </si>
  <si>
    <t>Other investing activities, net excluding acquisitions of businesses, net of cash acquired, and purchases of intangible assets</t>
  </si>
  <si>
    <t>Purchases of equity investments</t>
  </si>
  <si>
    <t>Other investing activities</t>
  </si>
  <si>
    <t>Acquisitions of businesses, net of cash acquired, and purchases of intangible assets</t>
  </si>
  <si>
    <t>Net cash used in / provided by financing activities</t>
  </si>
  <si>
    <t>Net proceeds from issuance of convertible preferred stock</t>
  </si>
  <si>
    <t>Net proceeds from issuance of common stock</t>
  </si>
  <si>
    <t>Proceeds from exercise of stock options</t>
  </si>
  <si>
    <t>Proceeds from / repayments of long-term debt</t>
  </si>
  <si>
    <t>Proceeds from long-term debt, net of issuance cost</t>
  </si>
  <si>
    <t>Repayment of long-term debt</t>
  </si>
  <si>
    <t>Proceeds from sale and lease-back transactions</t>
  </si>
  <si>
    <t>Other financing activities, net</t>
  </si>
  <si>
    <t>Taxes paid related to net share settlement</t>
  </si>
  <si>
    <t>Other financing activities, net excluding taxes paid related to net share settlement</t>
  </si>
  <si>
    <t>Principal payments on capital lease and other financing obligations</t>
  </si>
  <si>
    <t>Repurchases of Class A common stock</t>
  </si>
  <si>
    <t>Principal payments on finance leases</t>
  </si>
  <si>
    <t>Net change in overdraft in cash pooling entities</t>
  </si>
  <si>
    <t>Effect of exchange rate changes on cash and cash equivalents</t>
  </si>
  <si>
    <t>Net increase / decrease in cash and cash equivalents and restricted cash</t>
  </si>
  <si>
    <t>Cash, cash equivalents, and restricted cash at beginning of the period</t>
  </si>
  <si>
    <t>Cash, cash equivalents, and restricted cash at end of the period</t>
  </si>
  <si>
    <t>Reconciliation of cash, cash equivalents, and restricted cash to the consolidated balance sheets</t>
  </si>
  <si>
    <t>Cash and cash equivalents</t>
  </si>
  <si>
    <t>Restricted cash, included in prepaid expenses and other current assets</t>
  </si>
  <si>
    <t>Restricted cash, included in other assets</t>
  </si>
  <si>
    <t>Total cash, cash equivalents, and restricted cash</t>
  </si>
  <si>
    <t>Supplemental disclosure</t>
  </si>
  <si>
    <t>Interest</t>
  </si>
  <si>
    <t>Cash paid for income taxes, net</t>
  </si>
  <si>
    <t>Income taxes paid</t>
  </si>
  <si>
    <t>Income taxes received</t>
  </si>
  <si>
    <t>Non-cash investing activity</t>
  </si>
  <si>
    <t>Property and equipment in accounts payable and accrued expenses and other current liabilities</t>
  </si>
  <si>
    <t>expenses and other current liabilities</t>
  </si>
  <si>
    <t>Property and equipment acquired under capital leases</t>
  </si>
  <si>
    <t>Fair value of shares issued related to acquisitions of businesses</t>
  </si>
  <si>
    <t>Promissory note payable issued in connection with an acquisition</t>
  </si>
  <si>
    <t>Settlement of contingent consideration liability</t>
  </si>
  <si>
    <t>Settlement of convertible notes in exchange of equity securities in other current assets</t>
  </si>
  <si>
    <t>Settlement of convertible notes with marketable equity</t>
  </si>
  <si>
    <t>Other current assets through financing arrangements in accrued expenses and other current liabilities</t>
  </si>
  <si>
    <t>Change in unsettled repurchases of Class A 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</si>
</sst>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£&quot;* #,##0.00_-;\-&quot;£&quot;* #,##0.00_-;_-&quot;£&quot;* &quot;-&quot;??_-;_-@_-"/>
    <numFmt numFmtId="165" formatCode="#,##0.0"/>
    <numFmt numFmtId="166" formatCode="0%;\(0%\)"/>
    <numFmt numFmtId="167" formatCode="0.0%"/>
    <numFmt numFmtId="168" formatCode="&quot;$&quot;#,##0.00"/>
    <numFmt numFmtId="169" formatCode="#,##0\ [$€-1];[Red]\-#,##0\ [$€-1]"/>
    <numFmt numFmtId="170" formatCode="_(* #,##0_);_(* \(#,##0\);_(* &quot;-&quot;??_);_(@_)"/>
    <numFmt numFmtId="171" formatCode="_-[$$-409]* #,##0.00_ ;_-[$$-409]* \-#,##0.00\ ;_-[$$-409]* &quot;-&quot;??_ ;_-@_ "/>
    <numFmt numFmtId="172" formatCode="0.00%;\(0.00%\)"/>
    <numFmt numFmtId="173" formatCode="0.000"/>
    <numFmt numFmtId="174" formatCode="_-[$$-409]* #,##0_ ;_-[$$-409]* \-#,##0\ ;_-[$$-409]* &quot;-&quot;??_ ;_-@_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rgb="FF003366"/>
      <name val="Arial"/>
      <family val="2"/>
    </font>
    <font>
      <b/>
      <u/>
      <sz val="10"/>
      <color rgb="FF003366"/>
      <name val="Arial"/>
      <family val="2"/>
    </font>
    <font>
      <u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MS Sans Serif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9" fillId="0" borderId="0"/>
    <xf numFmtId="164" fontId="1" fillId="0" borderId="0" applyFont="0" applyFill="0" applyBorder="0" applyAlignment="0" applyProtection="0"/>
  </cellStyleXfs>
  <cellXfs count="196">
    <xf numFmtId="0" fontId="0" fillId="0" borderId="0" xfId="0"/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3" fontId="5" fillId="0" borderId="0" xfId="2" applyNumberFormat="1" applyAlignment="1">
      <alignment horizontal="right"/>
    </xf>
    <xf numFmtId="0" fontId="6" fillId="3" borderId="0" xfId="0" applyFont="1" applyFill="1" applyAlignment="1">
      <alignment horizontal="left"/>
    </xf>
    <xf numFmtId="3" fontId="7" fillId="3" borderId="0" xfId="2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3" fontId="8" fillId="0" borderId="0" xfId="2" applyNumberFormat="1" applyFont="1" applyAlignment="1">
      <alignment horizontal="right"/>
    </xf>
    <xf numFmtId="0" fontId="0" fillId="3" borderId="0" xfId="0" applyFill="1" applyAlignment="1">
      <alignment horizontal="left" indent="1"/>
    </xf>
    <xf numFmtId="3" fontId="8" fillId="3" borderId="0" xfId="2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3" fontId="5" fillId="3" borderId="0" xfId="2" applyNumberFormat="1" applyFill="1" applyAlignment="1">
      <alignment horizontal="right"/>
    </xf>
    <xf numFmtId="0" fontId="0" fillId="3" borderId="0" xfId="0" applyFill="1" applyAlignment="1">
      <alignment horizontal="left"/>
    </xf>
    <xf numFmtId="0" fontId="6" fillId="0" borderId="0" xfId="0" applyFont="1" applyAlignment="1">
      <alignment horizontal="left" indent="3"/>
    </xf>
    <xf numFmtId="0" fontId="6" fillId="0" borderId="0" xfId="0" applyFont="1" applyAlignment="1">
      <alignment horizontal="left"/>
    </xf>
    <xf numFmtId="0" fontId="0" fillId="3" borderId="0" xfId="0" applyFill="1" applyAlignment="1">
      <alignment horizontal="left" indent="4"/>
    </xf>
    <xf numFmtId="0" fontId="0" fillId="0" borderId="0" xfId="0" applyAlignment="1">
      <alignment horizontal="left" indent="4"/>
    </xf>
    <xf numFmtId="0" fontId="6" fillId="3" borderId="0" xfId="0" applyFont="1" applyFill="1" applyAlignment="1">
      <alignment horizontal="left" indent="6"/>
    </xf>
    <xf numFmtId="0" fontId="0" fillId="0" borderId="0" xfId="0" applyAlignment="1">
      <alignment horizontal="left" indent="7"/>
    </xf>
    <xf numFmtId="0" fontId="0" fillId="3" borderId="0" xfId="0" applyFill="1" applyAlignment="1">
      <alignment horizontal="left" indent="7"/>
    </xf>
    <xf numFmtId="165" fontId="5" fillId="0" borderId="0" xfId="2" applyNumberFormat="1" applyAlignment="1">
      <alignment horizontal="right"/>
    </xf>
    <xf numFmtId="0" fontId="9" fillId="0" borderId="0" xfId="3"/>
    <xf numFmtId="3" fontId="9" fillId="3" borderId="0" xfId="3" applyNumberFormat="1" applyFill="1" applyAlignment="1">
      <alignment horizontal="right"/>
    </xf>
    <xf numFmtId="0" fontId="9" fillId="3" borderId="0" xfId="3" applyFill="1" applyAlignment="1">
      <alignment horizontal="left"/>
    </xf>
    <xf numFmtId="0" fontId="9" fillId="0" borderId="0" xfId="3" applyAlignment="1">
      <alignment horizontal="left"/>
    </xf>
    <xf numFmtId="3" fontId="9" fillId="0" borderId="0" xfId="3" applyNumberFormat="1" applyAlignment="1">
      <alignment horizontal="right"/>
    </xf>
    <xf numFmtId="4" fontId="9" fillId="0" borderId="0" xfId="3" applyNumberFormat="1" applyAlignment="1">
      <alignment horizontal="right"/>
    </xf>
    <xf numFmtId="4" fontId="10" fillId="0" borderId="0" xfId="3" applyNumberFormat="1" applyFont="1" applyAlignment="1">
      <alignment horizontal="right"/>
    </xf>
    <xf numFmtId="0" fontId="4" fillId="2" borderId="0" xfId="3" applyFont="1" applyFill="1" applyAlignment="1">
      <alignment horizontal="left"/>
    </xf>
    <xf numFmtId="0" fontId="4" fillId="0" borderId="0" xfId="3" applyFont="1"/>
    <xf numFmtId="3" fontId="10" fillId="3" borderId="0" xfId="3" applyNumberFormat="1" applyFont="1" applyFill="1" applyAlignment="1">
      <alignment horizontal="right"/>
    </xf>
    <xf numFmtId="3" fontId="10" fillId="0" borderId="0" xfId="3" applyNumberFormat="1" applyFont="1" applyAlignment="1">
      <alignment horizontal="right"/>
    </xf>
    <xf numFmtId="0" fontId="9" fillId="3" borderId="0" xfId="3" applyFill="1" applyAlignment="1">
      <alignment horizontal="right"/>
    </xf>
    <xf numFmtId="0" fontId="9" fillId="0" borderId="0" xfId="3" applyAlignment="1">
      <alignment horizontal="right"/>
    </xf>
    <xf numFmtId="3" fontId="7" fillId="0" borderId="0" xfId="2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 indent="6"/>
    </xf>
    <xf numFmtId="0" fontId="6" fillId="3" borderId="0" xfId="0" applyFont="1" applyFill="1" applyAlignment="1">
      <alignment horizontal="left" indent="9"/>
    </xf>
    <xf numFmtId="0" fontId="0" fillId="0" borderId="0" xfId="0" applyAlignment="1">
      <alignment horizontal="left" indent="10"/>
    </xf>
    <xf numFmtId="0" fontId="0" fillId="3" borderId="0" xfId="0" applyFill="1" applyAlignment="1">
      <alignment horizontal="left" indent="10"/>
    </xf>
    <xf numFmtId="0" fontId="6" fillId="3" borderId="0" xfId="0" applyFont="1" applyFill="1" applyAlignment="1">
      <alignment horizontal="left" indent="3"/>
    </xf>
    <xf numFmtId="165" fontId="8" fillId="3" borderId="0" xfId="2" applyNumberFormat="1" applyFont="1" applyFill="1" applyAlignment="1">
      <alignment horizontal="right"/>
    </xf>
    <xf numFmtId="165" fontId="5" fillId="3" borderId="0" xfId="2" applyNumberFormat="1" applyFill="1" applyAlignment="1">
      <alignment horizontal="right"/>
    </xf>
    <xf numFmtId="165" fontId="7" fillId="0" borderId="0" xfId="2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1" xfId="0" applyBorder="1"/>
    <xf numFmtId="0" fontId="11" fillId="0" borderId="1" xfId="0" applyFont="1" applyBorder="1"/>
    <xf numFmtId="0" fontId="3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9" fillId="0" borderId="0" xfId="3" applyNumberFormat="1"/>
    <xf numFmtId="0" fontId="0" fillId="5" borderId="0" xfId="0" applyFill="1"/>
    <xf numFmtId="0" fontId="2" fillId="5" borderId="0" xfId="0" applyFont="1" applyFill="1"/>
    <xf numFmtId="0" fontId="14" fillId="0" borderId="0" xfId="0" applyFont="1"/>
    <xf numFmtId="3" fontId="15" fillId="0" borderId="0" xfId="0" applyNumberFormat="1" applyFont="1"/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9" fontId="14" fillId="0" borderId="0" xfId="1" applyFont="1"/>
    <xf numFmtId="37" fontId="0" fillId="0" borderId="0" xfId="0" applyNumberFormat="1"/>
    <xf numFmtId="166" fontId="14" fillId="0" borderId="0" xfId="1" applyNumberFormat="1" applyFont="1"/>
    <xf numFmtId="3" fontId="15" fillId="6" borderId="0" xfId="0" applyNumberFormat="1" applyFont="1" applyFill="1"/>
    <xf numFmtId="9" fontId="14" fillId="6" borderId="0" xfId="1" applyFont="1" applyFill="1"/>
    <xf numFmtId="0" fontId="0" fillId="0" borderId="3" xfId="0" applyBorder="1"/>
    <xf numFmtId="0" fontId="0" fillId="0" borderId="4" xfId="0" applyBorder="1"/>
    <xf numFmtId="37" fontId="15" fillId="0" borderId="0" xfId="0" applyNumberFormat="1" applyFont="1"/>
    <xf numFmtId="3" fontId="16" fillId="0" borderId="0" xfId="0" applyNumberFormat="1" applyFont="1"/>
    <xf numFmtId="37" fontId="16" fillId="0" borderId="0" xfId="0" applyNumberFormat="1" applyFont="1"/>
    <xf numFmtId="0" fontId="0" fillId="4" borderId="6" xfId="0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6" fontId="17" fillId="4" borderId="2" xfId="0" applyNumberFormat="1" applyFont="1" applyFill="1" applyBorder="1"/>
    <xf numFmtId="166" fontId="19" fillId="4" borderId="2" xfId="0" applyNumberFormat="1" applyFont="1" applyFill="1" applyBorder="1"/>
    <xf numFmtId="3" fontId="20" fillId="0" borderId="0" xfId="0" applyNumberFormat="1" applyFont="1"/>
    <xf numFmtId="166" fontId="18" fillId="0" borderId="0" xfId="0" applyNumberFormat="1" applyFont="1"/>
    <xf numFmtId="166" fontId="17" fillId="0" borderId="0" xfId="0" applyNumberFormat="1" applyFont="1"/>
    <xf numFmtId="3" fontId="20" fillId="0" borderId="4" xfId="0" applyNumberFormat="1" applyFont="1" applyBorder="1"/>
    <xf numFmtId="3" fontId="20" fillId="0" borderId="5" xfId="0" applyNumberFormat="1" applyFont="1" applyBorder="1"/>
    <xf numFmtId="37" fontId="20" fillId="0" borderId="0" xfId="0" applyNumberFormat="1" applyFont="1"/>
    <xf numFmtId="0" fontId="0" fillId="0" borderId="0" xfId="0" quotePrefix="1"/>
    <xf numFmtId="0" fontId="0" fillId="0" borderId="7" xfId="0" applyBorder="1"/>
    <xf numFmtId="37" fontId="0" fillId="0" borderId="4" xfId="0" applyNumberFormat="1" applyBorder="1"/>
    <xf numFmtId="37" fontId="0" fillId="0" borderId="5" xfId="0" applyNumberFormat="1" applyBorder="1"/>
    <xf numFmtId="167" fontId="0" fillId="4" borderId="6" xfId="1" applyNumberFormat="1" applyFont="1" applyFill="1" applyBorder="1" applyAlignment="1">
      <alignment horizontal="center"/>
    </xf>
    <xf numFmtId="2" fontId="0" fillId="0" borderId="0" xfId="0" applyNumberFormat="1"/>
    <xf numFmtId="168" fontId="0" fillId="0" borderId="0" xfId="0" applyNumberFormat="1"/>
    <xf numFmtId="168" fontId="0" fillId="0" borderId="6" xfId="0" applyNumberFormat="1" applyBorder="1" applyAlignment="1">
      <alignment horizontal="center"/>
    </xf>
    <xf numFmtId="167" fontId="0" fillId="0" borderId="6" xfId="1" applyNumberFormat="1" applyFont="1" applyFill="1" applyBorder="1" applyAlignment="1">
      <alignment horizontal="center"/>
    </xf>
    <xf numFmtId="166" fontId="14" fillId="6" borderId="0" xfId="1" applyNumberFormat="1" applyFont="1" applyFill="1"/>
    <xf numFmtId="0" fontId="15" fillId="0" borderId="0" xfId="0" applyFont="1"/>
    <xf numFmtId="166" fontId="19" fillId="0" borderId="0" xfId="0" applyNumberFormat="1" applyFont="1"/>
    <xf numFmtId="169" fontId="2" fillId="5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1" xfId="0" applyBorder="1"/>
    <xf numFmtId="0" fontId="22" fillId="0" borderId="0" xfId="3" applyFont="1"/>
    <xf numFmtId="170" fontId="22" fillId="0" borderId="0" xfId="3" applyNumberFormat="1" applyFont="1"/>
    <xf numFmtId="0" fontId="23" fillId="0" borderId="0" xfId="3" applyFont="1"/>
    <xf numFmtId="171" fontId="23" fillId="0" borderId="9" xfId="4" applyNumberFormat="1" applyFont="1" applyBorder="1"/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 wrapText="1"/>
    </xf>
    <xf numFmtId="0" fontId="25" fillId="0" borderId="0" xfId="3" applyFont="1"/>
    <xf numFmtId="171" fontId="25" fillId="0" borderId="0" xfId="4" applyNumberFormat="1" applyFont="1"/>
    <xf numFmtId="0" fontId="23" fillId="0" borderId="9" xfId="3" applyFont="1" applyBorder="1"/>
    <xf numFmtId="170" fontId="23" fillId="0" borderId="14" xfId="3" applyNumberFormat="1" applyFont="1" applyBorder="1"/>
    <xf numFmtId="170" fontId="23" fillId="0" borderId="0" xfId="3" applyNumberFormat="1" applyFont="1"/>
    <xf numFmtId="10" fontId="23" fillId="0" borderId="0" xfId="3" applyNumberFormat="1" applyFont="1"/>
    <xf numFmtId="10" fontId="0" fillId="0" borderId="0" xfId="0" applyNumberFormat="1" applyAlignment="1">
      <alignment horizontal="center"/>
    </xf>
    <xf numFmtId="10" fontId="0" fillId="0" borderId="0" xfId="1" applyNumberFormat="1" applyFont="1" applyBorder="1"/>
    <xf numFmtId="166" fontId="14" fillId="4" borderId="0" xfId="1" applyNumberFormat="1" applyFont="1" applyFill="1" applyAlignment="1"/>
    <xf numFmtId="166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8" borderId="0" xfId="0" applyFill="1" applyAlignment="1">
      <alignment horizontal="right"/>
    </xf>
    <xf numFmtId="14" fontId="0" fillId="4" borderId="0" xfId="0" applyNumberFormat="1" applyFill="1" applyAlignment="1">
      <alignment horizontal="center"/>
    </xf>
    <xf numFmtId="0" fontId="0" fillId="0" borderId="15" xfId="0" applyBorder="1"/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Continuous"/>
    </xf>
    <xf numFmtId="14" fontId="0" fillId="0" borderId="0" xfId="0" applyNumberFormat="1"/>
    <xf numFmtId="0" fontId="0" fillId="9" borderId="0" xfId="0" applyFill="1"/>
    <xf numFmtId="0" fontId="0" fillId="0" borderId="17" xfId="0" applyBorder="1"/>
    <xf numFmtId="0" fontId="26" fillId="10" borderId="0" xfId="0" applyFont="1" applyFill="1"/>
    <xf numFmtId="0" fontId="26" fillId="0" borderId="0" xfId="0" applyFont="1"/>
    <xf numFmtId="0" fontId="26" fillId="0" borderId="18" xfId="0" applyFont="1" applyBorder="1"/>
    <xf numFmtId="9" fontId="0" fillId="0" borderId="0" xfId="1" applyFont="1"/>
    <xf numFmtId="0" fontId="3" fillId="0" borderId="19" xfId="0" applyFont="1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1" fontId="0" fillId="0" borderId="0" xfId="0" applyNumberFormat="1"/>
    <xf numFmtId="1" fontId="15" fillId="0" borderId="0" xfId="0" applyNumberFormat="1" applyFont="1"/>
    <xf numFmtId="0" fontId="2" fillId="5" borderId="0" xfId="0" applyFont="1" applyFill="1" applyAlignment="1">
      <alignment horizontal="right"/>
    </xf>
    <xf numFmtId="167" fontId="0" fillId="0" borderId="0" xfId="1" applyNumberFormat="1" applyFont="1"/>
    <xf numFmtId="0" fontId="0" fillId="0" borderId="21" xfId="0" applyBorder="1"/>
    <xf numFmtId="173" fontId="0" fillId="0" borderId="0" xfId="0" applyNumberFormat="1"/>
    <xf numFmtId="2" fontId="0" fillId="0" borderId="15" xfId="0" applyNumberFormat="1" applyBorder="1"/>
    <xf numFmtId="9" fontId="0" fillId="0" borderId="15" xfId="1" applyFont="1" applyFill="1" applyBorder="1" applyAlignment="1"/>
    <xf numFmtId="167" fontId="0" fillId="0" borderId="0" xfId="1" applyNumberFormat="1" applyFont="1" applyFill="1" applyBorder="1" applyAlignment="1"/>
    <xf numFmtId="9" fontId="0" fillId="4" borderId="6" xfId="0" applyNumberFormat="1" applyFill="1" applyBorder="1" applyAlignment="1">
      <alignment horizontal="center"/>
    </xf>
    <xf numFmtId="174" fontId="20" fillId="0" borderId="0" xfId="0" applyNumberFormat="1" applyFont="1"/>
    <xf numFmtId="39" fontId="0" fillId="0" borderId="0" xfId="0" applyNumberFormat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10" fontId="0" fillId="0" borderId="12" xfId="0" applyNumberFormat="1" applyBorder="1"/>
    <xf numFmtId="0" fontId="0" fillId="0" borderId="22" xfId="0" applyBorder="1"/>
    <xf numFmtId="10" fontId="0" fillId="0" borderId="23" xfId="0" applyNumberFormat="1" applyBorder="1"/>
    <xf numFmtId="167" fontId="0" fillId="0" borderId="10" xfId="0" applyNumberFormat="1" applyBorder="1"/>
    <xf numFmtId="10" fontId="0" fillId="0" borderId="12" xfId="1" applyNumberFormat="1" applyFont="1" applyBorder="1"/>
    <xf numFmtId="9" fontId="0" fillId="0" borderId="11" xfId="1" applyFont="1" applyBorder="1"/>
    <xf numFmtId="9" fontId="0" fillId="0" borderId="0" xfId="1" applyFont="1" applyBorder="1"/>
    <xf numFmtId="9" fontId="0" fillId="0" borderId="12" xfId="1" applyFont="1" applyBorder="1"/>
    <xf numFmtId="10" fontId="0" fillId="0" borderId="12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0" fontId="27" fillId="0" borderId="8" xfId="0" applyFont="1" applyBorder="1"/>
    <xf numFmtId="0" fontId="0" fillId="0" borderId="10" xfId="0" applyBorder="1"/>
    <xf numFmtId="3" fontId="0" fillId="0" borderId="10" xfId="0" applyNumberFormat="1" applyBorder="1"/>
    <xf numFmtId="0" fontId="0" fillId="0" borderId="24" xfId="0" applyBorder="1"/>
    <xf numFmtId="0" fontId="0" fillId="0" borderId="25" xfId="0" applyBorder="1"/>
    <xf numFmtId="3" fontId="0" fillId="0" borderId="20" xfId="0" applyNumberFormat="1" applyBorder="1"/>
    <xf numFmtId="10" fontId="0" fillId="0" borderId="5" xfId="0" applyNumberFormat="1" applyBorder="1" applyAlignment="1">
      <alignment horizontal="right"/>
    </xf>
    <xf numFmtId="174" fontId="20" fillId="0" borderId="0" xfId="0" applyNumberFormat="1" applyFont="1" applyAlignment="1">
      <alignment horizontal="center"/>
    </xf>
    <xf numFmtId="174" fontId="0" fillId="0" borderId="0" xfId="4" applyNumberFormat="1" applyFont="1" applyAlignment="1">
      <alignment horizontal="center"/>
    </xf>
    <xf numFmtId="171" fontId="0" fillId="0" borderId="0" xfId="4" applyNumberFormat="1" applyFont="1" applyAlignment="1">
      <alignment horizontal="right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0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9" fontId="0" fillId="4" borderId="11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4" borderId="11" xfId="0" applyNumberFormat="1" applyFill="1" applyBorder="1" applyAlignment="1">
      <alignment horizontal="center"/>
    </xf>
    <xf numFmtId="10" fontId="0" fillId="4" borderId="12" xfId="0" applyNumberFormat="1" applyFill="1" applyBorder="1" applyAlignment="1">
      <alignment horizontal="center"/>
    </xf>
    <xf numFmtId="9" fontId="0" fillId="4" borderId="11" xfId="1" applyFont="1" applyFill="1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172" fontId="14" fillId="4" borderId="0" xfId="1" applyNumberFormat="1" applyFont="1" applyFill="1" applyAlignment="1">
      <alignment horizontal="center"/>
    </xf>
    <xf numFmtId="172" fontId="14" fillId="0" borderId="0" xfId="1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172" fontId="0" fillId="0" borderId="0" xfId="0" applyNumberFormat="1" applyAlignment="1">
      <alignment horizontal="center"/>
    </xf>
  </cellXfs>
  <cellStyles count="5">
    <cellStyle name="Currency" xfId="4" builtinId="4"/>
    <cellStyle name="Hyperlink" xfId="2" builtinId="8"/>
    <cellStyle name="Normal" xfId="0" builtinId="0"/>
    <cellStyle name="Normal 2" xfId="3" xr:uid="{13DB6127-9572-4D11-BEDE-2DEF0AC31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FB94-5E91-4EAE-ADE1-0322E2D98D94}">
  <dimension ref="A1:B1"/>
  <sheetViews>
    <sheetView workbookViewId="0"/>
  </sheetViews>
  <sheetFormatPr baseColWidth="10" defaultColWidth="8.83203125" defaultRowHeight="15"/>
  <sheetData>
    <row r="1" spans="1:2">
      <c r="B1" t="s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A74C-95D0-40B0-8F43-F3BECB4AB348}">
  <sheetPr>
    <outlinePr summaryBelow="0" summaryRight="0"/>
  </sheetPr>
  <dimension ref="A1:P13"/>
  <sheetViews>
    <sheetView workbookViewId="0">
      <selection activeCell="C26" sqref="C26"/>
    </sheetView>
  </sheetViews>
  <sheetFormatPr baseColWidth="10" defaultColWidth="9.1640625" defaultRowHeight="15" customHeight="1"/>
  <cols>
    <col min="1" max="1" width="23.6640625" style="21" customWidth="1"/>
    <col min="2" max="10" width="7.6640625" style="21" customWidth="1"/>
    <col min="11" max="16" width="8.83203125" style="21" customWidth="1"/>
    <col min="17" max="16384" width="9.1640625" style="21"/>
  </cols>
  <sheetData>
    <row r="1" spans="1:16" ht="15" customHeight="1">
      <c r="A1" s="29" t="s">
        <v>115</v>
      </c>
    </row>
    <row r="2" spans="1:16" ht="15" customHeight="1">
      <c r="A2" s="21" t="s">
        <v>220</v>
      </c>
      <c r="B2" s="21">
        <v>2013</v>
      </c>
      <c r="C2" s="21">
        <f>B2+1</f>
        <v>2014</v>
      </c>
      <c r="D2" s="21">
        <f t="shared" ref="D2:P2" si="0">C2+1</f>
        <v>2015</v>
      </c>
      <c r="E2" s="21">
        <f t="shared" si="0"/>
        <v>2016</v>
      </c>
      <c r="F2" s="21">
        <f t="shared" si="0"/>
        <v>2017</v>
      </c>
      <c r="G2" s="21">
        <f t="shared" si="0"/>
        <v>2018</v>
      </c>
      <c r="H2" s="21">
        <f t="shared" si="0"/>
        <v>2019</v>
      </c>
      <c r="I2" s="21">
        <f t="shared" si="0"/>
        <v>2020</v>
      </c>
      <c r="J2" s="21">
        <f t="shared" si="0"/>
        <v>2021</v>
      </c>
      <c r="K2" s="21">
        <f t="shared" si="0"/>
        <v>2022</v>
      </c>
      <c r="L2" s="21">
        <f t="shared" si="0"/>
        <v>2023</v>
      </c>
      <c r="M2" s="21">
        <f t="shared" si="0"/>
        <v>2024</v>
      </c>
      <c r="N2" s="21">
        <f t="shared" si="0"/>
        <v>2025</v>
      </c>
      <c r="O2" s="21">
        <f t="shared" si="0"/>
        <v>2026</v>
      </c>
      <c r="P2" s="21">
        <f t="shared" si="0"/>
        <v>2027</v>
      </c>
    </row>
    <row r="3" spans="1:16" ht="15" customHeight="1">
      <c r="A3" s="28"/>
      <c r="B3" s="28" t="s">
        <v>117</v>
      </c>
      <c r="C3" s="28" t="s">
        <v>118</v>
      </c>
      <c r="D3" s="28" t="s">
        <v>119</v>
      </c>
      <c r="E3" s="28" t="s">
        <v>120</v>
      </c>
      <c r="F3" s="28" t="s">
        <v>121</v>
      </c>
      <c r="G3" s="28" t="s">
        <v>122</v>
      </c>
      <c r="H3" s="28" t="s">
        <v>123</v>
      </c>
      <c r="I3" s="28" t="s">
        <v>124</v>
      </c>
      <c r="J3" s="28" t="s">
        <v>125</v>
      </c>
      <c r="K3" s="28" t="s">
        <v>126</v>
      </c>
      <c r="L3" s="28" t="s">
        <v>127</v>
      </c>
      <c r="M3" s="28" t="s">
        <v>128</v>
      </c>
      <c r="N3" s="28" t="s">
        <v>129</v>
      </c>
      <c r="O3" s="28" t="s">
        <v>130</v>
      </c>
      <c r="P3" s="28" t="s">
        <v>131</v>
      </c>
    </row>
    <row r="4" spans="1:16" ht="15" customHeight="1">
      <c r="A4" s="28"/>
      <c r="B4" s="28" t="s">
        <v>132</v>
      </c>
      <c r="C4" s="28" t="s">
        <v>133</v>
      </c>
      <c r="D4" s="28" t="s">
        <v>134</v>
      </c>
      <c r="E4" s="28" t="s">
        <v>135</v>
      </c>
      <c r="F4" s="28" t="s">
        <v>136</v>
      </c>
      <c r="G4" s="28" t="s">
        <v>137</v>
      </c>
      <c r="H4" s="28" t="s">
        <v>138</v>
      </c>
      <c r="I4" s="28" t="s">
        <v>139</v>
      </c>
      <c r="J4" s="28" t="s">
        <v>140</v>
      </c>
      <c r="K4" s="28" t="s">
        <v>141</v>
      </c>
      <c r="L4" s="28" t="s">
        <v>142</v>
      </c>
      <c r="M4" s="28" t="s">
        <v>143</v>
      </c>
      <c r="N4" s="28" t="s">
        <v>144</v>
      </c>
      <c r="O4" s="28" t="s">
        <v>145</v>
      </c>
      <c r="P4" s="28" t="s">
        <v>146</v>
      </c>
    </row>
    <row r="5" spans="1:16" ht="15" customHeight="1">
      <c r="A5" s="24" t="s">
        <v>54</v>
      </c>
      <c r="B5" s="25">
        <v>1362</v>
      </c>
      <c r="C5" s="25">
        <v>1831</v>
      </c>
      <c r="D5" s="25">
        <v>2523</v>
      </c>
      <c r="E5" s="25">
        <v>4491</v>
      </c>
      <c r="F5" s="25">
        <v>6733</v>
      </c>
      <c r="G5" s="25">
        <v>13915</v>
      </c>
      <c r="H5" s="25">
        <v>15102</v>
      </c>
      <c r="I5" s="25">
        <v>15115</v>
      </c>
      <c r="J5" s="25">
        <v>18567</v>
      </c>
      <c r="K5" s="25">
        <v>32033.200000000001</v>
      </c>
      <c r="L5" s="25">
        <v>34909.9</v>
      </c>
      <c r="M5" s="25">
        <v>33930.800000000003</v>
      </c>
      <c r="N5" s="25">
        <v>34332.400000000001</v>
      </c>
      <c r="O5" s="25">
        <v>31722.2</v>
      </c>
      <c r="P5" s="25">
        <v>31705.599999999999</v>
      </c>
    </row>
    <row r="6" spans="1:16" ht="15" customHeight="1">
      <c r="A6" s="23" t="s">
        <v>221</v>
      </c>
      <c r="B6" s="22">
        <v>2860</v>
      </c>
      <c r="C6" s="22">
        <v>3626</v>
      </c>
      <c r="D6" s="22">
        <v>6076</v>
      </c>
      <c r="E6" s="22">
        <v>11267.5</v>
      </c>
      <c r="F6" s="22">
        <v>17484</v>
      </c>
      <c r="G6" s="22">
        <v>15359</v>
      </c>
      <c r="H6" s="22">
        <v>21211</v>
      </c>
      <c r="I6" s="22">
        <v>23632</v>
      </c>
      <c r="J6" s="22">
        <v>39116</v>
      </c>
      <c r="K6" s="22">
        <v>14096.4</v>
      </c>
      <c r="L6" s="22">
        <v>10603.8</v>
      </c>
      <c r="M6" s="22">
        <v>17343.3</v>
      </c>
      <c r="N6" s="22">
        <v>27676.799999999999</v>
      </c>
      <c r="O6" s="22">
        <v>33363.1</v>
      </c>
      <c r="P6" s="22">
        <v>42596.1</v>
      </c>
    </row>
    <row r="7" spans="1:16" ht="15" customHeight="1">
      <c r="A7" s="24" t="s">
        <v>222</v>
      </c>
      <c r="B7" s="24" t="s">
        <v>149</v>
      </c>
      <c r="C7" s="24" t="s">
        <v>149</v>
      </c>
      <c r="D7" s="24" t="s">
        <v>149</v>
      </c>
      <c r="E7" s="25">
        <v>11527</v>
      </c>
      <c r="F7" s="25">
        <v>17092</v>
      </c>
      <c r="G7" s="25">
        <v>14911</v>
      </c>
      <c r="H7" s="24" t="s">
        <v>149</v>
      </c>
      <c r="I7" s="24" t="s">
        <v>149</v>
      </c>
      <c r="J7" s="24" t="s">
        <v>149</v>
      </c>
      <c r="K7" s="24" t="s">
        <v>149</v>
      </c>
      <c r="L7" s="24" t="s">
        <v>149</v>
      </c>
      <c r="M7" s="24" t="s">
        <v>149</v>
      </c>
      <c r="N7" s="24" t="s">
        <v>149</v>
      </c>
      <c r="O7" s="24" t="s">
        <v>149</v>
      </c>
      <c r="P7" s="24" t="s">
        <v>149</v>
      </c>
    </row>
    <row r="8" spans="1:16" ht="15" customHeight="1">
      <c r="A8" s="23" t="s">
        <v>223</v>
      </c>
      <c r="B8" s="22">
        <v>4222</v>
      </c>
      <c r="C8" s="22">
        <v>5457</v>
      </c>
      <c r="D8" s="22">
        <v>8599</v>
      </c>
      <c r="E8" s="22">
        <v>15097.5</v>
      </c>
      <c r="F8" s="22">
        <v>24216</v>
      </c>
      <c r="G8" s="22">
        <v>29339</v>
      </c>
      <c r="H8" s="22">
        <v>36313</v>
      </c>
      <c r="I8" s="22">
        <v>38747</v>
      </c>
      <c r="J8" s="22">
        <v>57683</v>
      </c>
      <c r="K8" s="22">
        <v>48164.9</v>
      </c>
      <c r="L8" s="22">
        <v>47857.3</v>
      </c>
      <c r="M8" s="22">
        <v>51786.9</v>
      </c>
      <c r="N8" s="22">
        <v>57085.4</v>
      </c>
      <c r="O8" s="22">
        <v>71710.2</v>
      </c>
      <c r="P8" s="22">
        <v>80651.600000000006</v>
      </c>
    </row>
    <row r="9" spans="1:16" ht="15" customHeight="1">
      <c r="A9" s="24" t="s">
        <v>224</v>
      </c>
      <c r="B9" s="31">
        <v>-2624</v>
      </c>
      <c r="C9" s="31">
        <v>-5913</v>
      </c>
      <c r="D9" s="31">
        <v>-9434</v>
      </c>
      <c r="E9" s="31">
        <v>-11739</v>
      </c>
      <c r="F9" s="31">
        <v>-20038</v>
      </c>
      <c r="G9" s="31">
        <v>-11667</v>
      </c>
      <c r="H9" s="31">
        <v>-19864</v>
      </c>
      <c r="I9" s="31">
        <v>-30058</v>
      </c>
      <c r="J9" s="31">
        <v>-7570</v>
      </c>
      <c r="K9" s="31">
        <v>-30386.5</v>
      </c>
      <c r="L9" s="31">
        <v>-32286</v>
      </c>
      <c r="M9" s="31">
        <v>-32002</v>
      </c>
      <c r="N9" s="31">
        <v>-30169.1</v>
      </c>
      <c r="O9" s="31">
        <v>-30472.2</v>
      </c>
      <c r="P9" s="31">
        <v>-30455.599999999999</v>
      </c>
    </row>
    <row r="10" spans="1:16" ht="15" customHeight="1">
      <c r="A10" s="23" t="s">
        <v>225</v>
      </c>
      <c r="B10" s="30">
        <v>-667</v>
      </c>
      <c r="C10" s="22">
        <v>1571</v>
      </c>
      <c r="D10" s="22">
        <v>1582</v>
      </c>
      <c r="E10" s="22">
        <v>1110</v>
      </c>
      <c r="F10" s="30">
        <v>-5235</v>
      </c>
      <c r="G10" s="30">
        <v>-15574</v>
      </c>
      <c r="H10" s="30">
        <v>-7297</v>
      </c>
      <c r="I10" s="30">
        <v>-10292</v>
      </c>
      <c r="J10" s="30">
        <v>-50728</v>
      </c>
      <c r="K10" s="30">
        <v>-19707.3</v>
      </c>
      <c r="L10" s="30">
        <v>-15279.2</v>
      </c>
      <c r="M10" s="30">
        <v>-13710.1</v>
      </c>
      <c r="N10" s="30">
        <v>-11706.2</v>
      </c>
      <c r="O10" s="30">
        <v>-15202.3</v>
      </c>
      <c r="P10" s="30">
        <v>-18882.8</v>
      </c>
    </row>
    <row r="11" spans="1:16" ht="15" customHeight="1">
      <c r="A11" s="24" t="s">
        <v>226</v>
      </c>
      <c r="B11" s="24" t="s">
        <v>149</v>
      </c>
      <c r="C11" s="24" t="s">
        <v>149</v>
      </c>
      <c r="D11" s="24" t="s">
        <v>149</v>
      </c>
      <c r="E11" s="24" t="s">
        <v>149</v>
      </c>
      <c r="F11" s="25">
        <v>1976</v>
      </c>
      <c r="G11" s="25">
        <v>12879</v>
      </c>
      <c r="H11" s="25">
        <v>4202</v>
      </c>
      <c r="I11" s="25">
        <v>6272</v>
      </c>
      <c r="J11" s="25">
        <v>44537.5</v>
      </c>
      <c r="K11" s="25">
        <v>25420.6</v>
      </c>
      <c r="L11" s="25">
        <v>19127.8</v>
      </c>
      <c r="M11" s="25">
        <v>19979.8</v>
      </c>
      <c r="N11" s="25">
        <v>21988.2</v>
      </c>
      <c r="O11" s="25">
        <v>16681.599999999999</v>
      </c>
      <c r="P11" s="25">
        <v>21298</v>
      </c>
    </row>
    <row r="13" spans="1:16" ht="15" customHeight="1">
      <c r="A13" s="21" t="s">
        <v>227</v>
      </c>
      <c r="K13" s="51">
        <v>9217.3040000000001</v>
      </c>
      <c r="L13" s="51">
        <v>11304.668</v>
      </c>
      <c r="M13" s="51">
        <v>13916.89</v>
      </c>
      <c r="N13" s="51">
        <v>15813.463</v>
      </c>
      <c r="O13" s="51">
        <v>20615.967000000001</v>
      </c>
      <c r="P13" s="51">
        <v>23066.866999999998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7B62-C89A-46F8-B3C6-D7C84F8E16BE}">
  <dimension ref="A1:K86"/>
  <sheetViews>
    <sheetView workbookViewId="0">
      <selection activeCell="A12" sqref="A12"/>
    </sheetView>
  </sheetViews>
  <sheetFormatPr baseColWidth="10" defaultColWidth="8.83203125" defaultRowHeight="15"/>
  <cols>
    <col min="1" max="1" width="118.83203125" bestFit="1" customWidth="1"/>
    <col min="2" max="11" width="10.1640625" bestFit="1" customWidth="1"/>
  </cols>
  <sheetData>
    <row r="1" spans="1:11">
      <c r="A1" s="1" t="s">
        <v>228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229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230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 t="s">
        <v>231</v>
      </c>
      <c r="C4" s="1" t="s">
        <v>232</v>
      </c>
      <c r="D4" s="1" t="s">
        <v>233</v>
      </c>
      <c r="E4" s="1" t="s">
        <v>234</v>
      </c>
      <c r="F4" s="1" t="s">
        <v>235</v>
      </c>
      <c r="G4" s="1" t="s">
        <v>236</v>
      </c>
      <c r="H4" s="1" t="s">
        <v>237</v>
      </c>
      <c r="I4" s="1" t="s">
        <v>238</v>
      </c>
      <c r="J4" s="1" t="s">
        <v>239</v>
      </c>
      <c r="K4" s="1" t="s">
        <v>240</v>
      </c>
    </row>
    <row r="5" spans="1:11">
      <c r="A5" s="14" t="s">
        <v>241</v>
      </c>
      <c r="B5" s="34">
        <v>1612</v>
      </c>
      <c r="C5" s="34">
        <v>4222</v>
      </c>
      <c r="D5" s="34">
        <v>5457</v>
      </c>
      <c r="E5" s="34">
        <v>8599</v>
      </c>
      <c r="F5" s="34">
        <v>16108</v>
      </c>
      <c r="G5" s="34">
        <v>24216</v>
      </c>
      <c r="H5" s="34">
        <v>29274</v>
      </c>
      <c r="I5" s="34">
        <v>36314</v>
      </c>
      <c r="J5" s="34">
        <v>38747</v>
      </c>
      <c r="K5" s="34">
        <v>57683</v>
      </c>
    </row>
    <row r="6" spans="1:11">
      <c r="A6" s="8" t="s">
        <v>242</v>
      </c>
      <c r="B6" s="11">
        <v>53</v>
      </c>
      <c r="C6" s="11">
        <v>1500</v>
      </c>
      <c r="D6" s="11">
        <v>2940</v>
      </c>
      <c r="E6" s="11">
        <v>3688</v>
      </c>
      <c r="F6" s="11">
        <v>10217</v>
      </c>
      <c r="G6" s="11">
        <v>15934</v>
      </c>
      <c r="H6" s="11">
        <v>22112</v>
      </c>
      <c r="I6" s="11">
        <v>18485</v>
      </c>
      <c r="J6" s="11">
        <v>29146</v>
      </c>
      <c r="K6" s="11">
        <v>39370</v>
      </c>
    </row>
    <row r="7" spans="1:11">
      <c r="A7" s="13" t="s">
        <v>243</v>
      </c>
      <c r="B7" s="35">
        <v>1559</v>
      </c>
      <c r="C7" s="35">
        <v>2722</v>
      </c>
      <c r="D7" s="35">
        <v>2517</v>
      </c>
      <c r="E7" s="35">
        <v>4911</v>
      </c>
      <c r="F7" s="35">
        <v>5891</v>
      </c>
      <c r="G7" s="35">
        <v>8282</v>
      </c>
      <c r="H7" s="35">
        <v>7162</v>
      </c>
      <c r="I7" s="35">
        <v>17829</v>
      </c>
      <c r="J7" s="35">
        <v>9601</v>
      </c>
      <c r="K7" s="35">
        <v>18313</v>
      </c>
    </row>
    <row r="8" spans="1:11">
      <c r="A8" s="15" t="s">
        <v>244</v>
      </c>
      <c r="B8" s="11">
        <v>649</v>
      </c>
      <c r="C8" s="11">
        <v>1011</v>
      </c>
      <c r="D8" s="11">
        <v>1243</v>
      </c>
      <c r="E8" s="11">
        <v>1945</v>
      </c>
      <c r="F8" s="11">
        <v>2342</v>
      </c>
      <c r="G8" s="11">
        <v>3025</v>
      </c>
      <c r="H8" s="11">
        <v>4315</v>
      </c>
      <c r="I8" s="11">
        <v>5741</v>
      </c>
      <c r="J8" s="11">
        <v>6862</v>
      </c>
      <c r="K8" s="11">
        <v>7967</v>
      </c>
    </row>
    <row r="9" spans="1:11">
      <c r="A9" s="16" t="s">
        <v>245</v>
      </c>
      <c r="B9" s="3">
        <v>15</v>
      </c>
      <c r="C9" s="3">
        <v>56</v>
      </c>
      <c r="D9" s="2" t="s">
        <v>149</v>
      </c>
      <c r="E9" s="2" t="s">
        <v>149</v>
      </c>
      <c r="F9" s="2" t="s">
        <v>149</v>
      </c>
      <c r="G9" s="2" t="s">
        <v>149</v>
      </c>
      <c r="H9" s="2" t="s">
        <v>149</v>
      </c>
      <c r="I9" s="2" t="s">
        <v>149</v>
      </c>
      <c r="J9" s="2" t="s">
        <v>149</v>
      </c>
      <c r="K9" s="2" t="s">
        <v>149</v>
      </c>
    </row>
    <row r="10" spans="1:11">
      <c r="A10" s="15" t="s">
        <v>246</v>
      </c>
      <c r="B10" s="11">
        <v>1572</v>
      </c>
      <c r="C10" s="11">
        <v>906</v>
      </c>
      <c r="D10" s="11">
        <v>1786</v>
      </c>
      <c r="E10" s="11">
        <v>2960</v>
      </c>
      <c r="F10" s="11">
        <v>3218</v>
      </c>
      <c r="G10" s="11">
        <v>3723</v>
      </c>
      <c r="H10" s="11">
        <v>4152</v>
      </c>
      <c r="I10" s="11">
        <v>4836</v>
      </c>
      <c r="J10" s="11">
        <v>6536</v>
      </c>
      <c r="K10" s="11">
        <v>9164</v>
      </c>
    </row>
    <row r="11" spans="1:11">
      <c r="A11" s="16" t="s">
        <v>247</v>
      </c>
      <c r="B11" s="7">
        <v>-186</v>
      </c>
      <c r="C11" s="7">
        <v>-37</v>
      </c>
      <c r="D11" s="7">
        <v>-210</v>
      </c>
      <c r="E11" s="7">
        <v>-795</v>
      </c>
      <c r="F11" s="7">
        <v>-457</v>
      </c>
      <c r="G11" s="7">
        <v>-377</v>
      </c>
      <c r="H11" s="3">
        <v>286</v>
      </c>
      <c r="I11" s="7">
        <v>-37</v>
      </c>
      <c r="J11" s="7">
        <v>-1192</v>
      </c>
      <c r="K11" s="3">
        <v>609</v>
      </c>
    </row>
    <row r="12" spans="1:11">
      <c r="A12" s="15" t="s">
        <v>248</v>
      </c>
      <c r="B12" s="11">
        <v>1033</v>
      </c>
      <c r="C12" s="11">
        <v>602</v>
      </c>
      <c r="D12" s="11">
        <v>1853</v>
      </c>
      <c r="E12" s="11">
        <v>1721</v>
      </c>
      <c r="F12" s="11">
        <v>0</v>
      </c>
      <c r="G12" s="11">
        <v>0</v>
      </c>
      <c r="H12" s="12" t="s">
        <v>149</v>
      </c>
      <c r="I12" s="12" t="s">
        <v>149</v>
      </c>
      <c r="J12" s="12" t="s">
        <v>149</v>
      </c>
      <c r="K12" s="12" t="s">
        <v>149</v>
      </c>
    </row>
    <row r="13" spans="1:11">
      <c r="A13" s="16" t="s">
        <v>249</v>
      </c>
      <c r="B13" s="7">
        <v>-1033</v>
      </c>
      <c r="C13" s="7">
        <v>-609</v>
      </c>
      <c r="D13" s="7">
        <v>-1869</v>
      </c>
      <c r="E13" s="7">
        <v>-1721</v>
      </c>
      <c r="F13" s="2" t="s">
        <v>149</v>
      </c>
      <c r="G13" s="2" t="s">
        <v>149</v>
      </c>
      <c r="H13" s="2" t="s">
        <v>149</v>
      </c>
      <c r="I13" s="2" t="s">
        <v>149</v>
      </c>
      <c r="J13" s="2" t="s">
        <v>149</v>
      </c>
      <c r="K13" s="2" t="s">
        <v>149</v>
      </c>
    </row>
    <row r="14" spans="1:11">
      <c r="A14" s="15" t="s">
        <v>250</v>
      </c>
      <c r="B14" s="12" t="s">
        <v>149</v>
      </c>
      <c r="C14" s="12" t="s">
        <v>149</v>
      </c>
      <c r="D14" s="12" t="s">
        <v>149</v>
      </c>
      <c r="E14" s="12" t="s">
        <v>149</v>
      </c>
      <c r="F14" s="12" t="s">
        <v>149</v>
      </c>
      <c r="G14" s="12" t="s">
        <v>149</v>
      </c>
      <c r="H14" s="12" t="s">
        <v>149</v>
      </c>
      <c r="I14" s="12" t="s">
        <v>149</v>
      </c>
      <c r="J14" s="12" t="s">
        <v>149</v>
      </c>
      <c r="K14" s="12" t="s">
        <v>149</v>
      </c>
    </row>
    <row r="15" spans="1:11">
      <c r="A15" s="36" t="s">
        <v>251</v>
      </c>
      <c r="B15" s="14" t="s">
        <v>149</v>
      </c>
      <c r="C15" s="34">
        <v>117</v>
      </c>
      <c r="D15" s="35">
        <v>-24</v>
      </c>
      <c r="E15" s="35">
        <v>17</v>
      </c>
      <c r="F15" s="34">
        <v>30</v>
      </c>
      <c r="G15" s="34">
        <v>24</v>
      </c>
      <c r="H15" s="34">
        <v>-64</v>
      </c>
      <c r="I15" s="34">
        <v>39</v>
      </c>
      <c r="J15" s="34">
        <v>118</v>
      </c>
      <c r="K15" s="34">
        <v>-127</v>
      </c>
    </row>
    <row r="16" spans="1:11">
      <c r="A16" s="19" t="s">
        <v>252</v>
      </c>
      <c r="B16" s="12" t="s">
        <v>149</v>
      </c>
      <c r="C16" s="11">
        <v>117</v>
      </c>
      <c r="D16" s="9">
        <v>-31</v>
      </c>
      <c r="E16" s="11">
        <v>0</v>
      </c>
      <c r="F16" s="12" t="s">
        <v>149</v>
      </c>
      <c r="G16" s="12" t="s">
        <v>149</v>
      </c>
      <c r="H16" s="12" t="s">
        <v>149</v>
      </c>
      <c r="I16" s="12" t="s">
        <v>149</v>
      </c>
      <c r="J16" s="12" t="s">
        <v>149</v>
      </c>
      <c r="K16" s="12" t="s">
        <v>149</v>
      </c>
    </row>
    <row r="17" spans="1:11">
      <c r="A17" s="18" t="s">
        <v>253</v>
      </c>
      <c r="B17" s="2" t="s">
        <v>149</v>
      </c>
      <c r="C17" s="2" t="s">
        <v>149</v>
      </c>
      <c r="D17" s="3">
        <v>7</v>
      </c>
      <c r="E17" s="3">
        <v>17</v>
      </c>
      <c r="F17" s="2" t="s">
        <v>149</v>
      </c>
      <c r="G17" s="2" t="s">
        <v>149</v>
      </c>
      <c r="H17" s="2" t="s">
        <v>149</v>
      </c>
      <c r="I17" s="2" t="s">
        <v>149</v>
      </c>
      <c r="J17" s="2" t="s">
        <v>149</v>
      </c>
      <c r="K17" s="2" t="s">
        <v>149</v>
      </c>
    </row>
    <row r="18" spans="1:11">
      <c r="A18" s="17" t="s">
        <v>254</v>
      </c>
      <c r="B18" s="10">
        <v>-491</v>
      </c>
      <c r="C18" s="10">
        <v>676</v>
      </c>
      <c r="D18" s="10">
        <v>-262</v>
      </c>
      <c r="E18" s="10">
        <v>784</v>
      </c>
      <c r="F18" s="10">
        <v>758</v>
      </c>
      <c r="G18" s="10">
        <v>1887</v>
      </c>
      <c r="H18" s="10">
        <v>-1527</v>
      </c>
      <c r="I18" s="10">
        <v>7250</v>
      </c>
      <c r="J18" s="10">
        <v>-2723</v>
      </c>
      <c r="K18" s="10">
        <v>700</v>
      </c>
    </row>
    <row r="19" spans="1:11">
      <c r="A19" s="18" t="s">
        <v>255</v>
      </c>
      <c r="B19" s="7">
        <v>-170</v>
      </c>
      <c r="C19" s="7">
        <v>-378</v>
      </c>
      <c r="D19" s="7">
        <v>-610</v>
      </c>
      <c r="E19" s="7">
        <v>-973</v>
      </c>
      <c r="F19" s="7">
        <v>-1489</v>
      </c>
      <c r="G19" s="7">
        <v>-1609</v>
      </c>
      <c r="H19" s="7">
        <v>-1892</v>
      </c>
      <c r="I19" s="7">
        <v>-1961</v>
      </c>
      <c r="J19" s="7">
        <v>-1512</v>
      </c>
      <c r="K19" s="7">
        <v>-3110</v>
      </c>
    </row>
    <row r="20" spans="1:11">
      <c r="A20" s="37" t="s">
        <v>179</v>
      </c>
      <c r="B20" s="10">
        <v>-465</v>
      </c>
      <c r="C20" s="10">
        <v>355</v>
      </c>
      <c r="D20" s="5">
        <v>-123</v>
      </c>
      <c r="E20" s="5">
        <v>-144</v>
      </c>
      <c r="F20" s="5">
        <v>-159</v>
      </c>
      <c r="G20" s="5">
        <v>-192</v>
      </c>
      <c r="H20" s="5">
        <v>-690</v>
      </c>
      <c r="I20" s="5">
        <v>47</v>
      </c>
      <c r="J20" s="5">
        <v>135</v>
      </c>
      <c r="K20" s="5">
        <v>-1750</v>
      </c>
    </row>
    <row r="21" spans="1:11">
      <c r="A21" s="38" t="s">
        <v>256</v>
      </c>
      <c r="B21" s="7">
        <v>-451</v>
      </c>
      <c r="C21" s="3">
        <v>400</v>
      </c>
      <c r="D21" s="2" t="s">
        <v>149</v>
      </c>
      <c r="E21" s="2" t="s">
        <v>149</v>
      </c>
      <c r="F21" s="2" t="s">
        <v>149</v>
      </c>
      <c r="G21" s="2" t="s">
        <v>149</v>
      </c>
      <c r="H21" s="2" t="s">
        <v>149</v>
      </c>
      <c r="I21" s="2" t="s">
        <v>149</v>
      </c>
      <c r="J21" s="2" t="s">
        <v>149</v>
      </c>
      <c r="K21" s="2" t="s">
        <v>149</v>
      </c>
    </row>
    <row r="22" spans="1:11">
      <c r="A22" s="39" t="s">
        <v>257</v>
      </c>
      <c r="B22" s="9">
        <v>-14</v>
      </c>
      <c r="C22" s="9">
        <v>-45</v>
      </c>
      <c r="D22" s="12" t="s">
        <v>149</v>
      </c>
      <c r="E22" s="12" t="s">
        <v>149</v>
      </c>
      <c r="F22" s="12" t="s">
        <v>149</v>
      </c>
      <c r="G22" s="12" t="s">
        <v>149</v>
      </c>
      <c r="H22" s="12" t="s">
        <v>149</v>
      </c>
      <c r="I22" s="12" t="s">
        <v>149</v>
      </c>
      <c r="J22" s="12" t="s">
        <v>149</v>
      </c>
      <c r="K22" s="12" t="s">
        <v>149</v>
      </c>
    </row>
    <row r="23" spans="1:11">
      <c r="A23" s="18" t="s">
        <v>181</v>
      </c>
      <c r="B23" s="3">
        <v>2</v>
      </c>
      <c r="C23" s="7">
        <v>-142</v>
      </c>
      <c r="D23" s="7">
        <v>-216</v>
      </c>
      <c r="E23" s="7">
        <v>-3</v>
      </c>
      <c r="F23" s="3">
        <v>14</v>
      </c>
      <c r="G23" s="3">
        <v>154</v>
      </c>
      <c r="H23" s="7">
        <v>-159</v>
      </c>
      <c r="I23" s="3">
        <v>41</v>
      </c>
      <c r="J23" s="7">
        <v>-34</v>
      </c>
      <c r="K23" s="7">
        <v>-349</v>
      </c>
    </row>
    <row r="24" spans="1:11">
      <c r="A24" s="19" t="s">
        <v>258</v>
      </c>
      <c r="B24" s="11">
        <v>1</v>
      </c>
      <c r="C24" s="11">
        <v>26</v>
      </c>
      <c r="D24" s="11">
        <v>31</v>
      </c>
      <c r="E24" s="11">
        <v>18</v>
      </c>
      <c r="F24" s="11">
        <v>14</v>
      </c>
      <c r="G24" s="11">
        <v>43</v>
      </c>
      <c r="H24" s="11">
        <v>221</v>
      </c>
      <c r="I24" s="11">
        <v>113</v>
      </c>
      <c r="J24" s="9">
        <v>-17</v>
      </c>
      <c r="K24" s="11">
        <v>1436</v>
      </c>
    </row>
    <row r="25" spans="1:11">
      <c r="A25" s="18" t="s">
        <v>187</v>
      </c>
      <c r="B25" s="7">
        <v>-2</v>
      </c>
      <c r="C25" s="3">
        <v>12</v>
      </c>
      <c r="D25" s="7">
        <v>-28</v>
      </c>
      <c r="E25" s="3">
        <v>17</v>
      </c>
      <c r="F25" s="3">
        <v>67</v>
      </c>
      <c r="G25" s="3">
        <v>95</v>
      </c>
      <c r="H25" s="3">
        <v>157</v>
      </c>
      <c r="I25" s="3">
        <v>348</v>
      </c>
      <c r="J25" s="3">
        <v>178</v>
      </c>
      <c r="K25" s="7">
        <v>-12</v>
      </c>
    </row>
    <row r="26" spans="1:11">
      <c r="A26" s="19" t="s">
        <v>259</v>
      </c>
      <c r="B26" s="11">
        <v>160</v>
      </c>
      <c r="C26" s="9">
        <v>-38</v>
      </c>
      <c r="D26" s="11">
        <v>328</v>
      </c>
      <c r="E26" s="11">
        <v>513</v>
      </c>
      <c r="F26" s="11">
        <v>1014</v>
      </c>
      <c r="G26" s="11">
        <v>309</v>
      </c>
      <c r="H26" s="11">
        <v>1417</v>
      </c>
      <c r="I26" s="11">
        <v>7300</v>
      </c>
      <c r="J26" s="9">
        <v>-1054</v>
      </c>
      <c r="K26" s="11">
        <v>3357</v>
      </c>
    </row>
    <row r="27" spans="1:11">
      <c r="A27" s="18" t="s">
        <v>260</v>
      </c>
      <c r="B27" s="7">
        <v>-60</v>
      </c>
      <c r="C27" s="3">
        <v>8</v>
      </c>
      <c r="D27" s="3">
        <v>10</v>
      </c>
      <c r="E27" s="7">
        <v>-9</v>
      </c>
      <c r="F27" s="3">
        <v>35</v>
      </c>
      <c r="G27" s="3">
        <v>4</v>
      </c>
      <c r="H27" s="3">
        <v>53</v>
      </c>
      <c r="I27" s="3">
        <v>123</v>
      </c>
      <c r="J27" s="3">
        <v>108</v>
      </c>
      <c r="K27" s="3">
        <v>187</v>
      </c>
    </row>
    <row r="28" spans="1:11">
      <c r="A28" s="37" t="s">
        <v>190</v>
      </c>
      <c r="B28" s="5">
        <v>43</v>
      </c>
      <c r="C28" s="5">
        <v>833</v>
      </c>
      <c r="D28" s="5">
        <v>346</v>
      </c>
      <c r="E28" s="5">
        <v>1365</v>
      </c>
      <c r="F28" s="5">
        <v>1262</v>
      </c>
      <c r="G28" s="5">
        <v>3083</v>
      </c>
      <c r="H28" s="5">
        <v>-634</v>
      </c>
      <c r="I28" s="5">
        <v>1239</v>
      </c>
      <c r="J28" s="5">
        <v>-527</v>
      </c>
      <c r="K28" s="5">
        <v>941</v>
      </c>
    </row>
    <row r="29" spans="1:11">
      <c r="A29" s="38" t="s">
        <v>261</v>
      </c>
      <c r="B29" s="2" t="s">
        <v>149</v>
      </c>
      <c r="C29" s="2" t="s">
        <v>149</v>
      </c>
      <c r="D29" s="2" t="s">
        <v>149</v>
      </c>
      <c r="E29" s="2" t="s">
        <v>149</v>
      </c>
      <c r="F29" s="2" t="s">
        <v>149</v>
      </c>
      <c r="G29" s="2" t="s">
        <v>149</v>
      </c>
      <c r="H29" s="2" t="s">
        <v>149</v>
      </c>
      <c r="I29" s="2" t="s">
        <v>149</v>
      </c>
      <c r="J29" s="2" t="s">
        <v>149</v>
      </c>
      <c r="K29" s="2" t="s">
        <v>149</v>
      </c>
    </row>
    <row r="30" spans="1:11">
      <c r="A30" s="39" t="s">
        <v>262</v>
      </c>
      <c r="B30" s="12" t="s">
        <v>149</v>
      </c>
      <c r="C30" s="12" t="s">
        <v>149</v>
      </c>
      <c r="D30" s="12" t="s">
        <v>149</v>
      </c>
      <c r="E30" s="12" t="s">
        <v>149</v>
      </c>
      <c r="F30" s="12" t="s">
        <v>149</v>
      </c>
      <c r="G30" s="12" t="s">
        <v>149</v>
      </c>
      <c r="H30" s="12" t="s">
        <v>149</v>
      </c>
      <c r="I30" s="12" t="s">
        <v>149</v>
      </c>
      <c r="J30" s="12" t="s">
        <v>149</v>
      </c>
      <c r="K30" s="12" t="s">
        <v>149</v>
      </c>
    </row>
    <row r="31" spans="1:11">
      <c r="A31" s="38" t="s">
        <v>263</v>
      </c>
      <c r="B31" s="3">
        <v>43</v>
      </c>
      <c r="C31" s="3">
        <v>833</v>
      </c>
      <c r="D31" s="3">
        <v>346</v>
      </c>
      <c r="E31" s="3">
        <v>1365</v>
      </c>
      <c r="F31" s="3">
        <v>1262</v>
      </c>
      <c r="G31" s="3">
        <v>3083</v>
      </c>
      <c r="H31" s="7">
        <v>-634</v>
      </c>
      <c r="I31" s="2" t="s">
        <v>149</v>
      </c>
      <c r="J31" s="2" t="s">
        <v>149</v>
      </c>
      <c r="K31" s="2" t="s">
        <v>149</v>
      </c>
    </row>
    <row r="32" spans="1:11">
      <c r="A32" s="4" t="s">
        <v>264</v>
      </c>
      <c r="B32" s="5">
        <v>-7024</v>
      </c>
      <c r="C32" s="5">
        <v>-2624</v>
      </c>
      <c r="D32" s="5">
        <v>-5913</v>
      </c>
      <c r="E32" s="5">
        <v>-9434</v>
      </c>
      <c r="F32" s="5">
        <v>-11739</v>
      </c>
      <c r="G32" s="5">
        <v>-20038</v>
      </c>
      <c r="H32" s="5">
        <v>-11603</v>
      </c>
      <c r="I32" s="5">
        <v>-19864</v>
      </c>
      <c r="J32" s="5">
        <v>-30059</v>
      </c>
      <c r="K32" s="5">
        <v>-7570</v>
      </c>
    </row>
    <row r="33" spans="1:11">
      <c r="A33" s="13" t="s">
        <v>265</v>
      </c>
      <c r="B33" s="34">
        <v>-1235</v>
      </c>
      <c r="C33" s="34">
        <v>-1362</v>
      </c>
      <c r="D33" s="34">
        <v>-1831</v>
      </c>
      <c r="E33" s="34">
        <v>-2523</v>
      </c>
      <c r="F33" s="34">
        <v>-4491</v>
      </c>
      <c r="G33" s="34">
        <v>-6733</v>
      </c>
      <c r="H33" s="34">
        <v>-13915</v>
      </c>
      <c r="I33" s="34">
        <v>-15102</v>
      </c>
      <c r="J33" s="34">
        <v>-15115</v>
      </c>
      <c r="K33" s="34">
        <v>-18567</v>
      </c>
    </row>
    <row r="34" spans="1:11">
      <c r="A34" s="15" t="s">
        <v>266</v>
      </c>
      <c r="B34" s="12" t="s">
        <v>149</v>
      </c>
      <c r="C34" s="12" t="s">
        <v>149</v>
      </c>
      <c r="D34" s="12" t="s">
        <v>149</v>
      </c>
      <c r="E34" s="12" t="s">
        <v>149</v>
      </c>
      <c r="F34" s="12" t="s">
        <v>149</v>
      </c>
      <c r="G34" s="12" t="s">
        <v>149</v>
      </c>
      <c r="H34" s="12" t="s">
        <v>149</v>
      </c>
      <c r="I34" s="12" t="s">
        <v>149</v>
      </c>
      <c r="J34" s="12" t="s">
        <v>149</v>
      </c>
      <c r="K34" s="12" t="s">
        <v>149</v>
      </c>
    </row>
    <row r="35" spans="1:11">
      <c r="A35" s="16" t="s">
        <v>267</v>
      </c>
      <c r="B35" s="2" t="s">
        <v>149</v>
      </c>
      <c r="C35" s="2" t="s">
        <v>149</v>
      </c>
      <c r="D35" s="2" t="s">
        <v>149</v>
      </c>
      <c r="E35" s="2" t="s">
        <v>149</v>
      </c>
      <c r="F35" s="2" t="s">
        <v>149</v>
      </c>
      <c r="G35" s="2" t="s">
        <v>149</v>
      </c>
      <c r="H35" s="2" t="s">
        <v>149</v>
      </c>
      <c r="I35" s="2" t="s">
        <v>149</v>
      </c>
      <c r="J35" s="2" t="s">
        <v>149</v>
      </c>
      <c r="K35" s="2" t="s">
        <v>149</v>
      </c>
    </row>
    <row r="36" spans="1:11">
      <c r="A36" s="8" t="s">
        <v>268</v>
      </c>
      <c r="B36" s="9">
        <v>-10307</v>
      </c>
      <c r="C36" s="9">
        <v>-7433</v>
      </c>
      <c r="D36" s="9">
        <v>-9104</v>
      </c>
      <c r="E36" s="9">
        <v>-15938</v>
      </c>
      <c r="F36" s="9">
        <v>-22341</v>
      </c>
      <c r="G36" s="9">
        <v>-25682</v>
      </c>
      <c r="H36" s="9">
        <v>-14656</v>
      </c>
      <c r="I36" s="9">
        <v>-23910</v>
      </c>
      <c r="J36" s="9">
        <v>-33930</v>
      </c>
      <c r="K36" s="9">
        <v>-30407</v>
      </c>
    </row>
    <row r="37" spans="1:11">
      <c r="A37" s="6" t="s">
        <v>269</v>
      </c>
      <c r="B37" s="3">
        <v>2100</v>
      </c>
      <c r="C37" s="3">
        <v>2988</v>
      </c>
      <c r="D37" s="3">
        <v>8438</v>
      </c>
      <c r="E37" s="3">
        <v>6928</v>
      </c>
      <c r="F37" s="3">
        <v>13894</v>
      </c>
      <c r="G37" s="3">
        <v>9444</v>
      </c>
      <c r="H37" s="3">
        <v>12358</v>
      </c>
      <c r="I37" s="3">
        <v>9565</v>
      </c>
      <c r="J37" s="3">
        <v>11787</v>
      </c>
      <c r="K37" s="3">
        <v>31671</v>
      </c>
    </row>
    <row r="38" spans="1:11">
      <c r="A38" s="8" t="s">
        <v>270</v>
      </c>
      <c r="B38" s="11">
        <v>3333</v>
      </c>
      <c r="C38" s="11">
        <v>3563</v>
      </c>
      <c r="D38" s="11">
        <v>1909</v>
      </c>
      <c r="E38" s="11">
        <v>2310</v>
      </c>
      <c r="F38" s="11">
        <v>1261</v>
      </c>
      <c r="G38" s="11">
        <v>2988</v>
      </c>
      <c r="H38" s="11">
        <v>4772</v>
      </c>
      <c r="I38" s="11">
        <v>10152</v>
      </c>
      <c r="J38" s="11">
        <v>13984</v>
      </c>
      <c r="K38" s="11">
        <v>10915</v>
      </c>
    </row>
    <row r="39" spans="1:11">
      <c r="A39" s="6" t="s">
        <v>271</v>
      </c>
      <c r="B39" s="7">
        <v>-2</v>
      </c>
      <c r="C39" s="7">
        <v>-1</v>
      </c>
      <c r="D39" s="2" t="s">
        <v>149</v>
      </c>
      <c r="E39" s="2" t="s">
        <v>149</v>
      </c>
      <c r="F39" s="2" t="s">
        <v>149</v>
      </c>
      <c r="G39" s="2" t="s">
        <v>149</v>
      </c>
      <c r="H39" s="2" t="s">
        <v>149</v>
      </c>
      <c r="I39" s="2" t="s">
        <v>149</v>
      </c>
      <c r="J39" s="2" t="s">
        <v>149</v>
      </c>
      <c r="K39" s="2" t="s">
        <v>149</v>
      </c>
    </row>
    <row r="40" spans="1:11">
      <c r="A40" s="8" t="s">
        <v>272</v>
      </c>
      <c r="B40" s="9">
        <v>-2</v>
      </c>
      <c r="C40" s="9">
        <v>-11</v>
      </c>
      <c r="D40" s="9">
        <v>-348</v>
      </c>
      <c r="E40" s="11">
        <v>102</v>
      </c>
      <c r="F40" s="11">
        <v>61</v>
      </c>
      <c r="G40" s="11">
        <v>67</v>
      </c>
      <c r="H40" s="12" t="s">
        <v>149</v>
      </c>
      <c r="I40" s="12" t="s">
        <v>149</v>
      </c>
      <c r="J40" s="12" t="s">
        <v>149</v>
      </c>
      <c r="K40" s="12" t="s">
        <v>149</v>
      </c>
    </row>
    <row r="41" spans="1:11">
      <c r="A41" s="13" t="s">
        <v>273</v>
      </c>
      <c r="B41" s="34">
        <v>-911</v>
      </c>
      <c r="C41" s="34">
        <v>-368</v>
      </c>
      <c r="D41" s="35">
        <v>-4977</v>
      </c>
      <c r="E41" s="35">
        <v>-313</v>
      </c>
      <c r="F41" s="35">
        <v>-123</v>
      </c>
      <c r="G41" s="34">
        <v>-122</v>
      </c>
      <c r="H41" s="35">
        <v>-162</v>
      </c>
      <c r="I41" s="35">
        <v>-569</v>
      </c>
      <c r="J41" s="35">
        <v>-6785</v>
      </c>
      <c r="K41" s="35">
        <v>-1182</v>
      </c>
    </row>
    <row r="42" spans="1:11">
      <c r="A42" s="17" t="s">
        <v>274</v>
      </c>
      <c r="B42" s="4" t="s">
        <v>149</v>
      </c>
      <c r="C42" s="4" t="s">
        <v>149</v>
      </c>
      <c r="D42" s="5">
        <v>-2</v>
      </c>
      <c r="E42" s="5">
        <v>0</v>
      </c>
      <c r="F42" s="5">
        <v>0</v>
      </c>
      <c r="G42" s="4" t="s">
        <v>149</v>
      </c>
      <c r="H42" s="5">
        <v>-25</v>
      </c>
      <c r="I42" s="5">
        <v>-61</v>
      </c>
      <c r="J42" s="10">
        <v>-6397</v>
      </c>
      <c r="K42" s="10">
        <v>-331</v>
      </c>
    </row>
    <row r="43" spans="1:11">
      <c r="A43" s="18" t="s">
        <v>275</v>
      </c>
      <c r="B43" s="2" t="s">
        <v>149</v>
      </c>
      <c r="C43" s="2" t="s">
        <v>149</v>
      </c>
      <c r="D43" s="2" t="s">
        <v>149</v>
      </c>
      <c r="E43" s="2" t="s">
        <v>149</v>
      </c>
      <c r="F43" s="2" t="s">
        <v>149</v>
      </c>
      <c r="G43" s="2" t="s">
        <v>149</v>
      </c>
      <c r="H43" s="2" t="s">
        <v>149</v>
      </c>
      <c r="I43" s="2" t="s">
        <v>149</v>
      </c>
      <c r="J43" s="7">
        <v>-6361</v>
      </c>
      <c r="K43" s="7">
        <v>-47</v>
      </c>
    </row>
    <row r="44" spans="1:11">
      <c r="A44" s="19" t="s">
        <v>276</v>
      </c>
      <c r="B44" s="12" t="s">
        <v>149</v>
      </c>
      <c r="C44" s="12" t="s">
        <v>149</v>
      </c>
      <c r="D44" s="12" t="s">
        <v>149</v>
      </c>
      <c r="E44" s="12" t="s">
        <v>149</v>
      </c>
      <c r="F44" s="12" t="s">
        <v>149</v>
      </c>
      <c r="G44" s="12" t="s">
        <v>149</v>
      </c>
      <c r="H44" s="12" t="s">
        <v>149</v>
      </c>
      <c r="I44" s="12" t="s">
        <v>149</v>
      </c>
      <c r="J44" s="9">
        <v>-36</v>
      </c>
      <c r="K44" s="9">
        <v>-284</v>
      </c>
    </row>
    <row r="45" spans="1:11">
      <c r="A45" s="16" t="s">
        <v>277</v>
      </c>
      <c r="B45" s="7">
        <v>-911</v>
      </c>
      <c r="C45" s="7">
        <v>-368</v>
      </c>
      <c r="D45" s="7">
        <v>-4975</v>
      </c>
      <c r="E45" s="7">
        <v>-313</v>
      </c>
      <c r="F45" s="7">
        <v>-123</v>
      </c>
      <c r="G45" s="7">
        <v>-122</v>
      </c>
      <c r="H45" s="7">
        <v>-137</v>
      </c>
      <c r="I45" s="7">
        <v>-508</v>
      </c>
      <c r="J45" s="7">
        <v>-388</v>
      </c>
      <c r="K45" s="7">
        <v>-851</v>
      </c>
    </row>
    <row r="46" spans="1:11">
      <c r="A46" s="4" t="s">
        <v>278</v>
      </c>
      <c r="B46" s="5">
        <v>6283</v>
      </c>
      <c r="C46" s="5">
        <v>-667</v>
      </c>
      <c r="D46" s="5">
        <v>1571</v>
      </c>
      <c r="E46" s="5">
        <v>1582</v>
      </c>
      <c r="F46" s="5">
        <v>-310</v>
      </c>
      <c r="G46" s="5">
        <v>-5235</v>
      </c>
      <c r="H46" s="5">
        <v>-15572</v>
      </c>
      <c r="I46" s="5">
        <v>-7299</v>
      </c>
      <c r="J46" s="5">
        <v>-10292</v>
      </c>
      <c r="K46" s="5">
        <v>-50728</v>
      </c>
    </row>
    <row r="47" spans="1:11">
      <c r="A47" s="6" t="s">
        <v>279</v>
      </c>
      <c r="B47" s="2" t="s">
        <v>149</v>
      </c>
      <c r="C47" s="2" t="s">
        <v>149</v>
      </c>
      <c r="D47" s="2" t="s">
        <v>149</v>
      </c>
      <c r="E47" s="2" t="s">
        <v>149</v>
      </c>
      <c r="F47" s="2" t="s">
        <v>149</v>
      </c>
      <c r="G47" s="2" t="s">
        <v>149</v>
      </c>
      <c r="H47" s="2" t="s">
        <v>149</v>
      </c>
      <c r="I47" s="2" t="s">
        <v>149</v>
      </c>
      <c r="J47" s="2" t="s">
        <v>149</v>
      </c>
      <c r="K47" s="2" t="s">
        <v>149</v>
      </c>
    </row>
    <row r="48" spans="1:11">
      <c r="A48" s="8" t="s">
        <v>280</v>
      </c>
      <c r="B48" s="11">
        <v>6760</v>
      </c>
      <c r="C48" s="11">
        <v>1478</v>
      </c>
      <c r="D48" s="11">
        <v>0</v>
      </c>
      <c r="E48" s="11">
        <v>0</v>
      </c>
      <c r="F48" s="12" t="s">
        <v>149</v>
      </c>
      <c r="G48" s="12" t="s">
        <v>149</v>
      </c>
      <c r="H48" s="12" t="s">
        <v>149</v>
      </c>
      <c r="I48" s="12" t="s">
        <v>149</v>
      </c>
      <c r="J48" s="12" t="s">
        <v>149</v>
      </c>
      <c r="K48" s="12" t="s">
        <v>149</v>
      </c>
    </row>
    <row r="49" spans="1:11">
      <c r="A49" s="6" t="s">
        <v>281</v>
      </c>
      <c r="B49" s="3">
        <v>17</v>
      </c>
      <c r="C49" s="3">
        <v>26</v>
      </c>
      <c r="D49" s="3">
        <v>18</v>
      </c>
      <c r="E49" s="3">
        <v>0</v>
      </c>
      <c r="F49" s="2" t="s">
        <v>149</v>
      </c>
      <c r="G49" s="2" t="s">
        <v>149</v>
      </c>
      <c r="H49" s="2" t="s">
        <v>149</v>
      </c>
      <c r="I49" s="2" t="s">
        <v>149</v>
      </c>
      <c r="J49" s="2" t="s">
        <v>149</v>
      </c>
      <c r="K49" s="2" t="s">
        <v>149</v>
      </c>
    </row>
    <row r="50" spans="1:11">
      <c r="A50" s="40" t="s">
        <v>282</v>
      </c>
      <c r="B50" s="10">
        <v>1496</v>
      </c>
      <c r="C50" s="10">
        <v>-1500</v>
      </c>
      <c r="D50" s="10">
        <v>0</v>
      </c>
      <c r="E50" s="5">
        <v>0</v>
      </c>
      <c r="F50" s="4" t="s">
        <v>149</v>
      </c>
      <c r="G50" s="4" t="s">
        <v>149</v>
      </c>
      <c r="H50" s="4" t="s">
        <v>149</v>
      </c>
      <c r="I50" s="4" t="s">
        <v>149</v>
      </c>
      <c r="J50" s="4" t="s">
        <v>149</v>
      </c>
      <c r="K50" s="4" t="s">
        <v>149</v>
      </c>
    </row>
    <row r="51" spans="1:11">
      <c r="A51" s="16" t="s">
        <v>283</v>
      </c>
      <c r="B51" s="3">
        <v>1496</v>
      </c>
      <c r="C51" s="3">
        <v>0</v>
      </c>
      <c r="D51" s="3">
        <v>0</v>
      </c>
      <c r="E51" s="2" t="s">
        <v>149</v>
      </c>
      <c r="F51" s="2" t="s">
        <v>149</v>
      </c>
      <c r="G51" s="2" t="s">
        <v>149</v>
      </c>
      <c r="H51" s="2" t="s">
        <v>149</v>
      </c>
      <c r="I51" s="2" t="s">
        <v>149</v>
      </c>
      <c r="J51" s="2" t="s">
        <v>149</v>
      </c>
      <c r="K51" s="2" t="s">
        <v>149</v>
      </c>
    </row>
    <row r="52" spans="1:11">
      <c r="A52" s="15" t="s">
        <v>284</v>
      </c>
      <c r="B52" s="11">
        <v>0</v>
      </c>
      <c r="C52" s="9">
        <v>-1500</v>
      </c>
      <c r="D52" s="11">
        <v>0</v>
      </c>
      <c r="E52" s="11">
        <v>0</v>
      </c>
      <c r="F52" s="12" t="s">
        <v>149</v>
      </c>
      <c r="G52" s="12" t="s">
        <v>149</v>
      </c>
      <c r="H52" s="12" t="s">
        <v>149</v>
      </c>
      <c r="I52" s="12" t="s">
        <v>149</v>
      </c>
      <c r="J52" s="12" t="s">
        <v>149</v>
      </c>
      <c r="K52" s="12" t="s">
        <v>149</v>
      </c>
    </row>
    <row r="53" spans="1:11">
      <c r="A53" s="6" t="s">
        <v>285</v>
      </c>
      <c r="B53" s="3">
        <v>205</v>
      </c>
      <c r="C53" s="3">
        <v>0</v>
      </c>
      <c r="D53" s="3">
        <v>0</v>
      </c>
      <c r="E53" s="2" t="s">
        <v>149</v>
      </c>
      <c r="F53" s="2" t="s">
        <v>149</v>
      </c>
      <c r="G53" s="2" t="s">
        <v>149</v>
      </c>
      <c r="H53" s="2" t="s">
        <v>149</v>
      </c>
      <c r="I53" s="2" t="s">
        <v>149</v>
      </c>
      <c r="J53" s="2" t="s">
        <v>149</v>
      </c>
      <c r="K53" s="2" t="s">
        <v>149</v>
      </c>
    </row>
    <row r="54" spans="1:11">
      <c r="A54" s="40" t="s">
        <v>286</v>
      </c>
      <c r="B54" s="5">
        <v>-2862</v>
      </c>
      <c r="C54" s="5">
        <v>-889</v>
      </c>
      <c r="D54" s="5">
        <v>-73</v>
      </c>
      <c r="E54" s="5">
        <v>-20</v>
      </c>
      <c r="F54" s="5">
        <v>2</v>
      </c>
      <c r="G54" s="10">
        <v>-3259</v>
      </c>
      <c r="H54" s="10">
        <v>-3193</v>
      </c>
      <c r="I54" s="10">
        <v>-2322</v>
      </c>
      <c r="J54" s="10">
        <v>-3440</v>
      </c>
      <c r="K54" s="10">
        <v>-5528</v>
      </c>
    </row>
    <row r="55" spans="1:11">
      <c r="A55" s="16" t="s">
        <v>287</v>
      </c>
      <c r="B55" s="7">
        <v>-2862</v>
      </c>
      <c r="C55" s="7">
        <v>-889</v>
      </c>
      <c r="D55" s="7">
        <v>-73</v>
      </c>
      <c r="E55" s="7">
        <v>-20</v>
      </c>
      <c r="F55" s="2" t="s">
        <v>149</v>
      </c>
      <c r="G55" s="7">
        <v>-3246</v>
      </c>
      <c r="H55" s="7">
        <v>-3208</v>
      </c>
      <c r="I55" s="7">
        <v>-2337</v>
      </c>
      <c r="J55" s="7">
        <v>-3564</v>
      </c>
      <c r="K55" s="7">
        <v>-5515</v>
      </c>
    </row>
    <row r="56" spans="1:11">
      <c r="A56" s="15" t="s">
        <v>288</v>
      </c>
      <c r="B56" s="12" t="s">
        <v>149</v>
      </c>
      <c r="C56" s="12" t="s">
        <v>149</v>
      </c>
      <c r="D56" s="12" t="s">
        <v>149</v>
      </c>
      <c r="E56" s="12" t="s">
        <v>149</v>
      </c>
      <c r="F56" s="12" t="s">
        <v>149</v>
      </c>
      <c r="G56" s="9">
        <v>-13</v>
      </c>
      <c r="H56" s="11">
        <v>15</v>
      </c>
      <c r="I56" s="11">
        <v>15</v>
      </c>
      <c r="J56" s="11">
        <v>124</v>
      </c>
      <c r="K56" s="9">
        <v>-13</v>
      </c>
    </row>
    <row r="57" spans="1:11">
      <c r="A57" s="6" t="s">
        <v>289</v>
      </c>
      <c r="B57" s="7">
        <v>-366</v>
      </c>
      <c r="C57" s="7">
        <v>-391</v>
      </c>
      <c r="D57" s="7">
        <v>-243</v>
      </c>
      <c r="E57" s="7">
        <v>-119</v>
      </c>
      <c r="F57" s="7">
        <v>-312</v>
      </c>
      <c r="G57" s="3">
        <v>0</v>
      </c>
      <c r="H57" s="3">
        <v>0</v>
      </c>
      <c r="I57" s="2" t="s">
        <v>149</v>
      </c>
      <c r="J57" s="2" t="s">
        <v>149</v>
      </c>
      <c r="K57" s="2" t="s">
        <v>149</v>
      </c>
    </row>
    <row r="58" spans="1:11">
      <c r="A58" s="8" t="s">
        <v>249</v>
      </c>
      <c r="B58" s="11">
        <v>1033</v>
      </c>
      <c r="C58" s="11">
        <v>609</v>
      </c>
      <c r="D58" s="11">
        <v>1869</v>
      </c>
      <c r="E58" s="11">
        <v>1721</v>
      </c>
      <c r="F58" s="12" t="s">
        <v>149</v>
      </c>
      <c r="G58" s="12" t="s">
        <v>149</v>
      </c>
      <c r="H58" s="12" t="s">
        <v>149</v>
      </c>
      <c r="I58" s="12" t="s">
        <v>149</v>
      </c>
      <c r="J58" s="12" t="s">
        <v>149</v>
      </c>
      <c r="K58" s="12" t="s">
        <v>149</v>
      </c>
    </row>
    <row r="59" spans="1:11">
      <c r="A59" s="6" t="s">
        <v>290</v>
      </c>
      <c r="B59" s="2" t="s">
        <v>149</v>
      </c>
      <c r="C59" s="2" t="s">
        <v>149</v>
      </c>
      <c r="D59" s="2" t="s">
        <v>149</v>
      </c>
      <c r="E59" s="2" t="s">
        <v>149</v>
      </c>
      <c r="F59" s="2" t="s">
        <v>149</v>
      </c>
      <c r="G59" s="7">
        <v>-1976</v>
      </c>
      <c r="H59" s="7">
        <v>-12879</v>
      </c>
      <c r="I59" s="7">
        <v>-4202</v>
      </c>
      <c r="J59" s="7">
        <v>-6272</v>
      </c>
      <c r="K59" s="7">
        <v>-44537</v>
      </c>
    </row>
    <row r="60" spans="1:11">
      <c r="A60" s="8" t="s">
        <v>291</v>
      </c>
      <c r="B60" s="12" t="s">
        <v>149</v>
      </c>
      <c r="C60" s="12" t="s">
        <v>149</v>
      </c>
      <c r="D60" s="12" t="s">
        <v>149</v>
      </c>
      <c r="E60" s="12" t="s">
        <v>149</v>
      </c>
      <c r="F60" s="12" t="s">
        <v>149</v>
      </c>
      <c r="G60" s="12" t="s">
        <v>149</v>
      </c>
      <c r="H60" s="12" t="s">
        <v>149</v>
      </c>
      <c r="I60" s="9">
        <v>-552</v>
      </c>
      <c r="J60" s="9">
        <v>-604</v>
      </c>
      <c r="K60" s="9">
        <v>-677</v>
      </c>
    </row>
    <row r="61" spans="1:11">
      <c r="A61" s="6" t="s">
        <v>292</v>
      </c>
      <c r="B61" s="2" t="s">
        <v>149</v>
      </c>
      <c r="C61" s="2" t="s">
        <v>149</v>
      </c>
      <c r="D61" s="2" t="s">
        <v>149</v>
      </c>
      <c r="E61" s="2" t="s">
        <v>149</v>
      </c>
      <c r="F61" s="2" t="s">
        <v>149</v>
      </c>
      <c r="G61" s="2" t="s">
        <v>149</v>
      </c>
      <c r="H61" s="3">
        <v>500</v>
      </c>
      <c r="I61" s="7">
        <v>-223</v>
      </c>
      <c r="J61" s="3">
        <v>24</v>
      </c>
      <c r="K61" s="3">
        <v>14</v>
      </c>
    </row>
    <row r="62" spans="1:11">
      <c r="A62" s="12" t="s">
        <v>293</v>
      </c>
      <c r="B62" s="11">
        <v>1</v>
      </c>
      <c r="C62" s="11">
        <v>8</v>
      </c>
      <c r="D62" s="9">
        <v>-123</v>
      </c>
      <c r="E62" s="9">
        <v>-155</v>
      </c>
      <c r="F62" s="9">
        <v>-63</v>
      </c>
      <c r="G62" s="11">
        <v>233</v>
      </c>
      <c r="H62" s="9">
        <v>-179</v>
      </c>
      <c r="I62" s="11">
        <v>4</v>
      </c>
      <c r="J62" s="11">
        <v>279</v>
      </c>
      <c r="K62" s="9">
        <v>-474</v>
      </c>
    </row>
    <row r="63" spans="1:11">
      <c r="A63" s="2" t="s">
        <v>294</v>
      </c>
      <c r="B63" s="3">
        <v>872</v>
      </c>
      <c r="C63" s="3">
        <v>939</v>
      </c>
      <c r="D63" s="3">
        <v>992</v>
      </c>
      <c r="E63" s="3">
        <v>592</v>
      </c>
      <c r="F63" s="3">
        <v>3996</v>
      </c>
      <c r="G63" s="7">
        <v>-824</v>
      </c>
      <c r="H63" s="3">
        <v>1920</v>
      </c>
      <c r="I63" s="3">
        <v>9155</v>
      </c>
      <c r="J63" s="7">
        <v>-1325</v>
      </c>
      <c r="K63" s="7">
        <v>-1089</v>
      </c>
    </row>
    <row r="64" spans="1:11">
      <c r="A64" s="12" t="s">
        <v>295</v>
      </c>
      <c r="B64" s="11">
        <v>1512</v>
      </c>
      <c r="C64" s="11">
        <v>2384</v>
      </c>
      <c r="D64" s="11">
        <v>3323</v>
      </c>
      <c r="E64" s="11">
        <v>4315</v>
      </c>
      <c r="F64" s="11">
        <v>4907</v>
      </c>
      <c r="G64" s="11">
        <v>8903</v>
      </c>
      <c r="H64" s="11">
        <v>8204</v>
      </c>
      <c r="I64" s="11">
        <v>10124</v>
      </c>
      <c r="J64" s="11">
        <v>19279</v>
      </c>
      <c r="K64" s="11">
        <v>17954</v>
      </c>
    </row>
    <row r="65" spans="1:11">
      <c r="A65" s="2" t="s">
        <v>296</v>
      </c>
      <c r="B65" s="3">
        <v>2384</v>
      </c>
      <c r="C65" s="3">
        <v>3323</v>
      </c>
      <c r="D65" s="3">
        <v>4315</v>
      </c>
      <c r="E65" s="3">
        <v>4907</v>
      </c>
      <c r="F65" s="3">
        <v>8903</v>
      </c>
      <c r="G65" s="3">
        <v>8079</v>
      </c>
      <c r="H65" s="3">
        <v>10124</v>
      </c>
      <c r="I65" s="3">
        <v>19279</v>
      </c>
      <c r="J65" s="3">
        <v>17954</v>
      </c>
      <c r="K65" s="3">
        <v>16865</v>
      </c>
    </row>
    <row r="66" spans="1:11">
      <c r="A66" s="4" t="s">
        <v>297</v>
      </c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6" t="s">
        <v>298</v>
      </c>
      <c r="B67" s="2" t="s">
        <v>149</v>
      </c>
      <c r="C67" s="2" t="s">
        <v>149</v>
      </c>
      <c r="D67" s="2" t="s">
        <v>149</v>
      </c>
      <c r="E67" s="2" t="s">
        <v>149</v>
      </c>
      <c r="F67" s="2" t="s">
        <v>149</v>
      </c>
      <c r="G67" s="2" t="s">
        <v>149</v>
      </c>
      <c r="H67" s="3">
        <v>10019</v>
      </c>
      <c r="I67" s="3">
        <v>19079</v>
      </c>
      <c r="J67" s="3">
        <v>17576</v>
      </c>
      <c r="K67" s="3">
        <v>16601</v>
      </c>
    </row>
    <row r="68" spans="1:11">
      <c r="A68" s="8" t="s">
        <v>299</v>
      </c>
      <c r="B68" s="12" t="s">
        <v>149</v>
      </c>
      <c r="C68" s="12" t="s">
        <v>149</v>
      </c>
      <c r="D68" s="12" t="s">
        <v>149</v>
      </c>
      <c r="E68" s="12" t="s">
        <v>149</v>
      </c>
      <c r="F68" s="12" t="s">
        <v>149</v>
      </c>
      <c r="G68" s="12" t="s">
        <v>149</v>
      </c>
      <c r="H68" s="11">
        <v>10</v>
      </c>
      <c r="I68" s="11">
        <v>8</v>
      </c>
      <c r="J68" s="11">
        <v>241</v>
      </c>
      <c r="K68" s="11">
        <v>149</v>
      </c>
    </row>
    <row r="69" spans="1:11">
      <c r="A69" s="6" t="s">
        <v>300</v>
      </c>
      <c r="B69" s="2" t="s">
        <v>149</v>
      </c>
      <c r="C69" s="2" t="s">
        <v>149</v>
      </c>
      <c r="D69" s="2" t="s">
        <v>149</v>
      </c>
      <c r="E69" s="2" t="s">
        <v>149</v>
      </c>
      <c r="F69" s="2" t="s">
        <v>149</v>
      </c>
      <c r="G69" s="2" t="s">
        <v>149</v>
      </c>
      <c r="H69" s="3">
        <v>95</v>
      </c>
      <c r="I69" s="3">
        <v>192</v>
      </c>
      <c r="J69" s="3">
        <v>137</v>
      </c>
      <c r="K69" s="3">
        <v>115</v>
      </c>
    </row>
    <row r="70" spans="1:11">
      <c r="A70" s="8" t="s">
        <v>301</v>
      </c>
      <c r="B70" s="12" t="s">
        <v>149</v>
      </c>
      <c r="C70" s="12" t="s">
        <v>149</v>
      </c>
      <c r="D70" s="12" t="s">
        <v>149</v>
      </c>
      <c r="E70" s="12" t="s">
        <v>149</v>
      </c>
      <c r="F70" s="12" t="s">
        <v>149</v>
      </c>
      <c r="G70" s="12" t="s">
        <v>149</v>
      </c>
      <c r="H70" s="11">
        <v>10124</v>
      </c>
      <c r="I70" s="11">
        <v>19279</v>
      </c>
      <c r="J70" s="11">
        <v>17954</v>
      </c>
      <c r="K70" s="11">
        <v>16865</v>
      </c>
    </row>
    <row r="71" spans="1:11">
      <c r="A71" s="14" t="s">
        <v>302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>
      <c r="A72" s="8" t="s">
        <v>303</v>
      </c>
      <c r="B72" s="41">
        <v>-38</v>
      </c>
      <c r="C72" s="41">
        <v>-38</v>
      </c>
      <c r="D72" s="41">
        <v>-14</v>
      </c>
      <c r="E72" s="41">
        <v>-10</v>
      </c>
      <c r="F72" s="41">
        <v>-11</v>
      </c>
      <c r="G72" s="42">
        <v>0</v>
      </c>
      <c r="H72" s="41">
        <v>-1</v>
      </c>
      <c r="I72" s="12" t="s">
        <v>149</v>
      </c>
      <c r="J72" s="12" t="s">
        <v>149</v>
      </c>
      <c r="K72" s="12" t="s">
        <v>149</v>
      </c>
    </row>
    <row r="73" spans="1:11">
      <c r="A73" s="13" t="s">
        <v>304</v>
      </c>
      <c r="B73" s="43">
        <v>-53</v>
      </c>
      <c r="C73" s="44">
        <v>339</v>
      </c>
      <c r="D73" s="44">
        <v>-178</v>
      </c>
      <c r="E73" s="44">
        <v>-270</v>
      </c>
      <c r="F73" s="43">
        <v>-1210</v>
      </c>
      <c r="G73" s="43">
        <v>-2117</v>
      </c>
      <c r="H73" s="43">
        <v>-3762</v>
      </c>
      <c r="I73" s="43">
        <v>-5182</v>
      </c>
      <c r="J73" s="43">
        <v>-4229</v>
      </c>
      <c r="K73" s="43">
        <v>-8525</v>
      </c>
    </row>
    <row r="74" spans="1:11">
      <c r="A74" s="15" t="s">
        <v>305</v>
      </c>
      <c r="B74" s="12" t="s">
        <v>149</v>
      </c>
      <c r="C74" s="41">
        <v>-82</v>
      </c>
      <c r="D74" s="41">
        <v>-184</v>
      </c>
      <c r="E74" s="41">
        <v>-273</v>
      </c>
      <c r="F74" s="12" t="s">
        <v>149</v>
      </c>
      <c r="G74" s="12" t="s">
        <v>149</v>
      </c>
      <c r="H74" s="12" t="s">
        <v>149</v>
      </c>
      <c r="I74" s="12" t="s">
        <v>149</v>
      </c>
      <c r="J74" s="12" t="s">
        <v>149</v>
      </c>
      <c r="K74" s="12" t="s">
        <v>149</v>
      </c>
    </row>
    <row r="75" spans="1:11">
      <c r="A75" s="16" t="s">
        <v>306</v>
      </c>
      <c r="B75" s="2" t="s">
        <v>149</v>
      </c>
      <c r="C75" s="20">
        <v>421</v>
      </c>
      <c r="D75" s="20">
        <v>6</v>
      </c>
      <c r="E75" s="20">
        <v>3</v>
      </c>
      <c r="F75" s="2" t="s">
        <v>149</v>
      </c>
      <c r="G75" s="2" t="s">
        <v>149</v>
      </c>
      <c r="H75" s="2" t="s">
        <v>149</v>
      </c>
      <c r="I75" s="2" t="s">
        <v>149</v>
      </c>
      <c r="J75" s="2" t="s">
        <v>149</v>
      </c>
      <c r="K75" s="2" t="s">
        <v>149</v>
      </c>
    </row>
    <row r="76" spans="1:11">
      <c r="A76" s="40" t="s">
        <v>307</v>
      </c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16" t="s">
        <v>308</v>
      </c>
      <c r="B77" s="2" t="s">
        <v>149</v>
      </c>
      <c r="C77" s="2" t="s">
        <v>149</v>
      </c>
      <c r="D77" s="2" t="s">
        <v>149</v>
      </c>
      <c r="E77" s="2" t="s">
        <v>149</v>
      </c>
      <c r="F77" s="2" t="s">
        <v>149</v>
      </c>
      <c r="G77" s="2" t="s">
        <v>149</v>
      </c>
      <c r="H77" s="2" t="s">
        <v>149</v>
      </c>
      <c r="I77" s="3">
        <v>1887</v>
      </c>
      <c r="J77" s="3">
        <v>2201</v>
      </c>
      <c r="K77" s="3">
        <v>3404</v>
      </c>
    </row>
    <row r="78" spans="1:11">
      <c r="A78" s="15" t="s">
        <v>309</v>
      </c>
      <c r="B78" s="9">
        <v>-40</v>
      </c>
      <c r="C78" s="11">
        <v>53</v>
      </c>
      <c r="D78" s="11">
        <v>91</v>
      </c>
      <c r="E78" s="11">
        <v>88</v>
      </c>
      <c r="F78" s="11">
        <v>272</v>
      </c>
      <c r="G78" s="11">
        <v>363</v>
      </c>
      <c r="H78" s="11">
        <v>918</v>
      </c>
      <c r="I78" s="9">
        <v>-153</v>
      </c>
      <c r="J78" s="11">
        <v>118</v>
      </c>
      <c r="K78" s="11">
        <v>73</v>
      </c>
    </row>
    <row r="79" spans="1:11">
      <c r="A79" s="16" t="s">
        <v>310</v>
      </c>
      <c r="B79" s="3">
        <v>340</v>
      </c>
      <c r="C79" s="3">
        <v>11</v>
      </c>
      <c r="D79" s="3">
        <v>0</v>
      </c>
      <c r="E79" s="3">
        <v>0</v>
      </c>
      <c r="F79" s="2" t="s">
        <v>149</v>
      </c>
      <c r="G79" s="2" t="s">
        <v>149</v>
      </c>
      <c r="H79" s="2" t="s">
        <v>149</v>
      </c>
      <c r="I79" s="2" t="s">
        <v>149</v>
      </c>
      <c r="J79" s="2" t="s">
        <v>149</v>
      </c>
      <c r="K79" s="2" t="s">
        <v>149</v>
      </c>
    </row>
    <row r="80" spans="1:11">
      <c r="A80" s="15" t="s">
        <v>311</v>
      </c>
      <c r="B80" s="11">
        <v>274</v>
      </c>
      <c r="C80" s="11">
        <v>77</v>
      </c>
      <c r="D80" s="11">
        <v>14344</v>
      </c>
      <c r="E80" s="11">
        <v>0</v>
      </c>
      <c r="F80" s="11">
        <v>0</v>
      </c>
      <c r="G80" s="12" t="s">
        <v>149</v>
      </c>
      <c r="H80" s="12" t="s">
        <v>149</v>
      </c>
      <c r="I80" s="12" t="s">
        <v>149</v>
      </c>
      <c r="J80" s="12" t="s">
        <v>149</v>
      </c>
      <c r="K80" s="12" t="s">
        <v>149</v>
      </c>
    </row>
    <row r="81" spans="1:11">
      <c r="A81" s="16" t="s">
        <v>312</v>
      </c>
      <c r="B81" s="2" t="s">
        <v>149</v>
      </c>
      <c r="C81" s="2" t="s">
        <v>149</v>
      </c>
      <c r="D81" s="2" t="s">
        <v>149</v>
      </c>
      <c r="E81" s="3">
        <v>198</v>
      </c>
      <c r="F81" s="3">
        <v>0</v>
      </c>
      <c r="G81" s="3">
        <v>0</v>
      </c>
      <c r="H81" s="2" t="s">
        <v>149</v>
      </c>
      <c r="I81" s="2" t="s">
        <v>149</v>
      </c>
      <c r="J81" s="2" t="s">
        <v>149</v>
      </c>
      <c r="K81" s="2" t="s">
        <v>149</v>
      </c>
    </row>
    <row r="82" spans="1:11">
      <c r="A82" s="15" t="s">
        <v>313</v>
      </c>
      <c r="B82" s="12" t="s">
        <v>149</v>
      </c>
      <c r="C82" s="12" t="s">
        <v>149</v>
      </c>
      <c r="D82" s="12" t="s">
        <v>149</v>
      </c>
      <c r="E82" s="12" t="s">
        <v>149</v>
      </c>
      <c r="F82" s="11">
        <v>33</v>
      </c>
      <c r="G82" s="11">
        <v>102</v>
      </c>
      <c r="H82" s="11">
        <v>0</v>
      </c>
      <c r="I82" s="12" t="s">
        <v>149</v>
      </c>
      <c r="J82" s="12" t="s">
        <v>149</v>
      </c>
      <c r="K82" s="12" t="s">
        <v>149</v>
      </c>
    </row>
    <row r="83" spans="1:11">
      <c r="A83" s="16" t="s">
        <v>314</v>
      </c>
      <c r="B83" s="2" t="s">
        <v>149</v>
      </c>
      <c r="C83" s="2" t="s">
        <v>149</v>
      </c>
      <c r="D83" s="2" t="s">
        <v>149</v>
      </c>
      <c r="E83" s="2" t="s">
        <v>149</v>
      </c>
      <c r="F83" s="2" t="s">
        <v>149</v>
      </c>
      <c r="G83" s="2" t="s">
        <v>149</v>
      </c>
      <c r="H83" s="2" t="s">
        <v>149</v>
      </c>
      <c r="I83" s="2" t="s">
        <v>149</v>
      </c>
      <c r="J83" s="2" t="s">
        <v>149</v>
      </c>
      <c r="K83" s="2" t="s">
        <v>149</v>
      </c>
    </row>
    <row r="84" spans="1:11">
      <c r="A84" s="15" t="s">
        <v>315</v>
      </c>
      <c r="B84" s="12" t="s">
        <v>149</v>
      </c>
      <c r="C84" s="12" t="s">
        <v>149</v>
      </c>
      <c r="D84" s="12" t="s">
        <v>149</v>
      </c>
      <c r="E84" s="12" t="s">
        <v>149</v>
      </c>
      <c r="F84" s="12" t="s">
        <v>149</v>
      </c>
      <c r="G84" s="12" t="s">
        <v>149</v>
      </c>
      <c r="H84" s="12" t="s">
        <v>149</v>
      </c>
      <c r="I84" s="12" t="s">
        <v>149</v>
      </c>
      <c r="J84" s="12" t="s">
        <v>149</v>
      </c>
      <c r="K84" s="12" t="s">
        <v>149</v>
      </c>
    </row>
    <row r="85" spans="1:11">
      <c r="A85" s="16" t="s">
        <v>316</v>
      </c>
      <c r="B85" s="2" t="s">
        <v>149</v>
      </c>
      <c r="C85" s="2" t="s">
        <v>149</v>
      </c>
      <c r="D85" s="2" t="s">
        <v>149</v>
      </c>
      <c r="E85" s="2" t="s">
        <v>149</v>
      </c>
      <c r="F85" s="2" t="s">
        <v>149</v>
      </c>
      <c r="G85" s="2" t="s">
        <v>149</v>
      </c>
      <c r="H85" s="2" t="s">
        <v>149</v>
      </c>
      <c r="I85" s="2" t="s">
        <v>149</v>
      </c>
      <c r="J85" s="2" t="s">
        <v>149</v>
      </c>
      <c r="K85" s="3">
        <v>508</v>
      </c>
    </row>
    <row r="86" spans="1:11">
      <c r="A86" s="15" t="s">
        <v>317</v>
      </c>
      <c r="B86" s="12" t="s">
        <v>149</v>
      </c>
      <c r="C86" s="12" t="s">
        <v>149</v>
      </c>
      <c r="D86" s="12" t="s">
        <v>149</v>
      </c>
      <c r="E86" s="12" t="s">
        <v>149</v>
      </c>
      <c r="F86" s="12" t="s">
        <v>149</v>
      </c>
      <c r="G86" s="11">
        <v>94</v>
      </c>
      <c r="H86" s="11">
        <v>51</v>
      </c>
      <c r="I86" s="12" t="s">
        <v>149</v>
      </c>
      <c r="J86" s="12" t="s">
        <v>149</v>
      </c>
      <c r="K86" s="11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D448-5FF3-4FE3-A729-E4498E57C458}">
  <dimension ref="A2:B14"/>
  <sheetViews>
    <sheetView showGridLines="0" zoomScale="90" zoomScaleNormal="90" workbookViewId="0">
      <selection activeCell="B5" sqref="B5"/>
    </sheetView>
  </sheetViews>
  <sheetFormatPr baseColWidth="10" defaultColWidth="8.83203125" defaultRowHeight="15"/>
  <cols>
    <col min="1" max="1" width="3.6640625" style="50" customWidth="1"/>
  </cols>
  <sheetData>
    <row r="2" spans="1:2" s="45" customFormat="1" ht="21">
      <c r="A2" s="49"/>
      <c r="B2" s="46" t="s">
        <v>1</v>
      </c>
    </row>
    <row r="4" spans="1:2">
      <c r="A4" s="50" t="s">
        <v>2</v>
      </c>
      <c r="B4" s="48" t="s">
        <v>3</v>
      </c>
    </row>
    <row r="5" spans="1:2">
      <c r="B5" t="s">
        <v>4</v>
      </c>
    </row>
    <row r="6" spans="1:2">
      <c r="B6" t="s">
        <v>5</v>
      </c>
    </row>
    <row r="7" spans="1:2">
      <c r="B7" t="s">
        <v>6</v>
      </c>
    </row>
    <row r="8" spans="1:2">
      <c r="B8" s="47" t="s">
        <v>7</v>
      </c>
    </row>
    <row r="10" spans="1:2">
      <c r="A10" s="50" t="s">
        <v>2</v>
      </c>
      <c r="B10" s="48" t="s">
        <v>8</v>
      </c>
    </row>
    <row r="11" spans="1:2">
      <c r="B11" t="s">
        <v>9</v>
      </c>
    </row>
    <row r="12" spans="1:2">
      <c r="B12" t="s">
        <v>10</v>
      </c>
    </row>
    <row r="13" spans="1:2">
      <c r="B13" t="s">
        <v>11</v>
      </c>
    </row>
    <row r="14" spans="1:2">
      <c r="B14" s="4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276C-776F-4210-ACC3-B415697FF629}">
  <dimension ref="A2:AL91"/>
  <sheetViews>
    <sheetView showGridLines="0" tabSelected="1" zoomScale="110" zoomScaleNormal="110" workbookViewId="0">
      <selection activeCell="D15" sqref="D15"/>
    </sheetView>
  </sheetViews>
  <sheetFormatPr baseColWidth="10" defaultColWidth="8.83203125" defaultRowHeight="15" outlineLevelRow="1"/>
  <cols>
    <col min="1" max="1" width="3.6640625" style="50" customWidth="1"/>
    <col min="3" max="3" width="11.5" customWidth="1"/>
    <col min="4" max="11" width="8.83203125" customWidth="1"/>
    <col min="12" max="12" width="9.6640625" customWidth="1"/>
    <col min="13" max="13" width="8.83203125" customWidth="1"/>
    <col min="14" max="14" width="9" customWidth="1"/>
    <col min="15" max="17" width="8.6640625" customWidth="1"/>
    <col min="18" max="21" width="10" customWidth="1"/>
    <col min="23" max="23" width="9.1640625" bestFit="1" customWidth="1"/>
  </cols>
  <sheetData>
    <row r="2" spans="1:38" s="45" customFormat="1" ht="21">
      <c r="A2" s="49"/>
      <c r="B2" s="46" t="s">
        <v>13</v>
      </c>
    </row>
    <row r="4" spans="1:38">
      <c r="B4" t="s">
        <v>14</v>
      </c>
      <c r="C4" s="56" t="s">
        <v>15</v>
      </c>
      <c r="E4" t="s">
        <v>16</v>
      </c>
      <c r="H4" s="85">
        <f ca="1">T91</f>
        <v>644.66218055622483</v>
      </c>
      <c r="J4" t="s">
        <v>17</v>
      </c>
      <c r="AA4" t="s">
        <v>18</v>
      </c>
      <c r="AD4">
        <v>505.50760375887791</v>
      </c>
      <c r="AF4" t="s">
        <v>17</v>
      </c>
    </row>
    <row r="5" spans="1:38">
      <c r="B5" t="s">
        <v>19</v>
      </c>
      <c r="C5" s="57">
        <v>45471</v>
      </c>
      <c r="E5" t="s">
        <v>20</v>
      </c>
      <c r="H5" s="85">
        <v>504.22</v>
      </c>
      <c r="J5" t="s">
        <v>21</v>
      </c>
      <c r="M5" s="86">
        <f ca="1">H4/H5-1</f>
        <v>0.27853353805129655</v>
      </c>
      <c r="AA5" t="s">
        <v>22</v>
      </c>
      <c r="AD5">
        <v>504.22</v>
      </c>
      <c r="AF5" t="s">
        <v>21</v>
      </c>
      <c r="AI5">
        <v>2.5536546723212705E-3</v>
      </c>
    </row>
    <row r="7" spans="1:38">
      <c r="A7" s="50" t="s">
        <v>2</v>
      </c>
      <c r="B7" s="53" t="s">
        <v>23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  <row r="8" spans="1:38">
      <c r="B8" s="48" t="s">
        <v>24</v>
      </c>
      <c r="F8" s="48" t="s">
        <v>25</v>
      </c>
      <c r="J8" s="48" t="s">
        <v>26</v>
      </c>
      <c r="N8" s="48" t="s">
        <v>27</v>
      </c>
      <c r="AB8" t="s">
        <v>25</v>
      </c>
      <c r="AF8" t="s">
        <v>26</v>
      </c>
      <c r="AJ8" t="s">
        <v>27</v>
      </c>
    </row>
    <row r="9" spans="1:38">
      <c r="B9" t="s">
        <v>28</v>
      </c>
      <c r="D9" s="68">
        <v>3</v>
      </c>
      <c r="F9" t="s">
        <v>29</v>
      </c>
      <c r="H9" s="69">
        <v>0.8</v>
      </c>
      <c r="N9" t="s">
        <v>29</v>
      </c>
      <c r="P9" s="69">
        <v>1.1000000000000001</v>
      </c>
      <c r="AB9" t="s">
        <v>29</v>
      </c>
      <c r="AD9">
        <v>0.8</v>
      </c>
      <c r="AJ9" t="s">
        <v>29</v>
      </c>
      <c r="AL9">
        <v>1.1000000000000001</v>
      </c>
    </row>
    <row r="10" spans="1:38">
      <c r="B10" t="s">
        <v>30</v>
      </c>
      <c r="D10" s="68">
        <v>3</v>
      </c>
      <c r="F10" t="s">
        <v>31</v>
      </c>
      <c r="H10" s="69">
        <v>0.6</v>
      </c>
      <c r="N10" t="s">
        <v>31</v>
      </c>
      <c r="P10" s="69">
        <v>1.1000000000000001</v>
      </c>
      <c r="AB10" t="s">
        <v>31</v>
      </c>
      <c r="AD10">
        <v>0.6</v>
      </c>
      <c r="AJ10" t="s">
        <v>31</v>
      </c>
      <c r="AL10">
        <v>1.1000000000000001</v>
      </c>
    </row>
    <row r="11" spans="1:38">
      <c r="B11" t="s">
        <v>32</v>
      </c>
      <c r="D11" s="68">
        <v>3</v>
      </c>
      <c r="F11" t="s">
        <v>33</v>
      </c>
      <c r="H11" s="138">
        <f>L11-2%</f>
        <v>6.8000000000000019E-2</v>
      </c>
      <c r="J11" t="s">
        <v>33</v>
      </c>
      <c r="L11" s="138">
        <f>U23</f>
        <v>8.8000000000000023E-2</v>
      </c>
      <c r="N11" t="s">
        <v>33</v>
      </c>
      <c r="P11" s="138">
        <f>L11+2%</f>
        <v>0.10800000000000003</v>
      </c>
      <c r="AB11" t="s">
        <v>33</v>
      </c>
      <c r="AD11">
        <v>6.8000000000000019E-2</v>
      </c>
      <c r="AF11" t="s">
        <v>33</v>
      </c>
      <c r="AH11">
        <v>8.8000000000000023E-2</v>
      </c>
      <c r="AJ11" t="s">
        <v>33</v>
      </c>
      <c r="AL11">
        <v>0.10800000000000003</v>
      </c>
    </row>
    <row r="12" spans="1:38">
      <c r="B12" t="s">
        <v>34</v>
      </c>
      <c r="D12" s="68">
        <v>3</v>
      </c>
      <c r="F12" t="s">
        <v>35</v>
      </c>
      <c r="H12" s="69">
        <v>0.9</v>
      </c>
      <c r="N12" t="s">
        <v>35</v>
      </c>
      <c r="P12" s="69">
        <v>1.1499999999999999</v>
      </c>
      <c r="AB12" t="s">
        <v>35</v>
      </c>
      <c r="AD12">
        <v>0.9</v>
      </c>
      <c r="AJ12" t="s">
        <v>35</v>
      </c>
      <c r="AL12">
        <v>1.1499999999999999</v>
      </c>
    </row>
    <row r="13" spans="1:38">
      <c r="B13" t="s">
        <v>36</v>
      </c>
      <c r="D13" s="68">
        <v>3</v>
      </c>
      <c r="F13" t="s">
        <v>37</v>
      </c>
      <c r="H13" s="69">
        <v>0.4</v>
      </c>
      <c r="J13" t="s">
        <v>37</v>
      </c>
      <c r="L13" s="69">
        <f>U26</f>
        <v>0.44000000000000006</v>
      </c>
      <c r="N13" t="s">
        <v>37</v>
      </c>
      <c r="P13" s="69">
        <v>0.48</v>
      </c>
      <c r="AB13" t="s">
        <v>37</v>
      </c>
      <c r="AD13">
        <v>0.4</v>
      </c>
      <c r="AF13" t="s">
        <v>37</v>
      </c>
      <c r="AH13">
        <v>0.44000000000000006</v>
      </c>
      <c r="AJ13" t="s">
        <v>37</v>
      </c>
      <c r="AL13">
        <v>0.48</v>
      </c>
    </row>
    <row r="14" spans="1:38">
      <c r="B14" t="s">
        <v>38</v>
      </c>
      <c r="D14" s="68">
        <v>3</v>
      </c>
      <c r="F14" t="s">
        <v>39</v>
      </c>
      <c r="H14" s="69">
        <v>0.95</v>
      </c>
      <c r="N14" t="s">
        <v>39</v>
      </c>
      <c r="P14" s="69">
        <v>1.1000000000000001</v>
      </c>
      <c r="AB14" t="s">
        <v>39</v>
      </c>
      <c r="AD14">
        <v>0.95</v>
      </c>
      <c r="AJ14" t="s">
        <v>39</v>
      </c>
      <c r="AL14">
        <v>1.1000000000000001</v>
      </c>
    </row>
    <row r="15" spans="1:38">
      <c r="F15" t="s">
        <v>40</v>
      </c>
      <c r="H15" s="69">
        <v>1.05</v>
      </c>
      <c r="N15" t="s">
        <v>40</v>
      </c>
      <c r="P15" s="69">
        <v>0.85</v>
      </c>
      <c r="AB15" t="s">
        <v>40</v>
      </c>
      <c r="AD15">
        <v>1.05</v>
      </c>
      <c r="AJ15" t="s">
        <v>40</v>
      </c>
      <c r="AL15">
        <v>0.85</v>
      </c>
    </row>
    <row r="16" spans="1:38">
      <c r="B16" t="s">
        <v>36</v>
      </c>
      <c r="D16" s="82">
        <f>CHOOSE(D13,H16,L16,P16)</f>
        <v>8.1510808794134124E-2</v>
      </c>
      <c r="F16" t="s">
        <v>36</v>
      </c>
      <c r="H16" s="69">
        <f>L16+0.5%</f>
        <v>9.1510808794134132E-2</v>
      </c>
      <c r="J16" t="s">
        <v>36</v>
      </c>
      <c r="L16" s="69">
        <f>WACC!F66</f>
        <v>8.6510808794134128E-2</v>
      </c>
      <c r="N16" t="s">
        <v>36</v>
      </c>
      <c r="P16" s="69">
        <f>L16-0.5%</f>
        <v>8.1510808794134124E-2</v>
      </c>
      <c r="AB16" t="s">
        <v>36</v>
      </c>
      <c r="AD16">
        <v>9.1510808794134132E-2</v>
      </c>
      <c r="AF16" t="s">
        <v>36</v>
      </c>
      <c r="AH16">
        <v>8.6510808794134128E-2</v>
      </c>
      <c r="AJ16" t="s">
        <v>36</v>
      </c>
      <c r="AL16">
        <v>8.1510808794134124E-2</v>
      </c>
    </row>
    <row r="17" spans="1:38">
      <c r="B17" t="s">
        <v>38</v>
      </c>
      <c r="D17" s="82">
        <f>CHOOSE(D14,H17,L17,P17)</f>
        <v>2.6000000000000002E-2</v>
      </c>
      <c r="F17" t="s">
        <v>38</v>
      </c>
      <c r="H17" s="69">
        <f>L17-0.5%</f>
        <v>1.6E-2</v>
      </c>
      <c r="J17" t="s">
        <v>38</v>
      </c>
      <c r="L17" s="69">
        <v>2.1000000000000001E-2</v>
      </c>
      <c r="N17" t="s">
        <v>38</v>
      </c>
      <c r="P17" s="69">
        <f>L17+0.5%</f>
        <v>2.6000000000000002E-2</v>
      </c>
      <c r="AB17" t="s">
        <v>38</v>
      </c>
      <c r="AD17">
        <v>1.6E-2</v>
      </c>
      <c r="AF17" t="s">
        <v>38</v>
      </c>
      <c r="AH17">
        <v>2.1000000000000001E-2</v>
      </c>
      <c r="AJ17" t="s">
        <v>38</v>
      </c>
      <c r="AL17">
        <v>2.6000000000000002E-2</v>
      </c>
    </row>
    <row r="18" spans="1:38">
      <c r="A18"/>
    </row>
    <row r="19" spans="1:38">
      <c r="P19">
        <v>0</v>
      </c>
      <c r="Q19">
        <v>1</v>
      </c>
      <c r="R19">
        <v>2</v>
      </c>
      <c r="S19">
        <v>3</v>
      </c>
      <c r="T19">
        <v>4</v>
      </c>
      <c r="U19">
        <v>5</v>
      </c>
    </row>
    <row r="20" spans="1:38" hidden="1" outlineLevel="1">
      <c r="P20" s="50">
        <v>0</v>
      </c>
      <c r="Q20">
        <v>1</v>
      </c>
      <c r="R20">
        <f>Q20+1</f>
        <v>2</v>
      </c>
      <c r="S20">
        <f>R20+1</f>
        <v>3</v>
      </c>
      <c r="T20">
        <f>S20+1</f>
        <v>4</v>
      </c>
      <c r="U20">
        <f>T20+1</f>
        <v>5</v>
      </c>
    </row>
    <row r="21" spans="1:38" hidden="1" outlineLevel="1">
      <c r="A21" s="50" t="s">
        <v>2</v>
      </c>
      <c r="B21" s="53" t="s">
        <v>41</v>
      </c>
      <c r="C21" s="52"/>
      <c r="D21" s="52"/>
      <c r="E21" s="53">
        <v>2013</v>
      </c>
      <c r="F21" s="53">
        <f>E21+1</f>
        <v>2014</v>
      </c>
      <c r="G21" s="53">
        <f t="shared" ref="G21:M21" si="0">F21+1</f>
        <v>2015</v>
      </c>
      <c r="H21" s="53">
        <f t="shared" si="0"/>
        <v>2016</v>
      </c>
      <c r="I21" s="53">
        <f t="shared" si="0"/>
        <v>2017</v>
      </c>
      <c r="J21" s="53">
        <f t="shared" si="0"/>
        <v>2018</v>
      </c>
      <c r="K21" s="53">
        <f t="shared" si="0"/>
        <v>2019</v>
      </c>
      <c r="L21" s="53">
        <f t="shared" si="0"/>
        <v>2020</v>
      </c>
      <c r="M21" s="53">
        <f t="shared" si="0"/>
        <v>2021</v>
      </c>
      <c r="N21" s="53">
        <f t="shared" ref="N21:O21" si="1">M21+1</f>
        <v>2022</v>
      </c>
      <c r="O21" s="53">
        <f t="shared" si="1"/>
        <v>2023</v>
      </c>
      <c r="P21" s="90" t="s">
        <v>42</v>
      </c>
      <c r="Q21" s="90" t="s">
        <v>43</v>
      </c>
      <c r="R21" s="90" t="s">
        <v>44</v>
      </c>
      <c r="S21" s="90" t="s">
        <v>45</v>
      </c>
      <c r="T21" s="90" t="s">
        <v>46</v>
      </c>
      <c r="U21" s="90" t="s">
        <v>47</v>
      </c>
    </row>
    <row r="22" spans="1:38" hidden="1" outlineLevel="1">
      <c r="B22" t="s">
        <v>28</v>
      </c>
      <c r="E22" s="55">
        <f>IS!B5</f>
        <v>7872</v>
      </c>
      <c r="F22" s="55">
        <f>IS!C5</f>
        <v>12466</v>
      </c>
      <c r="G22" s="55">
        <f>IS!D5</f>
        <v>17928</v>
      </c>
      <c r="H22" s="55">
        <f>IS!E5</f>
        <v>27638</v>
      </c>
      <c r="I22" s="55">
        <f>IS!F5</f>
        <v>40653</v>
      </c>
      <c r="J22" s="55">
        <f>IS!G5</f>
        <v>55838</v>
      </c>
      <c r="K22" s="55">
        <f>IS!H5</f>
        <v>70697</v>
      </c>
      <c r="L22" s="55">
        <f>IS!I5</f>
        <v>85965</v>
      </c>
      <c r="M22" s="55">
        <f>IS!J5</f>
        <v>117929</v>
      </c>
      <c r="N22" s="55">
        <f>116609</f>
        <v>116609</v>
      </c>
      <c r="O22" s="55">
        <v>134902</v>
      </c>
      <c r="P22" s="61">
        <f>O22*(1+P23)</f>
        <v>161882.4</v>
      </c>
      <c r="Q22" s="61">
        <f t="shared" ref="Q22:U22" si="2">P22*(1+Q23)</f>
        <v>189564.2904</v>
      </c>
      <c r="R22" s="61">
        <f>Q22*(1+R23)</f>
        <v>218188.49825040001</v>
      </c>
      <c r="S22" s="61">
        <f t="shared" si="2"/>
        <v>246553.00302295203</v>
      </c>
      <c r="T22" s="61">
        <f t="shared" si="2"/>
        <v>273427.28035245382</v>
      </c>
      <c r="U22" s="61">
        <f t="shared" si="2"/>
        <v>297488.88102346979</v>
      </c>
    </row>
    <row r="23" spans="1:38" hidden="1" outlineLevel="1">
      <c r="B23" s="54" t="s">
        <v>48</v>
      </c>
      <c r="F23" s="60">
        <f>F22/E22-1</f>
        <v>0.58358739837398366</v>
      </c>
      <c r="G23" s="60">
        <f t="shared" ref="G23:K23" si="3">G22/F22-1</f>
        <v>0.43815177282207607</v>
      </c>
      <c r="H23" s="60">
        <f t="shared" si="3"/>
        <v>0.54161088799643009</v>
      </c>
      <c r="I23" s="60">
        <f t="shared" si="3"/>
        <v>0.47090961719371882</v>
      </c>
      <c r="J23" s="60">
        <f t="shared" si="3"/>
        <v>0.37352716896661997</v>
      </c>
      <c r="K23" s="60">
        <f t="shared" si="3"/>
        <v>0.26610910132884413</v>
      </c>
      <c r="L23" s="60">
        <f>L22/K22-1</f>
        <v>0.21596390228722573</v>
      </c>
      <c r="M23" s="60">
        <f t="shared" ref="M23:O23" si="4">M22/L22-1</f>
        <v>0.37182574303495608</v>
      </c>
      <c r="N23" s="60">
        <f>N22/M22-1</f>
        <v>-1.1193175554782941E-2</v>
      </c>
      <c r="O23" s="60">
        <f t="shared" si="4"/>
        <v>0.15687468377226454</v>
      </c>
      <c r="P23" s="87">
        <v>0.2</v>
      </c>
      <c r="Q23" s="62">
        <f>P23-2.9%</f>
        <v>0.17100000000000001</v>
      </c>
      <c r="R23" s="62">
        <f>Q23-2%</f>
        <v>0.15100000000000002</v>
      </c>
      <c r="S23" s="62">
        <f>R23-2.1%</f>
        <v>0.13000000000000003</v>
      </c>
      <c r="T23" s="62">
        <f t="shared" ref="T23:U23" si="5">S23-2.1%</f>
        <v>0.10900000000000003</v>
      </c>
      <c r="U23" s="62">
        <f t="shared" si="5"/>
        <v>8.8000000000000023E-2</v>
      </c>
    </row>
    <row r="24" spans="1:38" hidden="1" outlineLevel="1"/>
    <row r="25" spans="1:38" hidden="1" outlineLevel="1">
      <c r="B25" t="s">
        <v>30</v>
      </c>
      <c r="E25" s="55">
        <f>IS!B17</f>
        <v>3803</v>
      </c>
      <c r="F25" s="55">
        <f>IS!C17</f>
        <v>7207</v>
      </c>
      <c r="G25" s="55">
        <f>IS!D17</f>
        <v>10001</v>
      </c>
      <c r="H25" s="55">
        <f>IS!E17</f>
        <v>16494</v>
      </c>
      <c r="I25" s="55">
        <f>IS!F17</f>
        <v>20202</v>
      </c>
      <c r="J25" s="55">
        <f>IS!G17</f>
        <v>24913</v>
      </c>
      <c r="K25" s="55">
        <f>IS!H17</f>
        <v>23986</v>
      </c>
      <c r="L25" s="55">
        <f>IS!I17</f>
        <v>32671</v>
      </c>
      <c r="M25" s="55">
        <f>IS!J17</f>
        <v>46753</v>
      </c>
      <c r="N25" s="55">
        <v>28944</v>
      </c>
      <c r="O25" s="55">
        <v>46751</v>
      </c>
      <c r="P25" s="61">
        <f t="shared" ref="P25:Q25" si="6">P26*P22</f>
        <v>63134.135999999999</v>
      </c>
      <c r="Q25" s="61">
        <f t="shared" si="6"/>
        <v>75825.716159999996</v>
      </c>
      <c r="R25" s="61">
        <f>R26*R22</f>
        <v>89457.284282664012</v>
      </c>
      <c r="S25" s="61">
        <f>S26*S22</f>
        <v>103552.26126963986</v>
      </c>
      <c r="T25" s="61">
        <f t="shared" ref="T25:U25" si="7">T26*T22</f>
        <v>117573.73055155516</v>
      </c>
      <c r="U25" s="61">
        <f t="shared" si="7"/>
        <v>130895.10765032672</v>
      </c>
    </row>
    <row r="26" spans="1:38" hidden="1" outlineLevel="1">
      <c r="B26" s="54" t="s">
        <v>49</v>
      </c>
      <c r="E26" s="58">
        <f t="shared" ref="E26:O26" si="8">E25/E22</f>
        <v>0.48310467479674796</v>
      </c>
      <c r="F26" s="58">
        <f t="shared" si="8"/>
        <v>0.57813252045563934</v>
      </c>
      <c r="G26" s="58">
        <f t="shared" si="8"/>
        <v>0.55784248103525214</v>
      </c>
      <c r="H26" s="58">
        <f t="shared" si="8"/>
        <v>0.59678703234676889</v>
      </c>
      <c r="I26" s="58">
        <f t="shared" si="8"/>
        <v>0.49693749538779425</v>
      </c>
      <c r="J26" s="58">
        <f t="shared" si="8"/>
        <v>0.44616569361366809</v>
      </c>
      <c r="K26" s="58">
        <f t="shared" si="8"/>
        <v>0.33927889443682191</v>
      </c>
      <c r="L26" s="58">
        <f t="shared" si="8"/>
        <v>0.3800500203571221</v>
      </c>
      <c r="M26" s="58">
        <f t="shared" si="8"/>
        <v>0.39645040660058173</v>
      </c>
      <c r="N26" s="58">
        <f t="shared" si="8"/>
        <v>0.24821411726367604</v>
      </c>
      <c r="O26" s="58">
        <f t="shared" si="8"/>
        <v>0.34655527716416362</v>
      </c>
      <c r="P26" s="62">
        <v>0.39</v>
      </c>
      <c r="Q26" s="62">
        <f>P26+1%</f>
        <v>0.4</v>
      </c>
      <c r="R26" s="62">
        <f t="shared" ref="R26:U26" si="9">Q26+1%</f>
        <v>0.41000000000000003</v>
      </c>
      <c r="S26" s="62">
        <f t="shared" si="9"/>
        <v>0.42000000000000004</v>
      </c>
      <c r="T26" s="62">
        <f t="shared" si="9"/>
        <v>0.43000000000000005</v>
      </c>
      <c r="U26" s="62">
        <f t="shared" si="9"/>
        <v>0.44000000000000006</v>
      </c>
      <c r="W26" s="111"/>
    </row>
    <row r="27" spans="1:38" hidden="1" outlineLevel="1"/>
    <row r="28" spans="1:38" hidden="1" outlineLevel="1">
      <c r="B28" t="s">
        <v>50</v>
      </c>
      <c r="E28" s="55">
        <f>IS!B25</f>
        <v>1254</v>
      </c>
      <c r="F28" s="55">
        <f>IS!C25</f>
        <v>1971</v>
      </c>
      <c r="G28" s="55">
        <f>IS!D25</f>
        <v>2505</v>
      </c>
      <c r="H28" s="55">
        <f>IS!E25</f>
        <v>3021</v>
      </c>
      <c r="I28" s="55">
        <f>IS!F25</f>
        <v>4661</v>
      </c>
      <c r="J28" s="55">
        <f>IS!G25</f>
        <v>3248</v>
      </c>
      <c r="K28" s="55">
        <f>IS!H25</f>
        <v>6327</v>
      </c>
      <c r="L28" s="55">
        <f>IS!I25</f>
        <v>4035</v>
      </c>
      <c r="M28" s="55">
        <f>IS!J25</f>
        <v>7913</v>
      </c>
      <c r="N28" s="55">
        <v>5619</v>
      </c>
      <c r="O28" s="55">
        <v>8330</v>
      </c>
      <c r="P28" s="61">
        <f t="shared" ref="P28:S28" si="10">P25*P29</f>
        <v>11397.030569649245</v>
      </c>
      <c r="Q28" s="61">
        <f t="shared" si="10"/>
        <v>13688.125945701811</v>
      </c>
      <c r="R28" s="61">
        <f t="shared" si="10"/>
        <v>16148.908787590359</v>
      </c>
      <c r="S28" s="61">
        <f t="shared" si="10"/>
        <v>18693.346611196059</v>
      </c>
      <c r="T28" s="61">
        <f>T25*T29</f>
        <v>21224.514758288253</v>
      </c>
      <c r="U28" s="61">
        <f>U25*U29</f>
        <v>23629.301639738962</v>
      </c>
    </row>
    <row r="29" spans="1:38" hidden="1" outlineLevel="1">
      <c r="B29" s="54" t="s">
        <v>51</v>
      </c>
      <c r="E29" s="58">
        <f>E28/E25</f>
        <v>0.32973967920063108</v>
      </c>
      <c r="F29" s="58">
        <f t="shared" ref="F29:O29" si="11">F28/F25</f>
        <v>0.27348411266823919</v>
      </c>
      <c r="G29" s="58">
        <f t="shared" si="11"/>
        <v>0.25047495250474955</v>
      </c>
      <c r="H29" s="58">
        <f t="shared" si="11"/>
        <v>0.18315751182248091</v>
      </c>
      <c r="I29" s="58">
        <f t="shared" si="11"/>
        <v>0.23071973071973073</v>
      </c>
      <c r="J29" s="58">
        <f t="shared" si="11"/>
        <v>0.13037370047766225</v>
      </c>
      <c r="K29" s="58">
        <f t="shared" si="11"/>
        <v>0.26377887100808806</v>
      </c>
      <c r="L29" s="58">
        <f t="shared" si="11"/>
        <v>0.12350402497627866</v>
      </c>
      <c r="M29" s="58">
        <f t="shared" si="11"/>
        <v>0.1692511710478472</v>
      </c>
      <c r="N29" s="58">
        <f t="shared" si="11"/>
        <v>0.1941334991708126</v>
      </c>
      <c r="O29" s="58">
        <f t="shared" si="11"/>
        <v>0.1781780068875532</v>
      </c>
      <c r="P29" s="62">
        <f>AVERAGE(M29:O29)</f>
        <v>0.18052089236873767</v>
      </c>
      <c r="Q29" s="62">
        <f>P29</f>
        <v>0.18052089236873767</v>
      </c>
      <c r="R29" s="62">
        <f t="shared" ref="R29:U29" si="12">Q29</f>
        <v>0.18052089236873767</v>
      </c>
      <c r="S29" s="62">
        <f t="shared" si="12"/>
        <v>0.18052089236873767</v>
      </c>
      <c r="T29" s="62">
        <f t="shared" si="12"/>
        <v>0.18052089236873767</v>
      </c>
      <c r="U29" s="62">
        <f t="shared" si="12"/>
        <v>0.18052089236873767</v>
      </c>
    </row>
    <row r="30" spans="1:38" hidden="1" outlineLevel="1"/>
    <row r="31" spans="1:38" hidden="1" outlineLevel="1">
      <c r="A31" s="50" t="s">
        <v>2</v>
      </c>
      <c r="B31" s="53" t="s">
        <v>52</v>
      </c>
      <c r="C31" s="52"/>
      <c r="D31" s="52"/>
      <c r="E31" s="53">
        <f t="shared" ref="E31:U31" si="13">E21</f>
        <v>2013</v>
      </c>
      <c r="F31" s="53">
        <f t="shared" si="13"/>
        <v>2014</v>
      </c>
      <c r="G31" s="53">
        <f t="shared" si="13"/>
        <v>2015</v>
      </c>
      <c r="H31" s="53">
        <f t="shared" si="13"/>
        <v>2016</v>
      </c>
      <c r="I31" s="53">
        <f t="shared" si="13"/>
        <v>2017</v>
      </c>
      <c r="J31" s="53">
        <f t="shared" si="13"/>
        <v>2018</v>
      </c>
      <c r="K31" s="53">
        <f t="shared" si="13"/>
        <v>2019</v>
      </c>
      <c r="L31" s="53">
        <f t="shared" si="13"/>
        <v>2020</v>
      </c>
      <c r="M31" s="53">
        <f t="shared" si="13"/>
        <v>2021</v>
      </c>
      <c r="N31" s="53">
        <f t="shared" si="13"/>
        <v>2022</v>
      </c>
      <c r="O31" s="53">
        <f t="shared" si="13"/>
        <v>2023</v>
      </c>
      <c r="P31" s="131" t="str">
        <f t="shared" si="13"/>
        <v>2024 E</v>
      </c>
      <c r="Q31" s="131" t="str">
        <f t="shared" si="13"/>
        <v>2025 E</v>
      </c>
      <c r="R31" s="131" t="str">
        <f t="shared" si="13"/>
        <v>2026 E</v>
      </c>
      <c r="S31" s="131" t="str">
        <f t="shared" si="13"/>
        <v>2027 E</v>
      </c>
      <c r="T31" s="131" t="str">
        <f t="shared" si="13"/>
        <v>2028 E</v>
      </c>
      <c r="U31" s="131" t="str">
        <f t="shared" si="13"/>
        <v>2029 E</v>
      </c>
    </row>
    <row r="32" spans="1:38" hidden="1" outlineLevel="1">
      <c r="B32" t="s">
        <v>32</v>
      </c>
      <c r="E32" s="55">
        <f>'Historical CFS'!C8</f>
        <v>1011</v>
      </c>
      <c r="F32" s="55">
        <f>'Historical CFS'!D8</f>
        <v>1243</v>
      </c>
      <c r="G32" s="55">
        <f>'Historical CFS'!E8</f>
        <v>1945</v>
      </c>
      <c r="H32" s="55">
        <f>'Historical CFS'!F8</f>
        <v>2342</v>
      </c>
      <c r="I32" s="55">
        <f>'Historical CFS'!G8</f>
        <v>3025</v>
      </c>
      <c r="J32" s="55">
        <f>'Historical CFS'!H8</f>
        <v>4315</v>
      </c>
      <c r="K32" s="55">
        <f>'Historical CFS'!I8</f>
        <v>5741</v>
      </c>
      <c r="L32" s="55">
        <f>'Historical CFS'!J8</f>
        <v>6862</v>
      </c>
      <c r="M32" s="55">
        <f>'Historical CFS'!K8</f>
        <v>7967</v>
      </c>
      <c r="N32" s="55">
        <v>8686</v>
      </c>
      <c r="O32" s="55">
        <v>11178</v>
      </c>
      <c r="P32" s="61">
        <f>P22*P33</f>
        <v>12950.592000000001</v>
      </c>
      <c r="Q32" s="61">
        <f t="shared" ref="Q32:U32" si="14">Q22*Q33</f>
        <v>15165.143232</v>
      </c>
      <c r="R32" s="61">
        <f t="shared" si="14"/>
        <v>19636.964842535999</v>
      </c>
      <c r="S32" s="61">
        <f t="shared" si="14"/>
        <v>22189.770272065682</v>
      </c>
      <c r="T32" s="61">
        <f t="shared" si="14"/>
        <v>27342.728035245382</v>
      </c>
      <c r="U32" s="61">
        <f t="shared" si="14"/>
        <v>29748.88810234698</v>
      </c>
    </row>
    <row r="33" spans="1:23" hidden="1" outlineLevel="1">
      <c r="B33" s="54" t="s">
        <v>49</v>
      </c>
      <c r="E33" s="58">
        <f t="shared" ref="E33:O33" si="15">E32/E22</f>
        <v>0.12842987804878048</v>
      </c>
      <c r="F33" s="58">
        <f t="shared" si="15"/>
        <v>9.9711214503449386E-2</v>
      </c>
      <c r="G33" s="58">
        <f t="shared" si="15"/>
        <v>0.10848951360999554</v>
      </c>
      <c r="H33" s="58">
        <f t="shared" si="15"/>
        <v>8.4738403647152474E-2</v>
      </c>
      <c r="I33" s="58">
        <f t="shared" si="15"/>
        <v>7.4410252625882467E-2</v>
      </c>
      <c r="J33" s="58">
        <f t="shared" si="15"/>
        <v>7.7277123106128442E-2</v>
      </c>
      <c r="K33" s="58">
        <f t="shared" si="15"/>
        <v>8.1205708870249096E-2</v>
      </c>
      <c r="L33" s="58">
        <f t="shared" si="15"/>
        <v>7.9823183853894031E-2</v>
      </c>
      <c r="M33" s="58">
        <f t="shared" si="15"/>
        <v>6.7557598215875647E-2</v>
      </c>
      <c r="N33" s="58">
        <f t="shared" si="15"/>
        <v>7.44882470478265E-2</v>
      </c>
      <c r="O33" s="58">
        <f t="shared" si="15"/>
        <v>8.2860150331351648E-2</v>
      </c>
      <c r="P33" s="62">
        <v>0.08</v>
      </c>
      <c r="Q33" s="62">
        <v>0.08</v>
      </c>
      <c r="R33" s="62">
        <f>9%</f>
        <v>0.09</v>
      </c>
      <c r="S33" s="62">
        <f>9%</f>
        <v>0.09</v>
      </c>
      <c r="T33" s="62">
        <v>0.1</v>
      </c>
      <c r="U33" s="62">
        <f>10%</f>
        <v>0.1</v>
      </c>
      <c r="W33" s="111"/>
    </row>
    <row r="34" spans="1:23" hidden="1" outlineLevel="1">
      <c r="B34" s="54" t="s">
        <v>53</v>
      </c>
      <c r="E34" s="58">
        <f>E32/E36</f>
        <v>0.74229074889867841</v>
      </c>
      <c r="F34" s="58">
        <f t="shared" ref="F34:O34" si="16">F32/F36</f>
        <v>0.67886400873839436</v>
      </c>
      <c r="G34" s="58">
        <f t="shared" si="16"/>
        <v>0.77090764962346414</v>
      </c>
      <c r="H34" s="58">
        <f t="shared" si="16"/>
        <v>0.52148741928301046</v>
      </c>
      <c r="I34" s="58">
        <f t="shared" si="16"/>
        <v>0.44927966731026286</v>
      </c>
      <c r="J34" s="58">
        <f t="shared" si="16"/>
        <v>0.31009701760689901</v>
      </c>
      <c r="K34" s="58">
        <f t="shared" si="16"/>
        <v>0.38014832472520194</v>
      </c>
      <c r="L34" s="58">
        <f t="shared" si="16"/>
        <v>0.45398610651670523</v>
      </c>
      <c r="M34" s="58">
        <f t="shared" si="16"/>
        <v>0.42627073301230606</v>
      </c>
      <c r="N34" s="58">
        <f t="shared" si="16"/>
        <v>0.27635137284846173</v>
      </c>
      <c r="O34" s="58">
        <f t="shared" si="16"/>
        <v>0.40996112374385679</v>
      </c>
      <c r="P34" s="62">
        <f>P32/P36</f>
        <v>0.336379012987013</v>
      </c>
      <c r="Q34" s="62">
        <f t="shared" ref="Q34:S34" si="17">Q32/Q36</f>
        <v>0.336379012987013</v>
      </c>
      <c r="R34" s="62">
        <f t="shared" si="17"/>
        <v>0.3784263896103896</v>
      </c>
      <c r="S34" s="62">
        <f t="shared" si="17"/>
        <v>0.3784263896103896</v>
      </c>
      <c r="T34" s="62">
        <f t="shared" ref="T34:U34" si="18">T32/T36</f>
        <v>0.42047376623376626</v>
      </c>
      <c r="U34" s="62">
        <f t="shared" si="18"/>
        <v>0.4204737662337662</v>
      </c>
    </row>
    <row r="35" spans="1:23" hidden="1" outlineLevel="1"/>
    <row r="36" spans="1:23" hidden="1" outlineLevel="1">
      <c r="B36" t="s">
        <v>54</v>
      </c>
      <c r="E36" s="55">
        <f>CFS!B5</f>
        <v>1362</v>
      </c>
      <c r="F36" s="55">
        <f>CFS!C5</f>
        <v>1831</v>
      </c>
      <c r="G36" s="55">
        <f>CFS!D5</f>
        <v>2523</v>
      </c>
      <c r="H36" s="55">
        <f>CFS!E5</f>
        <v>4491</v>
      </c>
      <c r="I36" s="55">
        <f>CFS!F5</f>
        <v>6733</v>
      </c>
      <c r="J36" s="55">
        <f>CFS!G5</f>
        <v>13915</v>
      </c>
      <c r="K36" s="55">
        <f>CFS!H5</f>
        <v>15102</v>
      </c>
      <c r="L36" s="55">
        <f>CFS!I5</f>
        <v>15115</v>
      </c>
      <c r="M36" s="55">
        <f>18690</f>
        <v>18690</v>
      </c>
      <c r="N36" s="55">
        <v>31431</v>
      </c>
      <c r="O36" s="55">
        <v>27266</v>
      </c>
      <c r="P36" s="61">
        <f>AVERAGE(37000,40000)</f>
        <v>38500</v>
      </c>
      <c r="Q36" s="61">
        <f>Q22*Q37</f>
        <v>45083.5</v>
      </c>
      <c r="R36" s="61">
        <f t="shared" ref="R36:U36" si="19">R22*R37</f>
        <v>51891.108500000002</v>
      </c>
      <c r="S36" s="61">
        <f t="shared" si="19"/>
        <v>58636.952605000006</v>
      </c>
      <c r="T36" s="61">
        <f t="shared" si="19"/>
        <v>65028.380438945009</v>
      </c>
      <c r="U36" s="61">
        <f t="shared" si="19"/>
        <v>70750.877917572187</v>
      </c>
    </row>
    <row r="37" spans="1:23" hidden="1" outlineLevel="1">
      <c r="B37" s="54" t="s">
        <v>49</v>
      </c>
      <c r="E37" s="58">
        <f t="shared" ref="E37:P37" si="20">E36/E22</f>
        <v>0.17301829268292682</v>
      </c>
      <c r="F37" s="58">
        <f t="shared" si="20"/>
        <v>0.14687951227338361</v>
      </c>
      <c r="G37" s="58">
        <f t="shared" si="20"/>
        <v>0.14072958500669344</v>
      </c>
      <c r="H37" s="58">
        <f t="shared" si="20"/>
        <v>0.16249366813807078</v>
      </c>
      <c r="I37" s="58">
        <f t="shared" si="20"/>
        <v>0.16562123336531129</v>
      </c>
      <c r="J37" s="58">
        <f t="shared" si="20"/>
        <v>0.24920305168523227</v>
      </c>
      <c r="K37" s="58">
        <f t="shared" si="20"/>
        <v>0.21361585357228738</v>
      </c>
      <c r="L37" s="58">
        <f t="shared" si="20"/>
        <v>0.17582737160472287</v>
      </c>
      <c r="M37" s="58">
        <f t="shared" si="20"/>
        <v>0.15848519024158603</v>
      </c>
      <c r="N37" s="58">
        <f t="shared" si="20"/>
        <v>0.26954180209074774</v>
      </c>
      <c r="O37" s="58">
        <f t="shared" si="20"/>
        <v>0.20211709240782197</v>
      </c>
      <c r="P37" s="62">
        <f t="shared" si="20"/>
        <v>0.23782696574797507</v>
      </c>
      <c r="Q37" s="62">
        <f>P37</f>
        <v>0.23782696574797507</v>
      </c>
      <c r="R37" s="62">
        <f t="shared" ref="R37:U37" si="21">Q37</f>
        <v>0.23782696574797507</v>
      </c>
      <c r="S37" s="62">
        <f t="shared" si="21"/>
        <v>0.23782696574797507</v>
      </c>
      <c r="T37" s="62">
        <f t="shared" si="21"/>
        <v>0.23782696574797507</v>
      </c>
      <c r="U37" s="62">
        <f t="shared" si="21"/>
        <v>0.23782696574797507</v>
      </c>
    </row>
    <row r="38" spans="1:23" hidden="1" outlineLevel="1">
      <c r="B38" s="54"/>
    </row>
    <row r="39" spans="1:23" hidden="1" outlineLevel="1">
      <c r="B39" t="s">
        <v>55</v>
      </c>
      <c r="E39" s="65">
        <f>'Historical CFS'!C18</f>
        <v>676</v>
      </c>
      <c r="F39" s="65">
        <f>'Historical CFS'!D18</f>
        <v>-262</v>
      </c>
      <c r="G39" s="65">
        <f>'Historical CFS'!E18</f>
        <v>784</v>
      </c>
      <c r="H39" s="65">
        <f>'Historical CFS'!F18</f>
        <v>758</v>
      </c>
      <c r="I39" s="65">
        <f>'Historical CFS'!G18</f>
        <v>1887</v>
      </c>
      <c r="J39" s="65">
        <f>'Historical CFS'!H18</f>
        <v>-1527</v>
      </c>
      <c r="K39" s="65">
        <f>'Historical CFS'!I18</f>
        <v>7250</v>
      </c>
      <c r="L39" s="65">
        <f>'Historical CFS'!J18</f>
        <v>-2723</v>
      </c>
      <c r="M39" s="65">
        <f>'Historical CFS'!K18</f>
        <v>700</v>
      </c>
      <c r="N39" s="88">
        <v>5683</v>
      </c>
      <c r="O39" s="88">
        <v>3836</v>
      </c>
      <c r="P39" s="130">
        <f>P41*(P22-O22)</f>
        <v>2248.8677358532004</v>
      </c>
      <c r="Q39" s="130">
        <f t="shared" ref="Q39:U39" si="22">Q41*(Q22-P22)</f>
        <v>2307.3382969853842</v>
      </c>
      <c r="R39" s="130">
        <f t="shared" si="22"/>
        <v>2385.8822515277939</v>
      </c>
      <c r="S39" s="130">
        <f t="shared" si="22"/>
        <v>2364.2355052722119</v>
      </c>
      <c r="T39" s="130">
        <f t="shared" si="22"/>
        <v>2240.0222091106016</v>
      </c>
      <c r="U39" s="130">
        <f t="shared" si="22"/>
        <v>2005.5802516653403</v>
      </c>
    </row>
    <row r="40" spans="1:23" hidden="1" outlineLevel="1">
      <c r="B40" s="54" t="s">
        <v>49</v>
      </c>
      <c r="E40" s="60">
        <f>E39/E32</f>
        <v>0.66864490603363003</v>
      </c>
      <c r="F40" s="60">
        <f t="shared" ref="F40:M40" si="23">F39/F32</f>
        <v>-0.21078037007240547</v>
      </c>
      <c r="G40" s="60">
        <f t="shared" si="23"/>
        <v>0.40308483290488434</v>
      </c>
      <c r="H40" s="60">
        <f t="shared" si="23"/>
        <v>0.32365499573014517</v>
      </c>
      <c r="I40" s="60">
        <f t="shared" si="23"/>
        <v>0.62380165289256195</v>
      </c>
      <c r="J40" s="60">
        <f t="shared" si="23"/>
        <v>-0.35388180764774047</v>
      </c>
      <c r="K40" s="60">
        <f t="shared" si="23"/>
        <v>1.2628461940428497</v>
      </c>
      <c r="L40" s="60">
        <f t="shared" si="23"/>
        <v>-0.39682308364908192</v>
      </c>
      <c r="M40" s="60">
        <f t="shared" si="23"/>
        <v>8.7862432534203588E-2</v>
      </c>
      <c r="N40" s="60">
        <f t="shared" ref="N40:O40" si="24">N39/N32</f>
        <v>0.65427124107759616</v>
      </c>
      <c r="O40" s="60">
        <f t="shared" si="24"/>
        <v>0.3431740919663625</v>
      </c>
      <c r="P40" s="60"/>
      <c r="Q40" s="60"/>
      <c r="R40" s="60"/>
      <c r="S40" s="60"/>
      <c r="T40" s="60"/>
      <c r="U40" s="60"/>
    </row>
    <row r="41" spans="1:23" hidden="1" outlineLevel="1">
      <c r="B41" s="54" t="s">
        <v>56</v>
      </c>
      <c r="F41" s="60">
        <f t="shared" ref="F41:N41" si="25">F39/(F22-E22)</f>
        <v>-5.7030909882455377E-2</v>
      </c>
      <c r="G41" s="60">
        <f t="shared" si="25"/>
        <v>0.14353716587330648</v>
      </c>
      <c r="H41" s="60">
        <f t="shared" si="25"/>
        <v>7.8063851699279097E-2</v>
      </c>
      <c r="I41" s="60">
        <f t="shared" si="25"/>
        <v>0.14498655397618132</v>
      </c>
      <c r="J41" s="60">
        <f t="shared" si="25"/>
        <v>-0.1005597629239381</v>
      </c>
      <c r="K41" s="60">
        <f t="shared" si="25"/>
        <v>0.48791977925836194</v>
      </c>
      <c r="L41" s="60">
        <f t="shared" si="25"/>
        <v>-0.17834686926905946</v>
      </c>
      <c r="M41" s="60">
        <f t="shared" si="25"/>
        <v>2.1899637091728194E-2</v>
      </c>
      <c r="N41" s="60">
        <f t="shared" si="25"/>
        <v>-4.3053030303030306</v>
      </c>
      <c r="O41" s="60">
        <f>O39/(O22-N22)</f>
        <v>0.20969769857322473</v>
      </c>
      <c r="P41" s="60">
        <f>AVERAGE(O41,F41:M41)</f>
        <v>8.335190493295877E-2</v>
      </c>
      <c r="Q41" s="60">
        <f>P41</f>
        <v>8.335190493295877E-2</v>
      </c>
      <c r="R41" s="60">
        <f t="shared" ref="R41:U41" si="26">Q41</f>
        <v>8.335190493295877E-2</v>
      </c>
      <c r="S41" s="60">
        <f t="shared" si="26"/>
        <v>8.335190493295877E-2</v>
      </c>
      <c r="T41" s="60">
        <f t="shared" si="26"/>
        <v>8.335190493295877E-2</v>
      </c>
      <c r="U41" s="60">
        <f t="shared" si="26"/>
        <v>8.335190493295877E-2</v>
      </c>
    </row>
    <row r="42" spans="1:23" hidden="1" outlineLevel="1">
      <c r="B42" s="54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</row>
    <row r="43" spans="1:23" hidden="1" outlineLevel="1">
      <c r="P43" s="50">
        <v>0</v>
      </c>
      <c r="Q43">
        <v>1</v>
      </c>
      <c r="R43">
        <f>Q43+1</f>
        <v>2</v>
      </c>
      <c r="S43">
        <f>R43+1</f>
        <v>3</v>
      </c>
      <c r="T43">
        <f>S43+1</f>
        <v>4</v>
      </c>
      <c r="U43">
        <f>T43+1</f>
        <v>5</v>
      </c>
    </row>
    <row r="44" spans="1:23" collapsed="1">
      <c r="A44" s="50" t="s">
        <v>2</v>
      </c>
      <c r="B44" s="53" t="s">
        <v>57</v>
      </c>
      <c r="C44" s="52"/>
      <c r="D44" s="52"/>
      <c r="E44" s="53">
        <f>E31</f>
        <v>2013</v>
      </c>
      <c r="F44" s="53">
        <f>E44+1</f>
        <v>2014</v>
      </c>
      <c r="G44" s="53">
        <f t="shared" ref="G44:O44" si="27">F44+1</f>
        <v>2015</v>
      </c>
      <c r="H44" s="53">
        <f t="shared" si="27"/>
        <v>2016</v>
      </c>
      <c r="I44" s="53">
        <f t="shared" si="27"/>
        <v>2017</v>
      </c>
      <c r="J44" s="53">
        <f t="shared" si="27"/>
        <v>2018</v>
      </c>
      <c r="K44" s="53">
        <f t="shared" si="27"/>
        <v>2019</v>
      </c>
      <c r="L44" s="53">
        <f t="shared" si="27"/>
        <v>2020</v>
      </c>
      <c r="M44" s="53">
        <f t="shared" si="27"/>
        <v>2021</v>
      </c>
      <c r="N44" s="53">
        <f t="shared" si="27"/>
        <v>2022</v>
      </c>
      <c r="O44" s="53">
        <f t="shared" si="27"/>
        <v>2023</v>
      </c>
      <c r="P44" s="90" t="s">
        <v>42</v>
      </c>
      <c r="Q44" s="90" t="s">
        <v>43</v>
      </c>
      <c r="R44" s="90" t="s">
        <v>44</v>
      </c>
      <c r="S44" s="90" t="s">
        <v>45</v>
      </c>
      <c r="T44" s="90" t="s">
        <v>46</v>
      </c>
      <c r="U44" s="90" t="s">
        <v>47</v>
      </c>
    </row>
    <row r="45" spans="1:23">
      <c r="B45" t="s">
        <v>28</v>
      </c>
      <c r="E45" s="66">
        <f t="shared" ref="E45:O45" si="28">E22</f>
        <v>7872</v>
      </c>
      <c r="F45" s="66">
        <f t="shared" si="28"/>
        <v>12466</v>
      </c>
      <c r="G45" s="66">
        <f t="shared" si="28"/>
        <v>17928</v>
      </c>
      <c r="H45" s="66">
        <f t="shared" si="28"/>
        <v>27638</v>
      </c>
      <c r="I45" s="66">
        <f t="shared" si="28"/>
        <v>40653</v>
      </c>
      <c r="J45" s="66">
        <f t="shared" si="28"/>
        <v>55838</v>
      </c>
      <c r="K45" s="66">
        <f t="shared" si="28"/>
        <v>70697</v>
      </c>
      <c r="L45" s="66">
        <f t="shared" si="28"/>
        <v>85965</v>
      </c>
      <c r="M45" s="66">
        <f t="shared" si="28"/>
        <v>117929</v>
      </c>
      <c r="N45" s="66">
        <f t="shared" si="28"/>
        <v>116609</v>
      </c>
      <c r="O45" s="66">
        <f t="shared" si="28"/>
        <v>134902</v>
      </c>
      <c r="P45" s="61">
        <f ca="1">O45*(1+P46)</f>
        <v>164580.44</v>
      </c>
      <c r="Q45" s="61">
        <f t="shared" ref="Q45" ca="1" si="29">P45*(1+Q46)</f>
        <v>195538.02076399999</v>
      </c>
      <c r="R45" s="61">
        <f ca="1">Q45*(1+R46)</f>
        <v>228016.88601290042</v>
      </c>
      <c r="S45" s="61">
        <f t="shared" ref="S45" ca="1" si="30">R45*(1+S46)</f>
        <v>261474.56375386001</v>
      </c>
      <c r="T45" s="61">
        <f t="shared" ref="T45" ca="1" si="31">S45*(1+T46)</f>
        <v>294777.70735730999</v>
      </c>
      <c r="U45" s="61">
        <f t="shared" ref="U45" ca="1" si="32">T45*(1+U46)</f>
        <v>326613.69975189952</v>
      </c>
    </row>
    <row r="46" spans="1:23">
      <c r="B46" s="54" t="s">
        <v>48</v>
      </c>
      <c r="E46" s="50"/>
      <c r="F46" s="60">
        <f>F45/E45-1</f>
        <v>0.58358739837398366</v>
      </c>
      <c r="G46" s="60">
        <f t="shared" ref="G46:O46" si="33">G45/F45-1</f>
        <v>0.43815177282207607</v>
      </c>
      <c r="H46" s="60">
        <f t="shared" si="33"/>
        <v>0.54161088799643009</v>
      </c>
      <c r="I46" s="60">
        <f t="shared" si="33"/>
        <v>0.47090961719371882</v>
      </c>
      <c r="J46" s="60">
        <f t="shared" si="33"/>
        <v>0.37352716896661997</v>
      </c>
      <c r="K46" s="60">
        <f t="shared" si="33"/>
        <v>0.26610910132884413</v>
      </c>
      <c r="L46" s="60">
        <f t="shared" si="33"/>
        <v>0.21596390228722573</v>
      </c>
      <c r="M46" s="60">
        <f t="shared" si="33"/>
        <v>0.37182574303495608</v>
      </c>
      <c r="N46" s="60">
        <f t="shared" si="33"/>
        <v>-1.1193175554782941E-2</v>
      </c>
      <c r="O46" s="60">
        <f t="shared" si="33"/>
        <v>0.15687468377226454</v>
      </c>
      <c r="P46" s="60">
        <f ca="1">OFFSET(P46,$D$9,0)</f>
        <v>0.22000000000000003</v>
      </c>
      <c r="Q46" s="60">
        <f t="shared" ref="Q46:U46" ca="1" si="34">OFFSET(Q46,$D$9,0)</f>
        <v>0.18810000000000002</v>
      </c>
      <c r="R46" s="60">
        <f t="shared" ca="1" si="34"/>
        <v>0.16610000000000003</v>
      </c>
      <c r="S46" s="60">
        <f t="shared" ca="1" si="34"/>
        <v>0.14673333333333335</v>
      </c>
      <c r="T46" s="60">
        <f t="shared" ca="1" si="34"/>
        <v>0.12736666666666668</v>
      </c>
      <c r="U46" s="60">
        <f t="shared" ca="1" si="34"/>
        <v>0.10800000000000003</v>
      </c>
    </row>
    <row r="47" spans="1:23">
      <c r="B47" s="54" t="s">
        <v>58</v>
      </c>
      <c r="N47" s="73"/>
      <c r="O47" s="89"/>
      <c r="P47" s="71">
        <f>P48</f>
        <v>0.2</v>
      </c>
      <c r="Q47" s="71">
        <f>Q48*H9</f>
        <v>0.1368</v>
      </c>
      <c r="R47" s="71">
        <f>R48*H10</f>
        <v>9.0600000000000014E-2</v>
      </c>
      <c r="S47" s="71">
        <f>R47-($R$47-$U$47)/($U$43-$R$43)</f>
        <v>8.3066666666666678E-2</v>
      </c>
      <c r="T47" s="71">
        <f>S47-($R$47-$U$47)/($U$43-$R$43)</f>
        <v>7.5533333333333341E-2</v>
      </c>
      <c r="U47" s="71">
        <f>H11</f>
        <v>6.8000000000000019E-2</v>
      </c>
    </row>
    <row r="48" spans="1:23">
      <c r="B48" s="54" t="s">
        <v>59</v>
      </c>
      <c r="N48" s="74"/>
      <c r="O48" s="74"/>
      <c r="P48" s="70">
        <f>P23</f>
        <v>0.2</v>
      </c>
      <c r="Q48" s="70">
        <f t="shared" ref="Q48:U48" si="35">Q23</f>
        <v>0.17100000000000001</v>
      </c>
      <c r="R48" s="70">
        <f t="shared" si="35"/>
        <v>0.15100000000000002</v>
      </c>
      <c r="S48" s="70">
        <f t="shared" si="35"/>
        <v>0.13000000000000003</v>
      </c>
      <c r="T48" s="70">
        <f t="shared" si="35"/>
        <v>0.10900000000000003</v>
      </c>
      <c r="U48" s="70">
        <f t="shared" si="35"/>
        <v>8.8000000000000023E-2</v>
      </c>
    </row>
    <row r="49" spans="2:21">
      <c r="B49" s="54" t="s">
        <v>60</v>
      </c>
      <c r="N49" s="73"/>
      <c r="O49" s="89"/>
      <c r="P49" s="71">
        <f>P48*P10</f>
        <v>0.22000000000000003</v>
      </c>
      <c r="Q49" s="71">
        <f>Q48*P9</f>
        <v>0.18810000000000002</v>
      </c>
      <c r="R49" s="71">
        <f>R48*P10</f>
        <v>0.16610000000000003</v>
      </c>
      <c r="S49" s="71">
        <f>R49-($R$49-$U$49)/($U$43-$R$43)</f>
        <v>0.14673333333333335</v>
      </c>
      <c r="T49" s="71">
        <f>S49-($R$49-$U$49)/($U$43-$R$43)</f>
        <v>0.12736666666666668</v>
      </c>
      <c r="U49" s="70">
        <f>P11</f>
        <v>0.10800000000000003</v>
      </c>
    </row>
    <row r="51" spans="2:21">
      <c r="B51" t="s">
        <v>30</v>
      </c>
      <c r="E51" s="66">
        <f>E25</f>
        <v>3803</v>
      </c>
      <c r="F51" s="66">
        <f t="shared" ref="F51:M51" si="36">F25</f>
        <v>7207</v>
      </c>
      <c r="G51" s="66">
        <f t="shared" si="36"/>
        <v>10001</v>
      </c>
      <c r="H51" s="66">
        <f t="shared" si="36"/>
        <v>16494</v>
      </c>
      <c r="I51" s="66">
        <f t="shared" si="36"/>
        <v>20202</v>
      </c>
      <c r="J51" s="66">
        <f t="shared" si="36"/>
        <v>24913</v>
      </c>
      <c r="K51" s="66">
        <f t="shared" si="36"/>
        <v>23986</v>
      </c>
      <c r="L51" s="66">
        <f t="shared" si="36"/>
        <v>32671</v>
      </c>
      <c r="M51" s="66">
        <f t="shared" si="36"/>
        <v>46753</v>
      </c>
      <c r="N51" s="66">
        <v>28944</v>
      </c>
      <c r="O51" s="66">
        <v>46751</v>
      </c>
      <c r="P51" s="61">
        <f>P25</f>
        <v>63134.135999999999</v>
      </c>
      <c r="Q51" s="61">
        <f t="shared" ref="Q51:U51" si="37">Q25</f>
        <v>75825.716159999996</v>
      </c>
      <c r="R51" s="61">
        <f t="shared" si="37"/>
        <v>89457.284282664012</v>
      </c>
      <c r="S51" s="61">
        <f t="shared" si="37"/>
        <v>103552.26126963986</v>
      </c>
      <c r="T51" s="61">
        <f t="shared" si="37"/>
        <v>117573.73055155516</v>
      </c>
      <c r="U51" s="61">
        <f t="shared" si="37"/>
        <v>130895.10765032672</v>
      </c>
    </row>
    <row r="52" spans="2:21">
      <c r="B52" s="54" t="s">
        <v>49</v>
      </c>
      <c r="E52" s="60">
        <f>E51/E45</f>
        <v>0.48310467479674796</v>
      </c>
      <c r="F52" s="60">
        <f t="shared" ref="F52:O52" si="38">F51/F45</f>
        <v>0.57813252045563934</v>
      </c>
      <c r="G52" s="60">
        <f t="shared" si="38"/>
        <v>0.55784248103525214</v>
      </c>
      <c r="H52" s="60">
        <f t="shared" si="38"/>
        <v>0.59678703234676889</v>
      </c>
      <c r="I52" s="60">
        <f t="shared" si="38"/>
        <v>0.49693749538779425</v>
      </c>
      <c r="J52" s="60">
        <f t="shared" si="38"/>
        <v>0.44616569361366809</v>
      </c>
      <c r="K52" s="60">
        <f t="shared" si="38"/>
        <v>0.33927889443682191</v>
      </c>
      <c r="L52" s="60">
        <f t="shared" si="38"/>
        <v>0.3800500203571221</v>
      </c>
      <c r="M52" s="60">
        <f t="shared" si="38"/>
        <v>0.39645040660058173</v>
      </c>
      <c r="N52" s="60">
        <f t="shared" si="38"/>
        <v>0.24821411726367604</v>
      </c>
      <c r="O52" s="60">
        <f t="shared" si="38"/>
        <v>0.34655527716416362</v>
      </c>
      <c r="P52" s="60">
        <f ca="1">OFFSET(P52,$D$9,0)</f>
        <v>0.39</v>
      </c>
      <c r="Q52" s="60">
        <f t="shared" ref="Q52:U52" ca="1" si="39">OFFSET(Q52,$D$9,0)</f>
        <v>0.45999999999999996</v>
      </c>
      <c r="R52" s="60">
        <f t="shared" ca="1" si="39"/>
        <v>0.47149999999999997</v>
      </c>
      <c r="S52" s="60">
        <f t="shared" ca="1" si="39"/>
        <v>0.47433333333333333</v>
      </c>
      <c r="T52" s="60">
        <f t="shared" ca="1" si="39"/>
        <v>0.47716666666666668</v>
      </c>
      <c r="U52" s="60">
        <f t="shared" ca="1" si="39"/>
        <v>0.48</v>
      </c>
    </row>
    <row r="53" spans="2:21">
      <c r="B53" s="54" t="s">
        <v>58</v>
      </c>
      <c r="N53" s="73"/>
      <c r="O53" s="89"/>
      <c r="P53" s="71">
        <f>P54</f>
        <v>0.39</v>
      </c>
      <c r="Q53" s="71">
        <f>Q54*H12</f>
        <v>0.36000000000000004</v>
      </c>
      <c r="R53" s="71">
        <f>R54*H12</f>
        <v>0.36900000000000005</v>
      </c>
      <c r="S53" s="70">
        <f>R53-($R$53-$U$53)/($U$43-$R$43)</f>
        <v>0.37933333333333336</v>
      </c>
      <c r="T53" s="70">
        <f>S53-($R$53-$U$53)/($U$43-$R$43)</f>
        <v>0.38966666666666666</v>
      </c>
      <c r="U53" s="70">
        <f>H13</f>
        <v>0.4</v>
      </c>
    </row>
    <row r="54" spans="2:21">
      <c r="B54" s="54" t="s">
        <v>59</v>
      </c>
      <c r="N54" s="74"/>
      <c r="O54" s="74"/>
      <c r="P54" s="70">
        <f>P26</f>
        <v>0.39</v>
      </c>
      <c r="Q54" s="70">
        <f t="shared" ref="Q54:U54" si="40">Q26</f>
        <v>0.4</v>
      </c>
      <c r="R54" s="70">
        <f t="shared" si="40"/>
        <v>0.41000000000000003</v>
      </c>
      <c r="S54" s="70">
        <f t="shared" si="40"/>
        <v>0.42000000000000004</v>
      </c>
      <c r="T54" s="70">
        <f t="shared" si="40"/>
        <v>0.43000000000000005</v>
      </c>
      <c r="U54" s="70">
        <f t="shared" si="40"/>
        <v>0.44000000000000006</v>
      </c>
    </row>
    <row r="55" spans="2:21">
      <c r="B55" s="54" t="s">
        <v>60</v>
      </c>
      <c r="N55" s="73"/>
      <c r="O55" s="89"/>
      <c r="P55" s="71">
        <f>P54</f>
        <v>0.39</v>
      </c>
      <c r="Q55" s="71">
        <f>Q54*P12</f>
        <v>0.45999999999999996</v>
      </c>
      <c r="R55" s="71">
        <f>R54*P12</f>
        <v>0.47149999999999997</v>
      </c>
      <c r="S55" s="70">
        <f>R55-($R$55-$U$55)/($U$43-$R$43)</f>
        <v>0.47433333333333333</v>
      </c>
      <c r="T55" s="70">
        <f>S55-($R$55-$U$55)/($U$43-$R$43)</f>
        <v>0.47716666666666668</v>
      </c>
      <c r="U55" s="70">
        <f>P13</f>
        <v>0.48</v>
      </c>
    </row>
    <row r="57" spans="2:21">
      <c r="B57" t="s">
        <v>50</v>
      </c>
      <c r="E57" s="66">
        <f>E28</f>
        <v>1254</v>
      </c>
      <c r="F57" s="66">
        <f t="shared" ref="F57:M57" si="41">F28</f>
        <v>1971</v>
      </c>
      <c r="G57" s="66">
        <f t="shared" si="41"/>
        <v>2505</v>
      </c>
      <c r="H57" s="66">
        <f t="shared" si="41"/>
        <v>3021</v>
      </c>
      <c r="I57" s="66">
        <f t="shared" si="41"/>
        <v>4661</v>
      </c>
      <c r="J57" s="66">
        <f t="shared" si="41"/>
        <v>3248</v>
      </c>
      <c r="K57" s="66">
        <f t="shared" si="41"/>
        <v>6327</v>
      </c>
      <c r="L57" s="66">
        <f t="shared" si="41"/>
        <v>4035</v>
      </c>
      <c r="M57" s="66">
        <f t="shared" si="41"/>
        <v>7913</v>
      </c>
      <c r="N57" s="66">
        <v>5619</v>
      </c>
      <c r="O57" s="66">
        <v>8330</v>
      </c>
      <c r="P57" s="72">
        <f>P28</f>
        <v>11397.030569649245</v>
      </c>
      <c r="Q57" s="72">
        <f t="shared" ref="Q57:U57" si="42">Q28</f>
        <v>13688.125945701811</v>
      </c>
      <c r="R57" s="72">
        <f t="shared" si="42"/>
        <v>16148.908787590359</v>
      </c>
      <c r="S57" s="72">
        <f t="shared" si="42"/>
        <v>18693.346611196059</v>
      </c>
      <c r="T57" s="72">
        <f t="shared" si="42"/>
        <v>21224.514758288253</v>
      </c>
      <c r="U57" s="72">
        <f t="shared" si="42"/>
        <v>23629.301639738962</v>
      </c>
    </row>
    <row r="58" spans="2:21">
      <c r="B58" s="54" t="s">
        <v>51</v>
      </c>
      <c r="E58" s="60">
        <f>E57/E51</f>
        <v>0.32973967920063108</v>
      </c>
      <c r="F58" s="60">
        <f t="shared" ref="F58:L58" si="43">F57/F51</f>
        <v>0.27348411266823919</v>
      </c>
      <c r="G58" s="60">
        <f t="shared" si="43"/>
        <v>0.25047495250474955</v>
      </c>
      <c r="H58" s="60">
        <f t="shared" si="43"/>
        <v>0.18315751182248091</v>
      </c>
      <c r="I58" s="60">
        <f t="shared" si="43"/>
        <v>0.23071973071973073</v>
      </c>
      <c r="J58" s="60">
        <f t="shared" si="43"/>
        <v>0.13037370047766225</v>
      </c>
      <c r="K58" s="60">
        <f t="shared" si="43"/>
        <v>0.26377887100808806</v>
      </c>
      <c r="L58" s="60">
        <f t="shared" si="43"/>
        <v>0.12350402497627866</v>
      </c>
      <c r="M58" s="60">
        <f>M57/M51</f>
        <v>0.1692511710478472</v>
      </c>
      <c r="N58" s="60">
        <f>N57/N51</f>
        <v>0.1941334991708126</v>
      </c>
      <c r="O58" s="60">
        <f>O57/O51</f>
        <v>0.1781780068875532</v>
      </c>
      <c r="P58" s="73">
        <f>AVERAGE(M58:O58)</f>
        <v>0.18052089236873767</v>
      </c>
      <c r="Q58" s="74">
        <f>P58</f>
        <v>0.18052089236873767</v>
      </c>
      <c r="R58" s="74">
        <f t="shared" ref="R58:S58" si="44">Q58</f>
        <v>0.18052089236873767</v>
      </c>
      <c r="S58" s="74">
        <f t="shared" si="44"/>
        <v>0.18052089236873767</v>
      </c>
      <c r="T58" s="74">
        <f t="shared" ref="T58" si="45">S58</f>
        <v>0.18052089236873767</v>
      </c>
      <c r="U58" s="74">
        <f t="shared" ref="U58" si="46">T58</f>
        <v>0.18052089236873767</v>
      </c>
    </row>
    <row r="60" spans="2:21">
      <c r="B60" s="63" t="s">
        <v>61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75"/>
      <c r="O60" s="75"/>
      <c r="P60" s="75">
        <f t="shared" ref="P60:S60" si="47">P51-P57</f>
        <v>51737.105430350755</v>
      </c>
      <c r="Q60" s="75">
        <f t="shared" si="47"/>
        <v>62137.590214298187</v>
      </c>
      <c r="R60" s="75">
        <f t="shared" si="47"/>
        <v>73308.375495073647</v>
      </c>
      <c r="S60" s="75">
        <f t="shared" si="47"/>
        <v>84858.914658443799</v>
      </c>
      <c r="T60" s="75">
        <f t="shared" ref="T60:U60" si="48">T51-T57</f>
        <v>96349.215793266907</v>
      </c>
      <c r="U60" s="76">
        <f t="shared" si="48"/>
        <v>107265.80601058777</v>
      </c>
    </row>
    <row r="62" spans="2:21">
      <c r="B62" t="s">
        <v>32</v>
      </c>
      <c r="E62" s="66">
        <v>1011</v>
      </c>
      <c r="F62" s="66">
        <v>1243</v>
      </c>
      <c r="G62" s="66">
        <v>1945</v>
      </c>
      <c r="H62" s="66">
        <v>2342</v>
      </c>
      <c r="I62" s="66">
        <v>3025</v>
      </c>
      <c r="J62" s="66">
        <v>4315</v>
      </c>
      <c r="K62" s="66">
        <v>5741</v>
      </c>
      <c r="L62" s="66">
        <v>6862</v>
      </c>
      <c r="M62" s="66">
        <v>7967</v>
      </c>
      <c r="N62" s="66">
        <v>8686</v>
      </c>
      <c r="O62" s="66">
        <v>11178</v>
      </c>
      <c r="P62" s="72">
        <f>P32</f>
        <v>12950.592000000001</v>
      </c>
      <c r="Q62" s="72">
        <f t="shared" ref="Q62:U62" si="49">Q32</f>
        <v>15165.143232</v>
      </c>
      <c r="R62" s="72">
        <f t="shared" si="49"/>
        <v>19636.964842535999</v>
      </c>
      <c r="S62" s="72">
        <f t="shared" si="49"/>
        <v>22189.770272065682</v>
      </c>
      <c r="T62" s="72">
        <f t="shared" si="49"/>
        <v>27342.728035245382</v>
      </c>
      <c r="U62" s="72">
        <f t="shared" si="49"/>
        <v>29748.88810234698</v>
      </c>
    </row>
    <row r="63" spans="2:21">
      <c r="B63" s="54" t="s">
        <v>53</v>
      </c>
      <c r="E63" s="60">
        <f>E62/E68</f>
        <v>0.74229074889867841</v>
      </c>
      <c r="F63" s="60">
        <f t="shared" ref="F63:O63" si="50">F62/F68</f>
        <v>0.67886400873839436</v>
      </c>
      <c r="G63" s="60">
        <f t="shared" si="50"/>
        <v>0.77090764962346414</v>
      </c>
      <c r="H63" s="60">
        <f t="shared" si="50"/>
        <v>0.52148741928301046</v>
      </c>
      <c r="I63" s="60">
        <f t="shared" si="50"/>
        <v>0.44927966731026286</v>
      </c>
      <c r="J63" s="60">
        <f t="shared" si="50"/>
        <v>0.31009701760689901</v>
      </c>
      <c r="K63" s="60">
        <f t="shared" si="50"/>
        <v>0.38014832472520194</v>
      </c>
      <c r="L63" s="60">
        <f t="shared" si="50"/>
        <v>0.45398610651670523</v>
      </c>
      <c r="M63" s="60">
        <f t="shared" si="50"/>
        <v>0.42627073301230606</v>
      </c>
      <c r="N63" s="60">
        <f t="shared" si="50"/>
        <v>0.27635137284846173</v>
      </c>
      <c r="O63" s="60">
        <f t="shared" si="50"/>
        <v>0.40996112374385679</v>
      </c>
      <c r="P63" s="60">
        <f ca="1">OFFSET(P63,$D$11,0)</f>
        <v>0.37001691428571432</v>
      </c>
      <c r="Q63" s="60">
        <f t="shared" ref="Q63:U63" ca="1" si="51">OFFSET(Q63,$D$11,0)</f>
        <v>0.37001691428571432</v>
      </c>
      <c r="R63" s="60">
        <f t="shared" ca="1" si="51"/>
        <v>0.41626902857142861</v>
      </c>
      <c r="S63" s="60">
        <f t="shared" ca="1" si="51"/>
        <v>0.41626902857142861</v>
      </c>
      <c r="T63" s="60">
        <f t="shared" ca="1" si="51"/>
        <v>0.46252114285714291</v>
      </c>
      <c r="U63" s="60">
        <f t="shared" ca="1" si="51"/>
        <v>0.46252114285714285</v>
      </c>
    </row>
    <row r="64" spans="2:21">
      <c r="B64" s="54" t="s">
        <v>58</v>
      </c>
      <c r="N64" s="73"/>
      <c r="O64" s="89"/>
      <c r="P64" s="71">
        <f>P65*$H$14</f>
        <v>0.31956006233766232</v>
      </c>
      <c r="Q64" s="71">
        <f t="shared" ref="Q64:U64" si="52">Q65*$H$14</f>
        <v>0.31956006233766232</v>
      </c>
      <c r="R64" s="71">
        <f t="shared" si="52"/>
        <v>0.3595050701298701</v>
      </c>
      <c r="S64" s="71">
        <f t="shared" si="52"/>
        <v>0.3595050701298701</v>
      </c>
      <c r="T64" s="71">
        <f t="shared" si="52"/>
        <v>0.39945007792207793</v>
      </c>
      <c r="U64" s="71">
        <f t="shared" si="52"/>
        <v>0.39945007792207787</v>
      </c>
    </row>
    <row r="65" spans="2:23">
      <c r="B65" s="54" t="s">
        <v>59</v>
      </c>
      <c r="N65" s="74"/>
      <c r="O65" s="74"/>
      <c r="P65" s="70">
        <f>P34</f>
        <v>0.336379012987013</v>
      </c>
      <c r="Q65" s="70">
        <f t="shared" ref="Q65:U65" si="53">Q34</f>
        <v>0.336379012987013</v>
      </c>
      <c r="R65" s="70">
        <f t="shared" si="53"/>
        <v>0.3784263896103896</v>
      </c>
      <c r="S65" s="70">
        <f t="shared" si="53"/>
        <v>0.3784263896103896</v>
      </c>
      <c r="T65" s="70">
        <f t="shared" si="53"/>
        <v>0.42047376623376626</v>
      </c>
      <c r="U65" s="70">
        <f t="shared" si="53"/>
        <v>0.4204737662337662</v>
      </c>
    </row>
    <row r="66" spans="2:23">
      <c r="B66" s="54" t="s">
        <v>60</v>
      </c>
      <c r="N66" s="73"/>
      <c r="O66" s="89"/>
      <c r="P66" s="71">
        <f>P65*$P$14</f>
        <v>0.37001691428571432</v>
      </c>
      <c r="Q66" s="71">
        <f t="shared" ref="Q66:S66" si="54">Q65*$P$14</f>
        <v>0.37001691428571432</v>
      </c>
      <c r="R66" s="71">
        <f t="shared" si="54"/>
        <v>0.41626902857142861</v>
      </c>
      <c r="S66" s="71">
        <f t="shared" si="54"/>
        <v>0.41626902857142861</v>
      </c>
      <c r="T66" s="71">
        <f t="shared" ref="T66:U66" si="55">T65*$P$14</f>
        <v>0.46252114285714291</v>
      </c>
      <c r="U66" s="71">
        <f t="shared" si="55"/>
        <v>0.46252114285714285</v>
      </c>
    </row>
    <row r="67" spans="2:23">
      <c r="B67" s="54"/>
    </row>
    <row r="68" spans="2:23">
      <c r="B68" t="s">
        <v>34</v>
      </c>
      <c r="E68" s="66">
        <f>E36</f>
        <v>1362</v>
      </c>
      <c r="F68" s="66">
        <f t="shared" ref="F68:M68" si="56">F36</f>
        <v>1831</v>
      </c>
      <c r="G68" s="66">
        <f t="shared" si="56"/>
        <v>2523</v>
      </c>
      <c r="H68" s="66">
        <f t="shared" si="56"/>
        <v>4491</v>
      </c>
      <c r="I68" s="66">
        <f t="shared" si="56"/>
        <v>6733</v>
      </c>
      <c r="J68" s="66">
        <f t="shared" si="56"/>
        <v>13915</v>
      </c>
      <c r="K68" s="66">
        <f t="shared" si="56"/>
        <v>15102</v>
      </c>
      <c r="L68" s="66">
        <f t="shared" si="56"/>
        <v>15115</v>
      </c>
      <c r="M68" s="66">
        <f t="shared" si="56"/>
        <v>18690</v>
      </c>
      <c r="N68" s="66">
        <v>31431</v>
      </c>
      <c r="O68" s="66">
        <v>27266</v>
      </c>
      <c r="P68" s="72">
        <f>P36</f>
        <v>38500</v>
      </c>
      <c r="Q68" s="72">
        <f t="shared" ref="Q68:U68" si="57">Q36</f>
        <v>45083.5</v>
      </c>
      <c r="R68" s="72">
        <f t="shared" si="57"/>
        <v>51891.108500000002</v>
      </c>
      <c r="S68" s="72">
        <f t="shared" si="57"/>
        <v>58636.952605000006</v>
      </c>
      <c r="T68" s="72">
        <f t="shared" si="57"/>
        <v>65028.380438945009</v>
      </c>
      <c r="U68" s="72">
        <f t="shared" si="57"/>
        <v>70750.877917572187</v>
      </c>
    </row>
    <row r="69" spans="2:23">
      <c r="B69" s="54" t="s">
        <v>49</v>
      </c>
      <c r="E69" s="60">
        <f t="shared" ref="E69:O69" si="58">E68/E45</f>
        <v>0.17301829268292682</v>
      </c>
      <c r="F69" s="60">
        <f t="shared" si="58"/>
        <v>0.14687951227338361</v>
      </c>
      <c r="G69" s="60">
        <f t="shared" si="58"/>
        <v>0.14072958500669344</v>
      </c>
      <c r="H69" s="60">
        <f t="shared" si="58"/>
        <v>0.16249366813807078</v>
      </c>
      <c r="I69" s="60">
        <f t="shared" si="58"/>
        <v>0.16562123336531129</v>
      </c>
      <c r="J69" s="60">
        <f t="shared" si="58"/>
        <v>0.24920305168523227</v>
      </c>
      <c r="K69" s="60">
        <f t="shared" si="58"/>
        <v>0.21361585357228738</v>
      </c>
      <c r="L69" s="60">
        <f t="shared" si="58"/>
        <v>0.17582737160472287</v>
      </c>
      <c r="M69" s="60">
        <f t="shared" si="58"/>
        <v>0.15848519024158603</v>
      </c>
      <c r="N69" s="60">
        <f t="shared" si="58"/>
        <v>0.26954180209074774</v>
      </c>
      <c r="O69" s="60">
        <f t="shared" si="58"/>
        <v>0.20211709240782197</v>
      </c>
      <c r="P69" s="60">
        <f ca="1">OFFSET(P69,$D$12,0)</f>
        <v>0.2021529208857788</v>
      </c>
      <c r="Q69" s="60">
        <f t="shared" ref="Q69:U69" ca="1" si="59">OFFSET(Q69,$D$12,0)</f>
        <v>0.2021529208857788</v>
      </c>
      <c r="R69" s="60">
        <f t="shared" ca="1" si="59"/>
        <v>0.2021529208857788</v>
      </c>
      <c r="S69" s="60">
        <f t="shared" ca="1" si="59"/>
        <v>0.2021529208857788</v>
      </c>
      <c r="T69" s="60">
        <f t="shared" ca="1" si="59"/>
        <v>0.2021529208857788</v>
      </c>
      <c r="U69" s="60">
        <f t="shared" ca="1" si="59"/>
        <v>0.2021529208857788</v>
      </c>
    </row>
    <row r="70" spans="2:23">
      <c r="B70" s="54" t="s">
        <v>58</v>
      </c>
      <c r="N70" s="73"/>
      <c r="O70" s="89"/>
      <c r="P70" s="71">
        <f>P71*$H$15</f>
        <v>0.24971831403537384</v>
      </c>
      <c r="Q70" s="71">
        <f t="shared" ref="Q70:U70" si="60">Q71*$H$15</f>
        <v>0.24971831403537384</v>
      </c>
      <c r="R70" s="71">
        <f t="shared" si="60"/>
        <v>0.24971831403537384</v>
      </c>
      <c r="S70" s="71">
        <f t="shared" si="60"/>
        <v>0.24971831403537384</v>
      </c>
      <c r="T70" s="71">
        <f t="shared" si="60"/>
        <v>0.24971831403537384</v>
      </c>
      <c r="U70" s="71">
        <f t="shared" si="60"/>
        <v>0.24971831403537384</v>
      </c>
    </row>
    <row r="71" spans="2:23">
      <c r="B71" s="54" t="s">
        <v>59</v>
      </c>
      <c r="N71" s="74"/>
      <c r="O71" s="74"/>
      <c r="P71" s="70">
        <f>P37</f>
        <v>0.23782696574797507</v>
      </c>
      <c r="Q71" s="70">
        <f t="shared" ref="Q71:U71" si="61">Q37</f>
        <v>0.23782696574797507</v>
      </c>
      <c r="R71" s="70">
        <f t="shared" si="61"/>
        <v>0.23782696574797507</v>
      </c>
      <c r="S71" s="70">
        <f t="shared" si="61"/>
        <v>0.23782696574797507</v>
      </c>
      <c r="T71" s="70">
        <f t="shared" si="61"/>
        <v>0.23782696574797507</v>
      </c>
      <c r="U71" s="70">
        <f t="shared" si="61"/>
        <v>0.23782696574797507</v>
      </c>
    </row>
    <row r="72" spans="2:23">
      <c r="B72" s="54" t="s">
        <v>60</v>
      </c>
      <c r="N72" s="73"/>
      <c r="O72" s="89"/>
      <c r="P72" s="71">
        <f t="shared" ref="P72:U72" si="62">P71*$P$15</f>
        <v>0.2021529208857788</v>
      </c>
      <c r="Q72" s="71">
        <f t="shared" si="62"/>
        <v>0.2021529208857788</v>
      </c>
      <c r="R72" s="71">
        <f t="shared" si="62"/>
        <v>0.2021529208857788</v>
      </c>
      <c r="S72" s="71">
        <f t="shared" si="62"/>
        <v>0.2021529208857788</v>
      </c>
      <c r="T72" s="71">
        <f t="shared" si="62"/>
        <v>0.2021529208857788</v>
      </c>
      <c r="U72" s="71">
        <f t="shared" si="62"/>
        <v>0.2021529208857788</v>
      </c>
    </row>
    <row r="73" spans="2:23">
      <c r="B73" s="54"/>
    </row>
    <row r="74" spans="2:23">
      <c r="B74" t="s">
        <v>62</v>
      </c>
      <c r="E74" s="67">
        <f>E39</f>
        <v>676</v>
      </c>
      <c r="F74" s="67">
        <f t="shared" ref="F74:M74" si="63">F39</f>
        <v>-262</v>
      </c>
      <c r="G74" s="67">
        <f t="shared" si="63"/>
        <v>784</v>
      </c>
      <c r="H74" s="67">
        <f t="shared" si="63"/>
        <v>758</v>
      </c>
      <c r="I74" s="67">
        <f t="shared" si="63"/>
        <v>1887</v>
      </c>
      <c r="J74" s="67">
        <f t="shared" si="63"/>
        <v>-1527</v>
      </c>
      <c r="K74" s="67">
        <f t="shared" si="63"/>
        <v>7250</v>
      </c>
      <c r="L74" s="67">
        <f t="shared" si="63"/>
        <v>-2723</v>
      </c>
      <c r="M74" s="67">
        <f t="shared" si="63"/>
        <v>700</v>
      </c>
      <c r="N74" s="67">
        <v>5685</v>
      </c>
      <c r="O74" s="67">
        <v>3876</v>
      </c>
      <c r="P74" s="77">
        <f ca="1">P75*(P45-O45)</f>
        <v>2374.2752</v>
      </c>
      <c r="Q74" s="77">
        <f t="shared" ref="Q74:U74" ca="1" si="64">Q75*(Q45-P45)</f>
        <v>2476.6064611199986</v>
      </c>
      <c r="R74" s="77">
        <f t="shared" ca="1" si="64"/>
        <v>2598.3092199120347</v>
      </c>
      <c r="S74" s="77">
        <f t="shared" ca="1" si="64"/>
        <v>2676.6142192767679</v>
      </c>
      <c r="T74" s="77">
        <f t="shared" ca="1" si="64"/>
        <v>2664.2514882759983</v>
      </c>
      <c r="U74" s="77">
        <f t="shared" ca="1" si="64"/>
        <v>2546.8793915671622</v>
      </c>
    </row>
    <row r="75" spans="2:23">
      <c r="B75" s="54" t="s">
        <v>56</v>
      </c>
      <c r="E75" s="60"/>
      <c r="F75" s="60">
        <f>F74/(F45-E45)</f>
        <v>-5.7030909882455377E-2</v>
      </c>
      <c r="G75" s="60">
        <f t="shared" ref="G75:M75" si="65">G74/(G45-F45)</f>
        <v>0.14353716587330648</v>
      </c>
      <c r="H75" s="60">
        <f t="shared" si="65"/>
        <v>7.8063851699279097E-2</v>
      </c>
      <c r="I75" s="60">
        <f t="shared" si="65"/>
        <v>0.14498655397618132</v>
      </c>
      <c r="J75" s="60">
        <f t="shared" si="65"/>
        <v>-0.1005597629239381</v>
      </c>
      <c r="K75" s="60">
        <f t="shared" si="65"/>
        <v>0.48791977925836194</v>
      </c>
      <c r="L75" s="60">
        <f t="shared" si="65"/>
        <v>-0.17834686926905946</v>
      </c>
      <c r="M75" s="60">
        <f t="shared" si="65"/>
        <v>2.1899637091728194E-2</v>
      </c>
      <c r="N75" s="60">
        <f t="shared" ref="N75" si="66">N74/(N45-M45)</f>
        <v>-4.3068181818181817</v>
      </c>
      <c r="O75" s="60">
        <f t="shared" ref="O75" si="67">O74/(O45-N45)</f>
        <v>0.21188432733832613</v>
      </c>
      <c r="P75" s="60">
        <f>8%</f>
        <v>0.08</v>
      </c>
      <c r="Q75" s="60">
        <f>8%</f>
        <v>0.08</v>
      </c>
      <c r="R75" s="60">
        <f>8%</f>
        <v>0.08</v>
      </c>
      <c r="S75" s="60">
        <f>8%</f>
        <v>0.08</v>
      </c>
      <c r="T75" s="60">
        <f>8%</f>
        <v>0.08</v>
      </c>
      <c r="U75" s="60">
        <f>8%</f>
        <v>0.08</v>
      </c>
      <c r="W75" s="60"/>
    </row>
    <row r="76" spans="2:23">
      <c r="B76" s="54"/>
    </row>
    <row r="77" spans="2:23">
      <c r="B77" s="63" t="s">
        <v>63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80"/>
      <c r="O77" s="80"/>
      <c r="P77" s="80">
        <f ca="1">P60+P62-P68-P74</f>
        <v>23813.422230350759</v>
      </c>
      <c r="Q77" s="80">
        <f t="shared" ref="Q77:S77" ca="1" si="68">Q60+Q62-Q68-Q74</f>
        <v>29742.626985178184</v>
      </c>
      <c r="R77" s="80">
        <f t="shared" ca="1" si="68"/>
        <v>38455.922617697601</v>
      </c>
      <c r="S77" s="80">
        <f t="shared" ca="1" si="68"/>
        <v>45735.118106232709</v>
      </c>
      <c r="T77" s="80">
        <f t="shared" ref="T77" ca="1" si="69">T60+T62-T68-T74</f>
        <v>55999.311901291279</v>
      </c>
      <c r="U77" s="81">
        <f ca="1">U60+U62-U68-U74</f>
        <v>63716.936803795405</v>
      </c>
    </row>
    <row r="78" spans="2:23">
      <c r="B78" s="63" t="s">
        <v>64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80"/>
      <c r="O78" s="80"/>
      <c r="P78" s="80">
        <f ca="1">P77/(1+wacc)^(P80*P81)</f>
        <v>23572.368851140716</v>
      </c>
      <c r="Q78" s="80">
        <f ca="1">Q77/(1+wacc)^Q81</f>
        <v>28034.512900467216</v>
      </c>
      <c r="R78" s="80">
        <f ca="1">R77/(1+wacc)^R81</f>
        <v>33515.527658056861</v>
      </c>
      <c r="S78" s="80">
        <f ca="1">S77/(1+wacc)^S81</f>
        <v>36855.454111968422</v>
      </c>
      <c r="T78" s="80">
        <f ca="1">T77/(1+wacc)^T81</f>
        <v>41725.715074672749</v>
      </c>
      <c r="U78" s="81">
        <f ca="1">U77/(1+wacc)^U81</f>
        <v>43898.039225745386</v>
      </c>
    </row>
    <row r="79" spans="2:23">
      <c r="N79" s="59"/>
      <c r="O79" s="59"/>
      <c r="P79" s="59"/>
      <c r="Q79" s="59"/>
      <c r="R79" s="59"/>
      <c r="S79" s="59"/>
      <c r="T79" s="59"/>
      <c r="U79" s="59"/>
    </row>
    <row r="80" spans="2:23">
      <c r="B80" t="s">
        <v>65</v>
      </c>
      <c r="N80" s="59"/>
      <c r="O80" s="59"/>
      <c r="P80" s="140">
        <v>0.50958904109589043</v>
      </c>
      <c r="Q80" s="59"/>
      <c r="R80" s="59"/>
      <c r="S80" s="59"/>
      <c r="T80" s="59"/>
      <c r="U80" s="59"/>
    </row>
    <row r="81" spans="1:21">
      <c r="B81" t="s">
        <v>66</v>
      </c>
      <c r="N81" s="59"/>
      <c r="O81" s="59"/>
      <c r="P81" s="140">
        <f>P80/2</f>
        <v>0.25479452054794521</v>
      </c>
      <c r="Q81" s="140">
        <f>P81+0.5</f>
        <v>0.75479452054794516</v>
      </c>
      <c r="R81" s="140">
        <f>Q81+1</f>
        <v>1.7547945205479452</v>
      </c>
      <c r="S81" s="140">
        <f t="shared" ref="S81:U81" si="70">R81+1</f>
        <v>2.7547945205479452</v>
      </c>
      <c r="T81" s="140">
        <f t="shared" si="70"/>
        <v>3.7547945205479452</v>
      </c>
      <c r="U81" s="140">
        <f t="shared" si="70"/>
        <v>4.7547945205479447</v>
      </c>
    </row>
    <row r="82" spans="1:21">
      <c r="N82" s="83"/>
      <c r="O82" s="83"/>
      <c r="P82" s="83"/>
      <c r="Q82" s="83"/>
      <c r="R82" s="83"/>
      <c r="S82" s="83"/>
      <c r="U82" s="139"/>
    </row>
    <row r="83" spans="1:21">
      <c r="B83" t="s">
        <v>67</v>
      </c>
      <c r="N83" s="83"/>
      <c r="O83" s="83"/>
      <c r="P83" s="83"/>
      <c r="Q83" s="83"/>
      <c r="R83" s="83"/>
      <c r="S83" s="83"/>
      <c r="T83" s="161">
        <f ca="1">(U77*(1+tgr))/(wacc-tgr)</f>
        <v>1177672.9357905188</v>
      </c>
      <c r="U83" s="161"/>
    </row>
    <row r="84" spans="1:21">
      <c r="B84" t="s">
        <v>68</v>
      </c>
      <c r="N84" s="83"/>
      <c r="O84" s="83"/>
      <c r="P84" s="83"/>
      <c r="Q84" s="83"/>
      <c r="R84" s="83"/>
      <c r="S84" s="83"/>
      <c r="T84" s="161">
        <f ca="1">T83/(1+wacc)^U81</f>
        <v>811362.4936117687</v>
      </c>
      <c r="U84" s="161"/>
    </row>
    <row r="86" spans="1:21">
      <c r="B86" t="s">
        <v>69</v>
      </c>
      <c r="S86" s="59"/>
      <c r="T86" s="162">
        <f ca="1">SUM(P78:U78,T83)</f>
        <v>1385274.55361257</v>
      </c>
      <c r="U86" s="162"/>
    </row>
    <row r="87" spans="1:21">
      <c r="B87" s="78" t="s">
        <v>70</v>
      </c>
      <c r="S87" s="59"/>
      <c r="U87">
        <f>32045+26035</f>
        <v>58080</v>
      </c>
    </row>
    <row r="88" spans="1:21">
      <c r="B88" s="78" t="s">
        <v>71</v>
      </c>
      <c r="S88" s="59"/>
      <c r="U88" s="59">
        <f>WACC!F59*1000</f>
        <v>37991</v>
      </c>
    </row>
    <row r="89" spans="1:21">
      <c r="B89" t="s">
        <v>72</v>
      </c>
      <c r="S89" s="59"/>
      <c r="T89" s="162">
        <f ca="1">T86-U88+U87</f>
        <v>1405363.55361257</v>
      </c>
      <c r="U89" s="162"/>
    </row>
    <row r="90" spans="1:21">
      <c r="B90" t="s">
        <v>73</v>
      </c>
      <c r="S90" s="59"/>
      <c r="U90" s="59">
        <v>2180</v>
      </c>
    </row>
    <row r="91" spans="1:21">
      <c r="A91" s="50" t="s">
        <v>2</v>
      </c>
      <c r="B91" t="s">
        <v>18</v>
      </c>
      <c r="S91" s="84"/>
      <c r="T91" s="163">
        <f ca="1">T89/U90</f>
        <v>644.66218055622483</v>
      </c>
      <c r="U91" s="163"/>
    </row>
  </sheetData>
  <mergeCells count="5">
    <mergeCell ref="T83:U83"/>
    <mergeCell ref="T84:U84"/>
    <mergeCell ref="T86:U86"/>
    <mergeCell ref="T89:U89"/>
    <mergeCell ref="T91:U91"/>
  </mergeCells>
  <phoneticPr fontId="2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776A-7BE2-43CE-8D12-D89F2C256B69}">
  <dimension ref="A2:G77"/>
  <sheetViews>
    <sheetView showGridLines="0" topLeftCell="A42" zoomScale="120" zoomScaleNormal="120" workbookViewId="0">
      <selection activeCell="H64" sqref="H64"/>
    </sheetView>
  </sheetViews>
  <sheetFormatPr baseColWidth="10" defaultColWidth="8.83203125" defaultRowHeight="15"/>
  <cols>
    <col min="1" max="1" width="3.6640625" customWidth="1"/>
    <col min="6" max="6" width="27.5" customWidth="1"/>
    <col min="7" max="7" width="21" customWidth="1"/>
    <col min="8" max="8" width="47.5" customWidth="1"/>
  </cols>
  <sheetData>
    <row r="2" spans="2:7" s="45" customFormat="1" ht="21">
      <c r="B2" s="46" t="s">
        <v>36</v>
      </c>
    </row>
    <row r="4" spans="2:7">
      <c r="B4" t="s">
        <v>74</v>
      </c>
    </row>
    <row r="5" spans="2:7">
      <c r="B5" t="s">
        <v>75</v>
      </c>
    </row>
    <row r="7" spans="2:7">
      <c r="B7" s="99" t="s">
        <v>76</v>
      </c>
      <c r="C7" s="100"/>
    </row>
    <row r="8" spans="2:7">
      <c r="B8" s="101" t="s">
        <v>77</v>
      </c>
      <c r="G8" s="101">
        <v>2540</v>
      </c>
    </row>
    <row r="9" spans="2:7">
      <c r="B9" s="101" t="s">
        <v>78</v>
      </c>
      <c r="G9" s="102">
        <v>504.22</v>
      </c>
    </row>
    <row r="10" spans="2:7">
      <c r="B10" s="97" t="s">
        <v>79</v>
      </c>
      <c r="G10" s="98">
        <f>G9*G8</f>
        <v>1280718.8</v>
      </c>
    </row>
    <row r="12" spans="2:7">
      <c r="B12" s="97" t="s">
        <v>80</v>
      </c>
      <c r="C12" s="101"/>
    </row>
    <row r="13" spans="2:7">
      <c r="B13" s="101" t="s">
        <v>81</v>
      </c>
      <c r="G13" s="101">
        <v>6610049</v>
      </c>
    </row>
    <row r="14" spans="2:7">
      <c r="B14" s="101" t="s">
        <v>82</v>
      </c>
      <c r="G14" s="101">
        <v>504552</v>
      </c>
    </row>
    <row r="15" spans="2:7">
      <c r="B15" s="101" t="s">
        <v>83</v>
      </c>
      <c r="G15" s="101">
        <v>304082</v>
      </c>
    </row>
    <row r="16" spans="2:7">
      <c r="B16" s="101" t="s">
        <v>84</v>
      </c>
      <c r="G16" s="101">
        <f>3724850+998439</f>
        <v>4723289</v>
      </c>
    </row>
    <row r="17" spans="2:7">
      <c r="B17" s="101" t="s">
        <v>85</v>
      </c>
      <c r="G17" s="101">
        <f>25788-187</f>
        <v>25601</v>
      </c>
    </row>
    <row r="18" spans="2:7">
      <c r="B18" s="101" t="s">
        <v>86</v>
      </c>
      <c r="G18" s="101">
        <f>515760-3742</f>
        <v>512018</v>
      </c>
    </row>
    <row r="19" spans="2:7">
      <c r="B19" s="97" t="s">
        <v>87</v>
      </c>
      <c r="G19" s="103">
        <f>SUM(G13:G18)</f>
        <v>12679591</v>
      </c>
    </row>
    <row r="20" spans="2:7">
      <c r="B20" s="101"/>
      <c r="G20" s="101"/>
    </row>
    <row r="21" spans="2:7" ht="16" thickBot="1">
      <c r="B21" s="97" t="s">
        <v>88</v>
      </c>
      <c r="G21" s="104">
        <f>G10+G19</f>
        <v>13960309.800000001</v>
      </c>
    </row>
    <row r="22" spans="2:7" ht="16" thickTop="1">
      <c r="B22" s="97"/>
      <c r="G22" s="105"/>
    </row>
    <row r="23" spans="2:7">
      <c r="B23" s="97" t="s">
        <v>89</v>
      </c>
      <c r="G23" s="106" t="e">
        <f>C10/C21</f>
        <v>#DIV/0!</v>
      </c>
    </row>
    <row r="24" spans="2:7">
      <c r="B24" s="97" t="s">
        <v>90</v>
      </c>
      <c r="G24" s="106" t="e">
        <f>C19/C21</f>
        <v>#DIV/0!</v>
      </c>
    </row>
    <row r="25" spans="2:7">
      <c r="B25" s="95"/>
      <c r="G25" s="96"/>
    </row>
    <row r="28" spans="2:7">
      <c r="B28" s="173" t="s">
        <v>91</v>
      </c>
      <c r="C28" s="174"/>
      <c r="D28" s="174"/>
      <c r="E28" s="174"/>
      <c r="F28" s="175"/>
    </row>
    <row r="29" spans="2:7">
      <c r="B29" s="168" t="s">
        <v>92</v>
      </c>
      <c r="C29" s="169"/>
      <c r="D29" s="169"/>
      <c r="E29" s="176">
        <v>446</v>
      </c>
      <c r="F29" s="177"/>
    </row>
    <row r="30" spans="2:7">
      <c r="B30" s="168" t="s">
        <v>87</v>
      </c>
      <c r="C30" s="169"/>
      <c r="D30" s="169"/>
      <c r="E30" s="171">
        <v>37234</v>
      </c>
      <c r="F30" s="172"/>
    </row>
    <row r="31" spans="2:7">
      <c r="B31" s="168" t="s">
        <v>91</v>
      </c>
      <c r="C31" s="169"/>
      <c r="D31" s="169"/>
      <c r="E31" s="188">
        <f>E29/E30</f>
        <v>1.1978299403770747E-2</v>
      </c>
      <c r="F31" s="189"/>
    </row>
    <row r="32" spans="2:7">
      <c r="B32" s="168" t="s">
        <v>93</v>
      </c>
      <c r="C32" s="169"/>
      <c r="D32" s="169"/>
      <c r="E32" s="171">
        <v>8330</v>
      </c>
      <c r="F32" s="172"/>
    </row>
    <row r="33" spans="2:6">
      <c r="B33" s="168" t="s">
        <v>94</v>
      </c>
      <c r="C33" s="169"/>
      <c r="D33" s="170"/>
      <c r="E33" s="171">
        <v>47428</v>
      </c>
      <c r="F33" s="172"/>
    </row>
    <row r="34" spans="2:6">
      <c r="B34" s="168" t="s">
        <v>95</v>
      </c>
      <c r="C34" s="169"/>
      <c r="D34" s="169"/>
      <c r="E34" s="190">
        <f>E32/E33</f>
        <v>0.17563464620055663</v>
      </c>
      <c r="F34" s="191"/>
    </row>
    <row r="35" spans="2:6">
      <c r="B35" s="178" t="s">
        <v>96</v>
      </c>
      <c r="C35" s="179"/>
      <c r="D35" s="179"/>
      <c r="E35" s="166">
        <f>E31*(1-E34)</f>
        <v>9.8744950259051327E-3</v>
      </c>
      <c r="F35" s="167"/>
    </row>
    <row r="37" spans="2:6">
      <c r="B37" s="173" t="s">
        <v>97</v>
      </c>
      <c r="C37" s="174"/>
      <c r="D37" s="174"/>
      <c r="E37" s="175"/>
    </row>
    <row r="38" spans="2:6">
      <c r="B38" s="94" t="s">
        <v>98</v>
      </c>
      <c r="D38" s="180">
        <v>4.3430000000000003E-2</v>
      </c>
      <c r="E38" s="181"/>
    </row>
    <row r="39" spans="2:6">
      <c r="B39" s="94" t="s">
        <v>99</v>
      </c>
      <c r="D39" s="182">
        <v>1.1221610142112444</v>
      </c>
      <c r="E39" s="183"/>
    </row>
    <row r="40" spans="2:6">
      <c r="B40" s="94" t="s">
        <v>100</v>
      </c>
      <c r="D40" s="184">
        <v>0.09</v>
      </c>
      <c r="E40" s="185"/>
    </row>
    <row r="41" spans="2:6">
      <c r="B41" s="79" t="s">
        <v>97</v>
      </c>
      <c r="C41" s="45"/>
      <c r="D41" s="186">
        <f>(D38)+(D39)*(D40-D38)</f>
        <v>9.5689038431817641E-2</v>
      </c>
      <c r="E41" s="187"/>
      <c r="F41" s="112">
        <v>8.3500000000000005E-2</v>
      </c>
    </row>
    <row r="42" spans="2:6">
      <c r="D42" s="107"/>
      <c r="E42" s="107"/>
    </row>
    <row r="43" spans="2:6">
      <c r="B43" s="173" t="s">
        <v>101</v>
      </c>
      <c r="C43" s="174"/>
      <c r="D43" s="174"/>
      <c r="E43" s="175"/>
    </row>
    <row r="44" spans="2:6">
      <c r="B44" s="94" t="s">
        <v>87</v>
      </c>
      <c r="D44" s="176">
        <f>E30</f>
        <v>37234</v>
      </c>
      <c r="E44" s="177"/>
      <c r="F44" s="132">
        <f>D44/D46</f>
        <v>2.8266807567979568E-2</v>
      </c>
    </row>
    <row r="45" spans="2:6">
      <c r="B45" s="94" t="s">
        <v>102</v>
      </c>
      <c r="D45" s="171">
        <f>1280000</f>
        <v>1280000</v>
      </c>
      <c r="E45" s="172"/>
      <c r="F45" s="132">
        <f>D45/D46</f>
        <v>0.97173319243202039</v>
      </c>
    </row>
    <row r="46" spans="2:6">
      <c r="B46" s="79" t="s">
        <v>88</v>
      </c>
      <c r="C46" s="45"/>
      <c r="D46" s="164">
        <f>D44+D45</f>
        <v>1317234</v>
      </c>
      <c r="E46" s="165"/>
    </row>
    <row r="47" spans="2:6">
      <c r="D47" s="107"/>
      <c r="E47" s="107"/>
    </row>
    <row r="48" spans="2:6">
      <c r="B48" t="s">
        <v>103</v>
      </c>
      <c r="C48" s="108">
        <f>(E31*F44)+(F41*F45)</f>
        <v>8.1478309852311748E-2</v>
      </c>
      <c r="D48" s="107"/>
      <c r="E48" s="107"/>
    </row>
    <row r="51" spans="1:6">
      <c r="A51" t="s">
        <v>2</v>
      </c>
      <c r="B51" s="154" t="s">
        <v>36</v>
      </c>
      <c r="C51" s="142"/>
      <c r="D51" s="142"/>
      <c r="E51" s="142"/>
      <c r="F51" s="155"/>
    </row>
    <row r="52" spans="1:6">
      <c r="B52" s="141" t="s">
        <v>102</v>
      </c>
      <c r="C52" s="142"/>
      <c r="D52" s="142"/>
      <c r="E52" s="142"/>
      <c r="F52" s="156">
        <v>1280</v>
      </c>
    </row>
    <row r="53" spans="1:6">
      <c r="B53" s="94" t="s">
        <v>104</v>
      </c>
      <c r="F53" s="152">
        <f>F52/F64</f>
        <v>0.97117506872201709</v>
      </c>
    </row>
    <row r="54" spans="1:6">
      <c r="B54" s="94" t="s">
        <v>97</v>
      </c>
      <c r="F54" s="152">
        <f>F55+F56*F57</f>
        <v>8.809200836560753E-2</v>
      </c>
    </row>
    <row r="55" spans="1:6">
      <c r="B55" s="94" t="s">
        <v>98</v>
      </c>
      <c r="F55" s="152">
        <v>4.3430000000000003E-2</v>
      </c>
    </row>
    <row r="56" spans="1:6">
      <c r="B56" s="94" t="s">
        <v>99</v>
      </c>
      <c r="F56" s="153">
        <v>1.1221610142112444</v>
      </c>
    </row>
    <row r="57" spans="1:6">
      <c r="B57" s="94" t="s">
        <v>105</v>
      </c>
      <c r="F57" s="152">
        <v>3.9800000000000002E-2</v>
      </c>
    </row>
    <row r="58" spans="1:6">
      <c r="B58" s="94"/>
      <c r="F58" s="128"/>
    </row>
    <row r="59" spans="1:6">
      <c r="B59" s="94" t="s">
        <v>80</v>
      </c>
      <c r="F59" s="153">
        <v>37.991</v>
      </c>
    </row>
    <row r="60" spans="1:6">
      <c r="B60" s="94" t="s">
        <v>106</v>
      </c>
      <c r="F60" s="152">
        <f>F59/F64</f>
        <v>2.882493127798293E-2</v>
      </c>
    </row>
    <row r="61" spans="1:6">
      <c r="B61" s="94" t="s">
        <v>91</v>
      </c>
      <c r="F61" s="152">
        <f>F77</f>
        <v>4.0532600000000002E-2</v>
      </c>
    </row>
    <row r="62" spans="1:6">
      <c r="B62" s="94" t="s">
        <v>107</v>
      </c>
      <c r="F62" s="152">
        <f>18%</f>
        <v>0.18</v>
      </c>
    </row>
    <row r="63" spans="1:6" ht="16" thickBot="1">
      <c r="B63" s="94"/>
      <c r="F63" s="128"/>
    </row>
    <row r="64" spans="1:6" ht="16" thickTop="1">
      <c r="B64" s="157" t="s">
        <v>108</v>
      </c>
      <c r="C64" s="158"/>
      <c r="D64" s="158"/>
      <c r="E64" s="158"/>
      <c r="F64" s="159">
        <f>F52+F59</f>
        <v>1317.991</v>
      </c>
    </row>
    <row r="65" spans="1:6" hidden="1">
      <c r="B65" s="94"/>
      <c r="F65" s="128"/>
    </row>
    <row r="66" spans="1:6">
      <c r="A66" t="s">
        <v>2</v>
      </c>
      <c r="B66" s="63" t="s">
        <v>36</v>
      </c>
      <c r="C66" s="64"/>
      <c r="D66" s="64"/>
      <c r="E66" s="64"/>
      <c r="F66" s="160">
        <f>(F53*F54)+(F60*F61*(1-F62))</f>
        <v>8.6510808794134128E-2</v>
      </c>
    </row>
    <row r="69" spans="1:6">
      <c r="B69" s="141" t="s">
        <v>109</v>
      </c>
      <c r="C69" s="142"/>
      <c r="D69" s="142"/>
      <c r="E69" s="142"/>
      <c r="F69" s="143">
        <f>F56</f>
        <v>1.1221610142112444</v>
      </c>
    </row>
    <row r="70" spans="1:6">
      <c r="B70" s="94" t="s">
        <v>110</v>
      </c>
      <c r="F70" s="144">
        <f>F55</f>
        <v>4.3430000000000003E-2</v>
      </c>
    </row>
    <row r="71" spans="1:6" ht="16" thickBot="1">
      <c r="B71" s="94" t="s">
        <v>111</v>
      </c>
      <c r="F71" s="144">
        <f>F57</f>
        <v>3.9800000000000002E-2</v>
      </c>
    </row>
    <row r="72" spans="1:6" ht="16" thickTop="1">
      <c r="B72" s="145" t="s">
        <v>97</v>
      </c>
      <c r="C72" s="133"/>
      <c r="D72" s="133"/>
      <c r="E72" s="133"/>
      <c r="F72" s="146">
        <f>F70+F69*(F71)</f>
        <v>8.809200836560753E-2</v>
      </c>
    </row>
    <row r="74" spans="1:6">
      <c r="B74" s="141" t="s">
        <v>112</v>
      </c>
      <c r="C74" s="142"/>
      <c r="D74" s="142"/>
      <c r="E74" s="142"/>
      <c r="F74" s="147">
        <v>6.0000000000000001E-3</v>
      </c>
    </row>
    <row r="75" spans="1:6">
      <c r="B75" s="94" t="s">
        <v>113</v>
      </c>
      <c r="F75" s="148">
        <v>4.3430000000000003E-2</v>
      </c>
    </row>
    <row r="76" spans="1:6" ht="16" thickBot="1">
      <c r="B76" s="149" t="s">
        <v>107</v>
      </c>
      <c r="C76" s="150"/>
      <c r="D76" s="150"/>
      <c r="E76" s="150"/>
      <c r="F76" s="151">
        <v>0.18</v>
      </c>
    </row>
    <row r="77" spans="1:6" ht="16" thickTop="1">
      <c r="B77" s="145" t="s">
        <v>114</v>
      </c>
      <c r="C77" s="133"/>
      <c r="D77" s="133"/>
      <c r="E77" s="133"/>
      <c r="F77" s="146">
        <f>(F74+F55)*(1-F62)</f>
        <v>4.0532600000000002E-2</v>
      </c>
    </row>
  </sheetData>
  <mergeCells count="24">
    <mergeCell ref="B31:D31"/>
    <mergeCell ref="B32:D32"/>
    <mergeCell ref="B34:D34"/>
    <mergeCell ref="E31:F31"/>
    <mergeCell ref="E32:F32"/>
    <mergeCell ref="E34:F34"/>
    <mergeCell ref="E29:F29"/>
    <mergeCell ref="E30:F30"/>
    <mergeCell ref="B28:F28"/>
    <mergeCell ref="B29:D29"/>
    <mergeCell ref="B30:D30"/>
    <mergeCell ref="D46:E46"/>
    <mergeCell ref="E35:F35"/>
    <mergeCell ref="B33:D33"/>
    <mergeCell ref="E33:F33"/>
    <mergeCell ref="B43:E43"/>
    <mergeCell ref="D45:E45"/>
    <mergeCell ref="D44:E44"/>
    <mergeCell ref="B35:D35"/>
    <mergeCell ref="B37:E37"/>
    <mergeCell ref="D38:E38"/>
    <mergeCell ref="D39:E39"/>
    <mergeCell ref="D40:E40"/>
    <mergeCell ref="D41:E4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ABE0-09A0-4B9C-8B85-818EF94B62F6}">
  <sheetPr>
    <outlinePr summaryBelow="0" summaryRight="0"/>
  </sheetPr>
  <dimension ref="A1:P28"/>
  <sheetViews>
    <sheetView workbookViewId="0">
      <selection activeCell="H33" sqref="H33"/>
    </sheetView>
  </sheetViews>
  <sheetFormatPr baseColWidth="10" defaultColWidth="9.1640625" defaultRowHeight="15" customHeight="1"/>
  <cols>
    <col min="1" max="1" width="26.6640625" style="21" customWidth="1"/>
    <col min="2" max="9" width="7.6640625" style="21" customWidth="1"/>
    <col min="10" max="10" width="7.83203125" style="21" customWidth="1"/>
    <col min="11" max="16" width="8.83203125" style="21" customWidth="1"/>
    <col min="17" max="16384" width="9.1640625" style="21"/>
  </cols>
  <sheetData>
    <row r="1" spans="1:16" ht="15" customHeight="1">
      <c r="A1" s="29" t="s">
        <v>115</v>
      </c>
    </row>
    <row r="2" spans="1:16" ht="15" customHeight="1">
      <c r="A2" s="21" t="s">
        <v>116</v>
      </c>
    </row>
    <row r="3" spans="1:16" ht="15" customHeight="1">
      <c r="A3" s="28"/>
      <c r="B3" s="28" t="s">
        <v>117</v>
      </c>
      <c r="C3" s="28" t="s">
        <v>118</v>
      </c>
      <c r="D3" s="28" t="s">
        <v>119</v>
      </c>
      <c r="E3" s="28" t="s">
        <v>120</v>
      </c>
      <c r="F3" s="28" t="s">
        <v>121</v>
      </c>
      <c r="G3" s="28" t="s">
        <v>122</v>
      </c>
      <c r="H3" s="28" t="s">
        <v>123</v>
      </c>
      <c r="I3" s="28" t="s">
        <v>124</v>
      </c>
      <c r="J3" s="28" t="s">
        <v>125</v>
      </c>
      <c r="K3" s="28" t="s">
        <v>126</v>
      </c>
      <c r="L3" s="28" t="s">
        <v>127</v>
      </c>
      <c r="M3" s="28" t="s">
        <v>128</v>
      </c>
      <c r="N3" s="28" t="s">
        <v>129</v>
      </c>
      <c r="O3" s="28" t="s">
        <v>130</v>
      </c>
      <c r="P3" s="28" t="s">
        <v>131</v>
      </c>
    </row>
    <row r="4" spans="1:16" ht="15" customHeight="1">
      <c r="A4" s="28"/>
      <c r="B4" s="28" t="s">
        <v>132</v>
      </c>
      <c r="C4" s="28" t="s">
        <v>133</v>
      </c>
      <c r="D4" s="28" t="s">
        <v>134</v>
      </c>
      <c r="E4" s="28" t="s">
        <v>135</v>
      </c>
      <c r="F4" s="28" t="s">
        <v>136</v>
      </c>
      <c r="G4" s="28" t="s">
        <v>137</v>
      </c>
      <c r="H4" s="28" t="s">
        <v>138</v>
      </c>
      <c r="I4" s="28" t="s">
        <v>139</v>
      </c>
      <c r="J4" s="28" t="s">
        <v>140</v>
      </c>
      <c r="K4" s="28" t="s">
        <v>141</v>
      </c>
      <c r="L4" s="28" t="s">
        <v>142</v>
      </c>
      <c r="M4" s="28" t="s">
        <v>143</v>
      </c>
      <c r="N4" s="28" t="s">
        <v>144</v>
      </c>
      <c r="O4" s="28" t="s">
        <v>145</v>
      </c>
      <c r="P4" s="28" t="s">
        <v>146</v>
      </c>
    </row>
    <row r="5" spans="1:16" ht="15" customHeight="1">
      <c r="A5" s="24" t="s">
        <v>147</v>
      </c>
      <c r="B5" s="25">
        <v>7872</v>
      </c>
      <c r="C5" s="25">
        <v>12466</v>
      </c>
      <c r="D5" s="25">
        <v>17928</v>
      </c>
      <c r="E5" s="25">
        <v>27638</v>
      </c>
      <c r="F5" s="25">
        <v>40653</v>
      </c>
      <c r="G5" s="25">
        <v>55838</v>
      </c>
      <c r="H5" s="25">
        <v>70697</v>
      </c>
      <c r="I5" s="25">
        <v>85965</v>
      </c>
      <c r="J5" s="25">
        <v>117929</v>
      </c>
      <c r="K5" s="25">
        <v>116016</v>
      </c>
      <c r="L5" s="25">
        <v>122152</v>
      </c>
      <c r="M5" s="25">
        <v>136679</v>
      </c>
      <c r="N5" s="25">
        <v>152057</v>
      </c>
      <c r="O5" s="25">
        <v>164598</v>
      </c>
      <c r="P5" s="25">
        <v>180135</v>
      </c>
    </row>
    <row r="6" spans="1:16" ht="15" customHeight="1">
      <c r="A6" s="23" t="s">
        <v>148</v>
      </c>
      <c r="B6" s="32" t="s">
        <v>149</v>
      </c>
      <c r="C6" s="32" t="s">
        <v>149</v>
      </c>
      <c r="D6" s="22">
        <v>2595</v>
      </c>
      <c r="E6" s="22">
        <v>3672</v>
      </c>
      <c r="F6" s="22">
        <v>5455</v>
      </c>
      <c r="G6" s="22">
        <v>9355</v>
      </c>
      <c r="H6" s="22">
        <v>12770</v>
      </c>
      <c r="I6" s="22">
        <v>16692</v>
      </c>
      <c r="J6" s="22">
        <v>22649</v>
      </c>
      <c r="K6" s="22">
        <v>23162.1</v>
      </c>
      <c r="L6" s="22">
        <v>27300.5</v>
      </c>
      <c r="M6" s="22">
        <v>30252.400000000001</v>
      </c>
      <c r="N6" s="22">
        <v>34911.949999999997</v>
      </c>
      <c r="O6" s="22">
        <v>39860.160000000003</v>
      </c>
      <c r="P6" s="22">
        <v>43935.32</v>
      </c>
    </row>
    <row r="7" spans="1:16" ht="15" customHeight="1">
      <c r="A7" s="24" t="s">
        <v>150</v>
      </c>
      <c r="B7" s="33" t="s">
        <v>149</v>
      </c>
      <c r="C7" s="26">
        <v>59</v>
      </c>
      <c r="D7" s="26">
        <v>53</v>
      </c>
      <c r="E7" s="26">
        <v>56</v>
      </c>
      <c r="F7" s="33" t="s">
        <v>149</v>
      </c>
      <c r="G7" s="26">
        <v>37.4</v>
      </c>
      <c r="H7" s="26">
        <v>26.6</v>
      </c>
      <c r="I7" s="26">
        <v>21.6</v>
      </c>
      <c r="J7" s="26">
        <v>37.200000000000003</v>
      </c>
      <c r="K7" s="27">
        <v>-0.9</v>
      </c>
      <c r="L7" s="26">
        <v>14.1</v>
      </c>
      <c r="M7" s="26">
        <v>8</v>
      </c>
      <c r="N7" s="33" t="s">
        <v>149</v>
      </c>
      <c r="O7" s="33" t="s">
        <v>149</v>
      </c>
      <c r="P7" s="33" t="s">
        <v>149</v>
      </c>
    </row>
    <row r="8" spans="1:16" ht="15" customHeight="1">
      <c r="A8" s="23" t="s">
        <v>151</v>
      </c>
      <c r="B8" s="22">
        <v>6039</v>
      </c>
      <c r="C8" s="22">
        <v>10446</v>
      </c>
      <c r="D8" s="22">
        <v>15331.5</v>
      </c>
      <c r="E8" s="22">
        <v>24070</v>
      </c>
      <c r="F8" s="22">
        <v>35198</v>
      </c>
      <c r="G8" s="22">
        <v>46483</v>
      </c>
      <c r="H8" s="22">
        <v>57927</v>
      </c>
      <c r="I8" s="22">
        <v>69274</v>
      </c>
      <c r="J8" s="22">
        <v>95280</v>
      </c>
      <c r="K8" s="22">
        <v>92737.8</v>
      </c>
      <c r="L8" s="22">
        <v>94619.7</v>
      </c>
      <c r="M8" s="22">
        <v>104365</v>
      </c>
      <c r="N8" s="22">
        <v>121496</v>
      </c>
      <c r="O8" s="22">
        <v>127372</v>
      </c>
      <c r="P8" s="22">
        <v>141264</v>
      </c>
    </row>
    <row r="9" spans="1:16" ht="15" customHeight="1">
      <c r="A9" s="24" t="s">
        <v>152</v>
      </c>
      <c r="B9" s="33" t="s">
        <v>149</v>
      </c>
      <c r="C9" s="25">
        <v>2653</v>
      </c>
      <c r="D9" s="25">
        <v>4020</v>
      </c>
      <c r="E9" s="25">
        <v>5355</v>
      </c>
      <c r="F9" s="25">
        <v>7242</v>
      </c>
      <c r="G9" s="25">
        <v>10451</v>
      </c>
      <c r="H9" s="25">
        <v>19371</v>
      </c>
      <c r="I9" s="25">
        <v>26793.5</v>
      </c>
      <c r="J9" s="25">
        <v>35459.5</v>
      </c>
      <c r="K9" s="25">
        <v>44288</v>
      </c>
      <c r="L9" s="25">
        <v>49036.5</v>
      </c>
      <c r="M9" s="25">
        <v>51680.5</v>
      </c>
      <c r="N9" s="33" t="s">
        <v>149</v>
      </c>
      <c r="O9" s="33" t="s">
        <v>149</v>
      </c>
      <c r="P9" s="33" t="s">
        <v>149</v>
      </c>
    </row>
    <row r="10" spans="1:16" ht="15" customHeight="1">
      <c r="A10" s="23" t="s">
        <v>153</v>
      </c>
      <c r="B10" s="22">
        <v>856</v>
      </c>
      <c r="C10" s="22">
        <v>1318</v>
      </c>
      <c r="D10" s="22">
        <v>1985</v>
      </c>
      <c r="E10" s="22">
        <v>2971</v>
      </c>
      <c r="F10" s="22">
        <v>4725</v>
      </c>
      <c r="G10" s="22">
        <v>7845</v>
      </c>
      <c r="H10" s="22">
        <v>9876</v>
      </c>
      <c r="I10" s="22">
        <v>11590</v>
      </c>
      <c r="J10" s="22">
        <v>14043</v>
      </c>
      <c r="K10" s="22">
        <v>14992.1</v>
      </c>
      <c r="L10" s="22">
        <v>15791.1</v>
      </c>
      <c r="M10" s="22">
        <v>17202.099999999999</v>
      </c>
      <c r="N10" s="22">
        <v>18865.5</v>
      </c>
      <c r="O10" s="22">
        <v>20157.8</v>
      </c>
      <c r="P10" s="22">
        <v>21773.1</v>
      </c>
    </row>
    <row r="11" spans="1:16" ht="15" customHeight="1">
      <c r="A11" s="24" t="s">
        <v>154</v>
      </c>
      <c r="B11" s="25">
        <v>600</v>
      </c>
      <c r="C11" s="25">
        <v>717</v>
      </c>
      <c r="D11" s="25">
        <v>974</v>
      </c>
      <c r="E11" s="25">
        <v>1387</v>
      </c>
      <c r="F11" s="25">
        <v>2517</v>
      </c>
      <c r="G11" s="25">
        <v>3452</v>
      </c>
      <c r="H11" s="25">
        <v>10465</v>
      </c>
      <c r="I11" s="25">
        <v>6565</v>
      </c>
      <c r="J11" s="25">
        <v>9829</v>
      </c>
      <c r="K11" s="25">
        <v>12024.8</v>
      </c>
      <c r="L11" s="25">
        <v>13466</v>
      </c>
      <c r="M11" s="25">
        <v>13862.4</v>
      </c>
      <c r="N11" s="25">
        <v>14983.9</v>
      </c>
      <c r="O11" s="25">
        <v>16188.5</v>
      </c>
      <c r="P11" s="25">
        <v>16974.2</v>
      </c>
    </row>
    <row r="12" spans="1:16" ht="15" customHeight="1">
      <c r="A12" s="23" t="s">
        <v>155</v>
      </c>
      <c r="B12" s="22">
        <v>780</v>
      </c>
      <c r="C12" s="22">
        <v>1286</v>
      </c>
      <c r="D12" s="22">
        <v>2372</v>
      </c>
      <c r="E12" s="22">
        <v>3322</v>
      </c>
      <c r="F12" s="22">
        <v>7754</v>
      </c>
      <c r="G12" s="22">
        <v>10273</v>
      </c>
      <c r="H12" s="22">
        <v>13600</v>
      </c>
      <c r="I12" s="22">
        <v>18448</v>
      </c>
      <c r="J12" s="22">
        <v>24655</v>
      </c>
      <c r="K12" s="22">
        <v>31895.599999999999</v>
      </c>
      <c r="L12" s="22">
        <v>35100.400000000001</v>
      </c>
      <c r="M12" s="22">
        <v>37361.800000000003</v>
      </c>
      <c r="N12" s="22">
        <v>41801.300000000003</v>
      </c>
      <c r="O12" s="22">
        <v>47385.9</v>
      </c>
      <c r="P12" s="22">
        <v>51172.7</v>
      </c>
    </row>
    <row r="13" spans="1:16" ht="15" customHeight="1">
      <c r="A13" s="24" t="s">
        <v>156</v>
      </c>
      <c r="B13" s="25">
        <v>4822</v>
      </c>
      <c r="C13" s="25">
        <v>8206.9</v>
      </c>
      <c r="D13" s="25">
        <v>11216</v>
      </c>
      <c r="E13" s="25">
        <v>18085</v>
      </c>
      <c r="F13" s="25">
        <v>26950</v>
      </c>
      <c r="G13" s="25">
        <v>33380</v>
      </c>
      <c r="H13" s="25">
        <v>39690.5</v>
      </c>
      <c r="I13" s="25">
        <v>46069</v>
      </c>
      <c r="J13" s="25">
        <v>63882</v>
      </c>
      <c r="K13" s="25">
        <v>50683.6</v>
      </c>
      <c r="L13" s="25">
        <v>49948</v>
      </c>
      <c r="M13" s="25">
        <v>57095.3</v>
      </c>
      <c r="N13" s="25">
        <v>67318.2</v>
      </c>
      <c r="O13" s="25">
        <v>76739.899999999994</v>
      </c>
      <c r="P13" s="25">
        <v>86548.4</v>
      </c>
    </row>
    <row r="14" spans="1:16" ht="15" customHeight="1">
      <c r="A14" s="23" t="s">
        <v>157</v>
      </c>
      <c r="B14" s="22">
        <v>4822</v>
      </c>
      <c r="C14" s="22">
        <v>8312</v>
      </c>
      <c r="D14" s="22">
        <v>11216</v>
      </c>
      <c r="E14" s="22">
        <v>18085</v>
      </c>
      <c r="F14" s="22">
        <v>26950</v>
      </c>
      <c r="G14" s="22">
        <v>33380</v>
      </c>
      <c r="H14" s="22">
        <v>39662</v>
      </c>
      <c r="I14" s="22">
        <v>46069</v>
      </c>
      <c r="J14" s="22">
        <v>63882</v>
      </c>
      <c r="K14" s="22">
        <v>51071.3</v>
      </c>
      <c r="L14" s="22">
        <v>49817.599999999999</v>
      </c>
      <c r="M14" s="22">
        <v>58833.3</v>
      </c>
      <c r="N14" s="22">
        <v>67304.100000000006</v>
      </c>
      <c r="O14" s="22">
        <v>76739.899999999994</v>
      </c>
      <c r="P14" s="22">
        <v>86548.4</v>
      </c>
    </row>
    <row r="15" spans="1:16" ht="15" customHeight="1">
      <c r="A15" s="24" t="s">
        <v>158</v>
      </c>
      <c r="B15" s="25">
        <v>3823</v>
      </c>
      <c r="C15" s="25">
        <v>6396.5</v>
      </c>
      <c r="D15" s="25">
        <v>8170</v>
      </c>
      <c r="E15" s="25">
        <v>15233.5</v>
      </c>
      <c r="F15" s="25">
        <v>23227</v>
      </c>
      <c r="G15" s="25">
        <v>29228</v>
      </c>
      <c r="H15" s="25">
        <v>29728</v>
      </c>
      <c r="I15" s="25">
        <v>39533</v>
      </c>
      <c r="J15" s="25">
        <v>54719</v>
      </c>
      <c r="K15" s="25">
        <v>39007.1</v>
      </c>
      <c r="L15" s="25">
        <v>31887.7</v>
      </c>
      <c r="M15" s="25">
        <v>36469.199999999997</v>
      </c>
      <c r="N15" s="25">
        <v>50576.4</v>
      </c>
      <c r="O15" s="33" t="s">
        <v>149</v>
      </c>
      <c r="P15" s="33" t="s">
        <v>149</v>
      </c>
    </row>
    <row r="16" spans="1:16" ht="15" customHeight="1">
      <c r="A16" s="23" t="s">
        <v>159</v>
      </c>
      <c r="B16" s="22">
        <v>1019</v>
      </c>
      <c r="C16" s="22">
        <v>1243</v>
      </c>
      <c r="D16" s="22">
        <v>1945</v>
      </c>
      <c r="E16" s="22">
        <v>2342</v>
      </c>
      <c r="F16" s="22">
        <v>3025</v>
      </c>
      <c r="G16" s="22">
        <v>4315</v>
      </c>
      <c r="H16" s="22">
        <v>5741</v>
      </c>
      <c r="I16" s="22">
        <v>6862</v>
      </c>
      <c r="J16" s="22">
        <v>7966</v>
      </c>
      <c r="K16" s="22">
        <v>9217.2999999999993</v>
      </c>
      <c r="L16" s="22">
        <v>11304.7</v>
      </c>
      <c r="M16" s="22">
        <v>13916.9</v>
      </c>
      <c r="N16" s="22">
        <v>15813.5</v>
      </c>
      <c r="O16" s="22">
        <v>20616</v>
      </c>
      <c r="P16" s="22">
        <v>23066.9</v>
      </c>
    </row>
    <row r="17" spans="1:16" ht="15" customHeight="1">
      <c r="A17" s="24" t="s">
        <v>160</v>
      </c>
      <c r="B17" s="25">
        <v>3803</v>
      </c>
      <c r="C17" s="25">
        <v>7207</v>
      </c>
      <c r="D17" s="25">
        <v>10001</v>
      </c>
      <c r="E17" s="25">
        <v>16494</v>
      </c>
      <c r="F17" s="25">
        <v>20202</v>
      </c>
      <c r="G17" s="25">
        <v>24913</v>
      </c>
      <c r="H17" s="25">
        <v>23986</v>
      </c>
      <c r="I17" s="25">
        <v>32671</v>
      </c>
      <c r="J17" s="25">
        <v>46753</v>
      </c>
      <c r="K17" s="25">
        <v>30231.4</v>
      </c>
      <c r="L17" s="25">
        <v>27352.3</v>
      </c>
      <c r="M17" s="25">
        <v>33418.699999999997</v>
      </c>
      <c r="N17" s="25">
        <v>40055.1</v>
      </c>
      <c r="O17" s="25">
        <v>43067.9</v>
      </c>
      <c r="P17" s="25">
        <v>49918.1</v>
      </c>
    </row>
    <row r="18" spans="1:16" ht="15" customHeight="1">
      <c r="A18" s="23" t="s">
        <v>161</v>
      </c>
      <c r="B18" s="32" t="s">
        <v>149</v>
      </c>
      <c r="C18" s="32" t="s">
        <v>149</v>
      </c>
      <c r="D18" s="32" t="s">
        <v>149</v>
      </c>
      <c r="E18" s="32" t="s">
        <v>149</v>
      </c>
      <c r="F18" s="32" t="s">
        <v>149</v>
      </c>
      <c r="G18" s="22">
        <v>30254</v>
      </c>
      <c r="H18" s="22">
        <v>35318</v>
      </c>
      <c r="I18" s="22">
        <v>41041</v>
      </c>
      <c r="J18" s="22">
        <v>58436</v>
      </c>
      <c r="K18" s="22">
        <v>44357</v>
      </c>
      <c r="L18" s="22">
        <v>37161</v>
      </c>
      <c r="M18" s="32" t="s">
        <v>149</v>
      </c>
      <c r="N18" s="32" t="s">
        <v>149</v>
      </c>
      <c r="O18" s="32" t="s">
        <v>149</v>
      </c>
      <c r="P18" s="32" t="s">
        <v>149</v>
      </c>
    </row>
    <row r="19" spans="1:16" ht="15" customHeight="1">
      <c r="A19" s="24" t="s">
        <v>162</v>
      </c>
      <c r="B19" s="25">
        <v>3803</v>
      </c>
      <c r="C19" s="25">
        <v>7207</v>
      </c>
      <c r="D19" s="25">
        <v>10001</v>
      </c>
      <c r="E19" s="25">
        <v>16494</v>
      </c>
      <c r="F19" s="25">
        <v>24657.4</v>
      </c>
      <c r="G19" s="25">
        <v>29717.1</v>
      </c>
      <c r="H19" s="25">
        <v>33821</v>
      </c>
      <c r="I19" s="25">
        <v>39210</v>
      </c>
      <c r="J19" s="25">
        <v>55916</v>
      </c>
      <c r="K19" s="25">
        <v>38731.1</v>
      </c>
      <c r="L19" s="25">
        <v>35841.699999999997</v>
      </c>
      <c r="M19" s="25">
        <v>41476.800000000003</v>
      </c>
      <c r="N19" s="25">
        <v>49508.9</v>
      </c>
      <c r="O19" s="25">
        <v>45214</v>
      </c>
      <c r="P19" s="25">
        <v>50675</v>
      </c>
    </row>
    <row r="20" spans="1:16" ht="15" customHeight="1">
      <c r="A20" s="23" t="s">
        <v>163</v>
      </c>
      <c r="B20" s="22">
        <v>2804</v>
      </c>
      <c r="C20" s="22">
        <v>4995</v>
      </c>
      <c r="D20" s="22">
        <v>6225</v>
      </c>
      <c r="E20" s="22">
        <v>12427</v>
      </c>
      <c r="F20" s="22">
        <v>20202</v>
      </c>
      <c r="G20" s="22">
        <v>24913</v>
      </c>
      <c r="H20" s="22">
        <v>23986</v>
      </c>
      <c r="I20" s="22">
        <v>32671</v>
      </c>
      <c r="J20" s="22">
        <v>46753</v>
      </c>
      <c r="K20" s="22">
        <v>30231.4</v>
      </c>
      <c r="L20" s="22">
        <v>26744.5</v>
      </c>
      <c r="M20" s="22">
        <v>33004.9</v>
      </c>
      <c r="N20" s="22">
        <v>40055.1</v>
      </c>
      <c r="O20" s="22">
        <v>43067.9</v>
      </c>
      <c r="P20" s="22">
        <v>49918.1</v>
      </c>
    </row>
    <row r="21" spans="1:16" ht="15" customHeight="1">
      <c r="A21" s="24" t="s">
        <v>92</v>
      </c>
      <c r="B21" s="25">
        <v>57</v>
      </c>
      <c r="C21" s="25">
        <v>84</v>
      </c>
      <c r="D21" s="25">
        <v>31</v>
      </c>
      <c r="E21" s="25">
        <v>70</v>
      </c>
      <c r="F21" s="25">
        <v>392</v>
      </c>
      <c r="G21" s="25">
        <v>448</v>
      </c>
      <c r="H21" s="25">
        <v>826</v>
      </c>
      <c r="I21" s="25">
        <v>509</v>
      </c>
      <c r="J21" s="33" t="s">
        <v>149</v>
      </c>
      <c r="K21" s="25">
        <v>325.5</v>
      </c>
      <c r="L21" s="25">
        <v>452</v>
      </c>
      <c r="M21" s="25">
        <v>404</v>
      </c>
      <c r="N21" s="33" t="s">
        <v>149</v>
      </c>
      <c r="O21" s="33" t="s">
        <v>149</v>
      </c>
      <c r="P21" s="33" t="s">
        <v>149</v>
      </c>
    </row>
    <row r="22" spans="1:16" ht="15" customHeight="1">
      <c r="A22" s="23" t="s">
        <v>164</v>
      </c>
      <c r="B22" s="22">
        <v>3753</v>
      </c>
      <c r="C22" s="22">
        <v>7122.5</v>
      </c>
      <c r="D22" s="22">
        <v>9970</v>
      </c>
      <c r="E22" s="22">
        <v>12533</v>
      </c>
      <c r="F22" s="22">
        <v>20594</v>
      </c>
      <c r="G22" s="22">
        <v>25361</v>
      </c>
      <c r="H22" s="22">
        <v>24812</v>
      </c>
      <c r="I22" s="22">
        <v>33180</v>
      </c>
      <c r="J22" s="22">
        <v>47283</v>
      </c>
      <c r="K22" s="22">
        <v>30487.5</v>
      </c>
      <c r="L22" s="22">
        <v>27180</v>
      </c>
      <c r="M22" s="22">
        <v>32443.5</v>
      </c>
      <c r="N22" s="22">
        <v>38377.699999999997</v>
      </c>
      <c r="O22" s="22">
        <v>43159.6</v>
      </c>
      <c r="P22" s="22">
        <v>50240.6</v>
      </c>
    </row>
    <row r="23" spans="1:16" ht="15" customHeight="1">
      <c r="A23" s="24" t="s">
        <v>165</v>
      </c>
      <c r="B23" s="25">
        <v>3753</v>
      </c>
      <c r="C23" s="25">
        <v>7123</v>
      </c>
      <c r="D23" s="25">
        <v>9970</v>
      </c>
      <c r="E23" s="25">
        <v>16584</v>
      </c>
      <c r="F23" s="25">
        <v>25063.200000000001</v>
      </c>
      <c r="G23" s="25">
        <v>29583</v>
      </c>
      <c r="H23" s="25">
        <v>34922</v>
      </c>
      <c r="I23" s="25">
        <v>40252.5</v>
      </c>
      <c r="J23" s="25">
        <v>57593</v>
      </c>
      <c r="K23" s="25">
        <v>40635.5</v>
      </c>
      <c r="L23" s="25">
        <v>36138.199999999997</v>
      </c>
      <c r="M23" s="25">
        <v>42302</v>
      </c>
      <c r="N23" s="25">
        <v>55927.9</v>
      </c>
      <c r="O23" s="33" t="s">
        <v>149</v>
      </c>
      <c r="P23" s="33" t="s">
        <v>149</v>
      </c>
    </row>
    <row r="24" spans="1:16" ht="15" customHeight="1">
      <c r="A24" s="23" t="s">
        <v>166</v>
      </c>
      <c r="B24" s="22">
        <v>2754</v>
      </c>
      <c r="C24" s="22">
        <v>4911</v>
      </c>
      <c r="D24" s="22">
        <v>6194</v>
      </c>
      <c r="E24" s="22">
        <v>12518</v>
      </c>
      <c r="F24" s="22">
        <v>20594</v>
      </c>
      <c r="G24" s="22">
        <v>25361</v>
      </c>
      <c r="H24" s="22">
        <v>24812</v>
      </c>
      <c r="I24" s="22">
        <v>33180</v>
      </c>
      <c r="J24" s="22">
        <v>47283</v>
      </c>
      <c r="K24" s="22">
        <v>30487.5</v>
      </c>
      <c r="L24" s="22">
        <v>27180</v>
      </c>
      <c r="M24" s="22">
        <v>32443.5</v>
      </c>
      <c r="N24" s="22">
        <v>38377.699999999997</v>
      </c>
      <c r="O24" s="22">
        <v>43159.6</v>
      </c>
      <c r="P24" s="22">
        <v>50240.6</v>
      </c>
    </row>
    <row r="25" spans="1:16" ht="15" customHeight="1">
      <c r="A25" s="24" t="s">
        <v>167</v>
      </c>
      <c r="B25" s="25">
        <v>1254</v>
      </c>
      <c r="C25" s="25">
        <v>1971</v>
      </c>
      <c r="D25" s="25">
        <v>2505</v>
      </c>
      <c r="E25" s="25">
        <v>3021</v>
      </c>
      <c r="F25" s="25">
        <v>4661</v>
      </c>
      <c r="G25" s="25">
        <v>3248</v>
      </c>
      <c r="H25" s="25">
        <v>6327</v>
      </c>
      <c r="I25" s="25">
        <v>4035</v>
      </c>
      <c r="J25" s="25">
        <v>7913</v>
      </c>
      <c r="K25" s="25">
        <v>5704.69</v>
      </c>
      <c r="L25" s="25">
        <v>5431.13</v>
      </c>
      <c r="M25" s="25">
        <v>6359.09</v>
      </c>
      <c r="N25" s="25">
        <v>7848.08</v>
      </c>
      <c r="O25" s="25">
        <v>9015.7800000000007</v>
      </c>
      <c r="P25" s="25">
        <v>10487.9</v>
      </c>
    </row>
    <row r="26" spans="1:16" ht="15" customHeight="1">
      <c r="A26" s="23" t="s">
        <v>168</v>
      </c>
      <c r="B26" s="22">
        <v>2202</v>
      </c>
      <c r="C26" s="22">
        <v>4713</v>
      </c>
      <c r="D26" s="22">
        <v>6518</v>
      </c>
      <c r="E26" s="22">
        <v>12368</v>
      </c>
      <c r="F26" s="22">
        <v>15920</v>
      </c>
      <c r="G26" s="22">
        <v>22111</v>
      </c>
      <c r="H26" s="22">
        <v>18485</v>
      </c>
      <c r="I26" s="22">
        <v>29146</v>
      </c>
      <c r="J26" s="22">
        <v>39370</v>
      </c>
      <c r="K26" s="22">
        <v>24827.599999999999</v>
      </c>
      <c r="L26" s="22">
        <v>21859.5</v>
      </c>
      <c r="M26" s="22">
        <v>26778.9</v>
      </c>
      <c r="N26" s="22">
        <v>30557.4</v>
      </c>
      <c r="O26" s="22">
        <v>34144</v>
      </c>
      <c r="P26" s="22">
        <v>39752.699999999997</v>
      </c>
    </row>
    <row r="27" spans="1:16" ht="15" customHeight="1">
      <c r="A27" s="24" t="s">
        <v>169</v>
      </c>
      <c r="B27" s="25">
        <v>2202</v>
      </c>
      <c r="C27" s="25">
        <v>4713</v>
      </c>
      <c r="D27" s="25">
        <v>6518</v>
      </c>
      <c r="E27" s="25">
        <v>12368</v>
      </c>
      <c r="F27" s="25">
        <v>18480.900000000001</v>
      </c>
      <c r="G27" s="25">
        <v>22590.400000000001</v>
      </c>
      <c r="H27" s="25">
        <v>23560</v>
      </c>
      <c r="I27" s="25">
        <v>29146</v>
      </c>
      <c r="J27" s="25">
        <v>47015.9</v>
      </c>
      <c r="K27" s="25">
        <v>30412.6</v>
      </c>
      <c r="L27" s="25">
        <v>27786.3</v>
      </c>
      <c r="M27" s="25">
        <v>31730.7</v>
      </c>
      <c r="N27" s="25">
        <v>30434.2</v>
      </c>
      <c r="O27" s="33" t="s">
        <v>149</v>
      </c>
      <c r="P27" s="33" t="s">
        <v>149</v>
      </c>
    </row>
    <row r="28" spans="1:16" ht="15" customHeight="1">
      <c r="A28" s="23" t="s">
        <v>170</v>
      </c>
      <c r="B28" s="22">
        <v>1500</v>
      </c>
      <c r="C28" s="22">
        <v>2940</v>
      </c>
      <c r="D28" s="22">
        <v>3688</v>
      </c>
      <c r="E28" s="22">
        <v>10217</v>
      </c>
      <c r="F28" s="22">
        <v>15920</v>
      </c>
      <c r="G28" s="22">
        <v>22111</v>
      </c>
      <c r="H28" s="22">
        <v>18485</v>
      </c>
      <c r="I28" s="22">
        <v>29146</v>
      </c>
      <c r="J28" s="22">
        <v>39370</v>
      </c>
      <c r="K28" s="22">
        <v>24827.599999999999</v>
      </c>
      <c r="L28" s="22">
        <v>21859.5</v>
      </c>
      <c r="M28" s="22">
        <v>26377</v>
      </c>
      <c r="N28" s="22">
        <v>30557.4</v>
      </c>
      <c r="O28" s="22">
        <v>34144</v>
      </c>
      <c r="P28" s="22">
        <v>39752.699999999997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5902-A4EF-4A17-9113-63FDD042D08A}">
  <dimension ref="C2:V54"/>
  <sheetViews>
    <sheetView showGridLines="0" topLeftCell="E1" workbookViewId="0">
      <selection activeCell="K3" sqref="K3:O3"/>
    </sheetView>
  </sheetViews>
  <sheetFormatPr baseColWidth="10" defaultColWidth="8.83203125" defaultRowHeight="15"/>
  <cols>
    <col min="1" max="2" width="2.6640625" customWidth="1"/>
    <col min="3" max="3" width="11.1640625" customWidth="1"/>
    <col min="4" max="4" width="6.5" customWidth="1"/>
    <col min="5" max="5" width="8.5" customWidth="1"/>
    <col min="6" max="15" width="9.6640625" customWidth="1"/>
    <col min="18" max="18" width="14.5" customWidth="1"/>
    <col min="20" max="20" width="6" customWidth="1"/>
    <col min="21" max="21" width="12.83203125" customWidth="1"/>
    <col min="22" max="22" width="13.33203125" bestFit="1" customWidth="1"/>
  </cols>
  <sheetData>
    <row r="2" spans="3:22">
      <c r="C2" s="53" t="s">
        <v>41</v>
      </c>
      <c r="D2" s="52"/>
      <c r="E2" s="53">
        <v>2013</v>
      </c>
      <c r="F2" s="53">
        <f>E2+1</f>
        <v>2014</v>
      </c>
      <c r="G2" s="53">
        <f t="shared" ref="G2:O2" si="0">F2+1</f>
        <v>2015</v>
      </c>
      <c r="H2" s="53">
        <f t="shared" si="0"/>
        <v>2016</v>
      </c>
      <c r="I2" s="53">
        <f t="shared" si="0"/>
        <v>2017</v>
      </c>
      <c r="J2" s="53">
        <f t="shared" si="0"/>
        <v>2018</v>
      </c>
      <c r="K2" s="53">
        <f t="shared" si="0"/>
        <v>2019</v>
      </c>
      <c r="L2" s="53">
        <f t="shared" si="0"/>
        <v>2020</v>
      </c>
      <c r="M2" s="53">
        <f t="shared" si="0"/>
        <v>2021</v>
      </c>
      <c r="N2" s="53">
        <f t="shared" si="0"/>
        <v>2022</v>
      </c>
      <c r="O2" s="53">
        <f t="shared" si="0"/>
        <v>2023</v>
      </c>
    </row>
    <row r="3" spans="3:22">
      <c r="C3" t="s">
        <v>28</v>
      </c>
      <c r="E3" s="55">
        <f>DCF!E22</f>
        <v>7872</v>
      </c>
      <c r="F3" s="55">
        <f>DCF!F22</f>
        <v>12466</v>
      </c>
      <c r="G3" s="55">
        <f>DCF!G22</f>
        <v>17928</v>
      </c>
      <c r="H3" s="55">
        <f>DCF!H22</f>
        <v>27638</v>
      </c>
      <c r="I3" s="55">
        <f>DCF!I22</f>
        <v>40653</v>
      </c>
      <c r="J3" s="55">
        <f>DCF!J22</f>
        <v>55838</v>
      </c>
      <c r="K3" s="55">
        <f>DCF!K22</f>
        <v>70697</v>
      </c>
      <c r="L3" s="55">
        <f>DCF!L22</f>
        <v>85965</v>
      </c>
      <c r="M3" s="55">
        <f>DCF!M22</f>
        <v>117929</v>
      </c>
      <c r="N3" s="55">
        <f>DCF!N22</f>
        <v>116609</v>
      </c>
      <c r="O3" s="55">
        <f>DCF!O22</f>
        <v>134902</v>
      </c>
    </row>
    <row r="4" spans="3:22">
      <c r="C4" s="54" t="s">
        <v>48</v>
      </c>
      <c r="F4" s="60">
        <f>F3/E3-1</f>
        <v>0.58358739837398366</v>
      </c>
      <c r="G4" s="60">
        <f t="shared" ref="G4:K4" si="1">G3/F3-1</f>
        <v>0.43815177282207607</v>
      </c>
      <c r="H4" s="60">
        <f t="shared" si="1"/>
        <v>0.54161088799643009</v>
      </c>
      <c r="I4" s="60">
        <f t="shared" si="1"/>
        <v>0.47090961719371882</v>
      </c>
      <c r="J4" s="60">
        <f t="shared" si="1"/>
        <v>0.37352716896661997</v>
      </c>
      <c r="K4" s="60">
        <f t="shared" si="1"/>
        <v>0.26610910132884413</v>
      </c>
      <c r="L4" s="60">
        <f>L3/K3-1</f>
        <v>0.21596390228722573</v>
      </c>
      <c r="M4" s="60">
        <f t="shared" ref="M4:O4" si="2">M3/L3-1</f>
        <v>0.37182574303495608</v>
      </c>
      <c r="N4" s="60">
        <f>N3/M3-1</f>
        <v>-1.1193175554782941E-2</v>
      </c>
      <c r="O4" s="60">
        <f t="shared" si="2"/>
        <v>0.15687468377226454</v>
      </c>
      <c r="Q4" s="110">
        <f>AVERAGE(K4:O4)</f>
        <v>0.19991605097370152</v>
      </c>
    </row>
    <row r="5" spans="3:22" hidden="1"/>
    <row r="6" spans="3:22" hidden="1">
      <c r="C6" t="s">
        <v>30</v>
      </c>
      <c r="E6" s="55">
        <f>DCF!E25</f>
        <v>3803</v>
      </c>
      <c r="F6" s="55">
        <f>DCF!F25</f>
        <v>7207</v>
      </c>
      <c r="G6" s="55">
        <f>DCF!G25</f>
        <v>10001</v>
      </c>
      <c r="H6" s="55">
        <f>DCF!H25</f>
        <v>16494</v>
      </c>
      <c r="I6" s="55">
        <f>DCF!I25</f>
        <v>20202</v>
      </c>
      <c r="J6" s="55">
        <f>DCF!J25</f>
        <v>24913</v>
      </c>
      <c r="K6" s="55">
        <f>DCF!K25</f>
        <v>23986</v>
      </c>
      <c r="L6" s="55">
        <f>DCF!L25</f>
        <v>32671</v>
      </c>
      <c r="M6" s="55">
        <f>DCF!M25</f>
        <v>46753</v>
      </c>
      <c r="N6" s="55">
        <f>DCF!N25</f>
        <v>28944</v>
      </c>
      <c r="O6" s="55">
        <f>DCF!O25</f>
        <v>46751</v>
      </c>
    </row>
    <row r="7" spans="3:22" hidden="1">
      <c r="C7" s="54" t="s">
        <v>49</v>
      </c>
      <c r="E7" s="58">
        <f t="shared" ref="E7:O7" si="3">E6/E3</f>
        <v>0.48310467479674796</v>
      </c>
      <c r="F7" s="58">
        <f t="shared" si="3"/>
        <v>0.57813252045563934</v>
      </c>
      <c r="G7" s="58">
        <f t="shared" si="3"/>
        <v>0.55784248103525214</v>
      </c>
      <c r="H7" s="58">
        <f t="shared" si="3"/>
        <v>0.59678703234676889</v>
      </c>
      <c r="I7" s="58">
        <f t="shared" si="3"/>
        <v>0.49693749538779425</v>
      </c>
      <c r="J7" s="58">
        <f t="shared" si="3"/>
        <v>0.44616569361366809</v>
      </c>
      <c r="K7" s="58">
        <f t="shared" si="3"/>
        <v>0.33927889443682191</v>
      </c>
      <c r="L7" s="58">
        <f t="shared" si="3"/>
        <v>0.3800500203571221</v>
      </c>
      <c r="M7" s="58">
        <f t="shared" si="3"/>
        <v>0.39645040660058173</v>
      </c>
      <c r="N7" s="58">
        <f t="shared" si="3"/>
        <v>0.24821411726367604</v>
      </c>
      <c r="O7" s="58">
        <f t="shared" si="3"/>
        <v>0.34655527716416362</v>
      </c>
      <c r="R7" s="111">
        <f>AVERAGE(K7:O7)</f>
        <v>0.34210974316447307</v>
      </c>
      <c r="S7" s="111">
        <f>AVERAGE(E7:O7)</f>
        <v>0.44268351031438508</v>
      </c>
    </row>
    <row r="9" spans="3:22">
      <c r="H9" s="92" t="s">
        <v>171</v>
      </c>
      <c r="I9" s="194" t="s">
        <v>172</v>
      </c>
      <c r="J9" s="194"/>
      <c r="K9" s="194"/>
      <c r="T9" s="192">
        <f>($O$6/E6)^(1/H10)-1</f>
        <v>0.2851873966629781</v>
      </c>
      <c r="U9" s="192"/>
      <c r="V9" s="192"/>
    </row>
    <row r="10" spans="3:22">
      <c r="H10" s="93">
        <v>10</v>
      </c>
      <c r="I10" s="192">
        <f>(O3/E3)^(1/H10)-1</f>
        <v>0.32859719222750838</v>
      </c>
      <c r="J10" s="192"/>
      <c r="K10" s="192"/>
      <c r="P10" s="193"/>
      <c r="Q10" s="193"/>
      <c r="R10" s="193"/>
      <c r="T10" s="192">
        <f>($O$6/F6)^(1/H11)-1</f>
        <v>0.23090990026848179</v>
      </c>
      <c r="U10" s="192"/>
      <c r="V10" s="192"/>
    </row>
    <row r="11" spans="3:22">
      <c r="H11" s="93">
        <f t="shared" ref="H11:H19" si="4">H10-1</f>
        <v>9</v>
      </c>
      <c r="I11" s="192">
        <f>(O3/F3)^(1/H11)-1</f>
        <v>0.30293050377562603</v>
      </c>
      <c r="J11" s="192"/>
      <c r="K11" s="192"/>
      <c r="T11" s="192">
        <f>($O$6/G6)^(1/H12)-1</f>
        <v>0.21260243136273838</v>
      </c>
      <c r="U11" s="192"/>
      <c r="V11" s="192"/>
    </row>
    <row r="12" spans="3:22">
      <c r="H12" s="93">
        <f t="shared" si="4"/>
        <v>8</v>
      </c>
      <c r="I12" s="192">
        <f>(O3/G3)^(1/H12)-1</f>
        <v>0.28694746307631847</v>
      </c>
      <c r="J12" s="192"/>
      <c r="K12" s="192"/>
      <c r="T12" s="192">
        <f>($O$6/H6)^(1/H13)-1</f>
        <v>0.16048049387359198</v>
      </c>
      <c r="U12" s="192"/>
      <c r="V12" s="192"/>
    </row>
    <row r="13" spans="3:22">
      <c r="H13" s="93">
        <f t="shared" si="4"/>
        <v>7</v>
      </c>
      <c r="I13" s="192">
        <f>(O3/H3)^(1/H13)-1</f>
        <v>0.25417697984182852</v>
      </c>
      <c r="J13" s="192"/>
      <c r="K13" s="192"/>
      <c r="T13" s="192">
        <f>($O$6/I6)^(1/H14)-1</f>
        <v>0.15009246030932744</v>
      </c>
      <c r="U13" s="192"/>
      <c r="V13" s="192"/>
    </row>
    <row r="14" spans="3:22">
      <c r="H14" s="93">
        <f t="shared" si="4"/>
        <v>6</v>
      </c>
      <c r="I14" s="192">
        <f>(O3/I3)^(1/H14)-1</f>
        <v>0.22129608446200666</v>
      </c>
      <c r="J14" s="192"/>
      <c r="K14" s="192"/>
      <c r="T14" s="192">
        <f>($O$6/J6)^(1/H15)-1</f>
        <v>0.13415647189700985</v>
      </c>
      <c r="U14" s="192"/>
      <c r="V14" s="192"/>
    </row>
    <row r="15" spans="3:22">
      <c r="H15" s="93">
        <f t="shared" si="4"/>
        <v>5</v>
      </c>
      <c r="I15" s="192">
        <f>(O3/J3)^(1/H15)-1</f>
        <v>0.19293754382066308</v>
      </c>
      <c r="J15" s="192"/>
      <c r="K15" s="192"/>
      <c r="T15" s="192">
        <f>($O$6/K6)^(1/H16)-1</f>
        <v>0.18156677095982143</v>
      </c>
      <c r="U15" s="192"/>
      <c r="V15" s="192"/>
    </row>
    <row r="16" spans="3:22">
      <c r="H16" s="93">
        <f t="shared" si="4"/>
        <v>4</v>
      </c>
      <c r="I16" s="192">
        <f>(O3/K3)^(1/H16)-1</f>
        <v>0.17531519469585843</v>
      </c>
      <c r="J16" s="192"/>
      <c r="K16" s="192"/>
      <c r="T16" s="192">
        <f>($O$6/L6)^(1/H17)-1</f>
        <v>0.12687607680014779</v>
      </c>
      <c r="U16" s="192"/>
      <c r="V16" s="192"/>
    </row>
    <row r="17" spans="6:22">
      <c r="H17" s="93">
        <f t="shared" si="4"/>
        <v>3</v>
      </c>
      <c r="I17" s="192">
        <f>(O3/L3)^(1/H17)-1</f>
        <v>0.1620698681017323</v>
      </c>
      <c r="J17" s="192"/>
      <c r="K17" s="192"/>
      <c r="T17" s="192">
        <f>($O$6/M6)^(1/H18)-1</f>
        <v>-2.1389230524859748E-5</v>
      </c>
      <c r="U17" s="192"/>
      <c r="V17" s="192"/>
    </row>
    <row r="18" spans="6:22">
      <c r="H18" s="93">
        <f t="shared" si="4"/>
        <v>2</v>
      </c>
      <c r="I18" s="192">
        <f>(O3/M3)^(1/H18)-1</f>
        <v>6.9544567721194994E-2</v>
      </c>
      <c r="J18" s="192"/>
      <c r="K18" s="192"/>
      <c r="T18" s="192">
        <f>($O$6/N6)^(1/H19)-1</f>
        <v>0.61522249861802103</v>
      </c>
      <c r="U18" s="192"/>
      <c r="V18" s="192"/>
    </row>
    <row r="19" spans="6:22">
      <c r="H19" s="93">
        <f t="shared" si="4"/>
        <v>1</v>
      </c>
      <c r="I19" s="192">
        <f>(O3/N3)^(1/H19)-1</f>
        <v>0.15687468377226454</v>
      </c>
      <c r="J19" s="192"/>
      <c r="K19" s="192"/>
      <c r="T19" s="195">
        <f>AVERAGE(T14:V18)</f>
        <v>0.21156008580889507</v>
      </c>
      <c r="U19" s="195"/>
      <c r="V19" s="195"/>
    </row>
    <row r="20" spans="6:22">
      <c r="H20" s="50" t="s">
        <v>173</v>
      </c>
      <c r="I20" s="195">
        <f>AVERAGE(I15:K19)</f>
        <v>0.15134837162234266</v>
      </c>
      <c r="J20" s="195"/>
      <c r="K20" s="195"/>
      <c r="T20" s="195">
        <f>AVERAGE(T9:V18)</f>
        <v>0.20970731115215929</v>
      </c>
      <c r="U20" s="195"/>
      <c r="V20" s="195"/>
    </row>
    <row r="21" spans="6:22">
      <c r="H21" s="50" t="s">
        <v>174</v>
      </c>
      <c r="I21" s="195">
        <f>AVERAGE(I10:K19)</f>
        <v>0.21506900814950014</v>
      </c>
      <c r="J21" s="195"/>
      <c r="K21" s="195"/>
    </row>
    <row r="25" spans="6:22">
      <c r="F25" s="124">
        <f>F6/E6-1</f>
        <v>0.89508282934525374</v>
      </c>
      <c r="G25" s="124">
        <f t="shared" ref="G25:O25" si="5">G6/F6-1</f>
        <v>0.3876786457610657</v>
      </c>
      <c r="H25" s="124">
        <f t="shared" si="5"/>
        <v>0.64923507649235068</v>
      </c>
      <c r="I25" s="124">
        <f t="shared" si="5"/>
        <v>0.22480902146234993</v>
      </c>
      <c r="J25" s="124">
        <f t="shared" si="5"/>
        <v>0.23319473319473327</v>
      </c>
      <c r="K25" s="124">
        <f t="shared" si="5"/>
        <v>-3.7209489021795883E-2</v>
      </c>
      <c r="L25" s="124">
        <f t="shared" si="5"/>
        <v>0.36208621695989329</v>
      </c>
      <c r="M25" s="124">
        <f t="shared" si="5"/>
        <v>0.43102445593951821</v>
      </c>
      <c r="N25" s="124">
        <f t="shared" si="5"/>
        <v>-0.38091673261608883</v>
      </c>
      <c r="O25" s="124">
        <f t="shared" si="5"/>
        <v>0.61522249861802103</v>
      </c>
    </row>
    <row r="33" spans="3:17">
      <c r="D33" t="s">
        <v>50</v>
      </c>
      <c r="G33" s="55">
        <f>DCF!E28</f>
        <v>1254</v>
      </c>
      <c r="H33" s="55">
        <f>DCF!F28</f>
        <v>1971</v>
      </c>
      <c r="I33" s="55">
        <f>DCF!G28</f>
        <v>2505</v>
      </c>
      <c r="J33" s="55">
        <f>DCF!H28</f>
        <v>3021</v>
      </c>
      <c r="K33" s="55">
        <f>DCF!I28</f>
        <v>4661</v>
      </c>
      <c r="L33" s="55">
        <f>DCF!J28</f>
        <v>3248</v>
      </c>
      <c r="M33" s="55">
        <f>DCF!K28</f>
        <v>6327</v>
      </c>
      <c r="N33" s="55">
        <f>DCF!L28</f>
        <v>4035</v>
      </c>
      <c r="O33" s="55">
        <f>DCF!M28</f>
        <v>7913</v>
      </c>
      <c r="P33" s="55">
        <f>DCF!N28</f>
        <v>5619</v>
      </c>
      <c r="Q33" s="55">
        <f>DCF!O28</f>
        <v>8330</v>
      </c>
    </row>
    <row r="34" spans="3:17">
      <c r="D34" s="54" t="s">
        <v>51</v>
      </c>
      <c r="G34" s="58">
        <f t="shared" ref="G34:Q34" si="6">G33/E6</f>
        <v>0.32973967920063108</v>
      </c>
      <c r="H34" s="58">
        <f t="shared" si="6"/>
        <v>0.27348411266823919</v>
      </c>
      <c r="I34" s="58">
        <f t="shared" si="6"/>
        <v>0.25047495250474955</v>
      </c>
      <c r="J34" s="58">
        <f t="shared" si="6"/>
        <v>0.18315751182248091</v>
      </c>
      <c r="K34" s="58">
        <f t="shared" si="6"/>
        <v>0.23071973071973073</v>
      </c>
      <c r="L34" s="58">
        <f t="shared" si="6"/>
        <v>0.13037370047766225</v>
      </c>
      <c r="M34" s="58">
        <f t="shared" si="6"/>
        <v>0.26377887100808806</v>
      </c>
      <c r="N34" s="58">
        <f t="shared" si="6"/>
        <v>0.12350402497627866</v>
      </c>
      <c r="O34" s="58">
        <f t="shared" si="6"/>
        <v>0.1692511710478472</v>
      </c>
      <c r="P34" s="58">
        <f t="shared" si="6"/>
        <v>0.1941334991708126</v>
      </c>
      <c r="Q34" s="58">
        <f t="shared" si="6"/>
        <v>0.1781780068875532</v>
      </c>
    </row>
    <row r="36" spans="3:17">
      <c r="C36" s="91" t="s">
        <v>149</v>
      </c>
      <c r="D36" s="53" t="s">
        <v>52</v>
      </c>
      <c r="E36" s="52"/>
      <c r="F36" s="52"/>
      <c r="G36" s="53">
        <f t="shared" ref="G36:Q36" si="7">E2</f>
        <v>2013</v>
      </c>
      <c r="H36" s="53">
        <f t="shared" si="7"/>
        <v>2014</v>
      </c>
      <c r="I36" s="53">
        <f t="shared" si="7"/>
        <v>2015</v>
      </c>
      <c r="J36" s="53">
        <f t="shared" si="7"/>
        <v>2016</v>
      </c>
      <c r="K36" s="53">
        <f t="shared" si="7"/>
        <v>2017</v>
      </c>
      <c r="L36" s="53">
        <f t="shared" si="7"/>
        <v>2018</v>
      </c>
      <c r="M36" s="53">
        <f t="shared" si="7"/>
        <v>2019</v>
      </c>
      <c r="N36" s="53">
        <f t="shared" si="7"/>
        <v>2020</v>
      </c>
      <c r="O36" s="53">
        <f t="shared" si="7"/>
        <v>2021</v>
      </c>
      <c r="P36" s="53">
        <f t="shared" si="7"/>
        <v>2022</v>
      </c>
      <c r="Q36" s="53">
        <f t="shared" si="7"/>
        <v>2023</v>
      </c>
    </row>
    <row r="37" spans="3:17">
      <c r="C37" s="91"/>
      <c r="D37" t="s">
        <v>32</v>
      </c>
      <c r="G37" s="55">
        <f>DCF!E32</f>
        <v>1011</v>
      </c>
      <c r="H37" s="55">
        <f>DCF!F32</f>
        <v>1243</v>
      </c>
      <c r="I37" s="55">
        <f>DCF!G32</f>
        <v>1945</v>
      </c>
      <c r="J37" s="55">
        <f>DCF!H32</f>
        <v>2342</v>
      </c>
      <c r="K37" s="55">
        <f>DCF!I32</f>
        <v>3025</v>
      </c>
      <c r="L37" s="55">
        <f>DCF!J32</f>
        <v>4315</v>
      </c>
      <c r="M37" s="55">
        <f>DCF!K32</f>
        <v>5741</v>
      </c>
      <c r="N37" s="55">
        <f>DCF!L32</f>
        <v>6862</v>
      </c>
      <c r="O37" s="55">
        <f>DCF!M32</f>
        <v>7967</v>
      </c>
      <c r="P37" s="55">
        <f>DCF!N32</f>
        <v>8686</v>
      </c>
      <c r="Q37" s="55">
        <f>DCF!O32</f>
        <v>11178</v>
      </c>
    </row>
    <row r="38" spans="3:17">
      <c r="C38" s="91"/>
      <c r="D38" s="54" t="s">
        <v>49</v>
      </c>
      <c r="G38" s="58">
        <f t="shared" ref="G38:Q38" si="8">G37/E3</f>
        <v>0.12842987804878048</v>
      </c>
      <c r="H38" s="58">
        <f t="shared" si="8"/>
        <v>9.9711214503449386E-2</v>
      </c>
      <c r="I38" s="58">
        <f t="shared" si="8"/>
        <v>0.10848951360999554</v>
      </c>
      <c r="J38" s="58">
        <f t="shared" si="8"/>
        <v>8.4738403647152474E-2</v>
      </c>
      <c r="K38" s="58">
        <f t="shared" si="8"/>
        <v>7.4410252625882467E-2</v>
      </c>
      <c r="L38" s="58">
        <f t="shared" si="8"/>
        <v>7.7277123106128442E-2</v>
      </c>
      <c r="M38" s="58">
        <f t="shared" si="8"/>
        <v>8.1205708870249096E-2</v>
      </c>
      <c r="N38" s="58">
        <f t="shared" si="8"/>
        <v>7.9823183853894031E-2</v>
      </c>
      <c r="O38" s="58">
        <f t="shared" si="8"/>
        <v>6.7557598215875647E-2</v>
      </c>
      <c r="P38" s="58">
        <f t="shared" si="8"/>
        <v>7.44882470478265E-2</v>
      </c>
      <c r="Q38" s="58">
        <f t="shared" si="8"/>
        <v>8.2860150331351648E-2</v>
      </c>
    </row>
    <row r="39" spans="3:17">
      <c r="C39" s="91"/>
      <c r="D39" s="54" t="s">
        <v>53</v>
      </c>
      <c r="G39" s="58">
        <f>G37/G41</f>
        <v>0.74229074889867841</v>
      </c>
      <c r="H39" s="58">
        <f t="shared" ref="H39:Q39" si="9">H37/H41</f>
        <v>0.67886400873839436</v>
      </c>
      <c r="I39" s="58">
        <f t="shared" si="9"/>
        <v>0.77090764962346414</v>
      </c>
      <c r="J39" s="58">
        <f t="shared" si="9"/>
        <v>0.52148741928301046</v>
      </c>
      <c r="K39" s="58">
        <f t="shared" si="9"/>
        <v>0.44927966731026286</v>
      </c>
      <c r="L39" s="58">
        <f t="shared" si="9"/>
        <v>0.31009701760689901</v>
      </c>
      <c r="M39" s="58">
        <f t="shared" si="9"/>
        <v>0.38014832472520194</v>
      </c>
      <c r="N39" s="58">
        <f t="shared" si="9"/>
        <v>0.45398610651670523</v>
      </c>
      <c r="O39" s="58">
        <f t="shared" si="9"/>
        <v>0.42627073301230606</v>
      </c>
      <c r="P39" s="58">
        <f t="shared" si="9"/>
        <v>0.27635137284846173</v>
      </c>
      <c r="Q39" s="58">
        <f t="shared" si="9"/>
        <v>0.40996112374385679</v>
      </c>
    </row>
    <row r="40" spans="3:17">
      <c r="C40" s="91" t="s">
        <v>175</v>
      </c>
    </row>
    <row r="41" spans="3:17">
      <c r="C41" s="91"/>
      <c r="D41" t="s">
        <v>54</v>
      </c>
      <c r="G41" s="55">
        <f>DCF!E36</f>
        <v>1362</v>
      </c>
      <c r="H41" s="55">
        <f>DCF!F36</f>
        <v>1831</v>
      </c>
      <c r="I41" s="55">
        <f>DCF!G36</f>
        <v>2523</v>
      </c>
      <c r="J41" s="55">
        <f>DCF!H36</f>
        <v>4491</v>
      </c>
      <c r="K41" s="55">
        <f>DCF!I36</f>
        <v>6733</v>
      </c>
      <c r="L41" s="55">
        <f>DCF!J36</f>
        <v>13915</v>
      </c>
      <c r="M41" s="55">
        <f>DCF!K36</f>
        <v>15102</v>
      </c>
      <c r="N41" s="55">
        <f>DCF!L36</f>
        <v>15115</v>
      </c>
      <c r="O41" s="55">
        <f>DCF!M36</f>
        <v>18690</v>
      </c>
      <c r="P41" s="55">
        <f>DCF!N36</f>
        <v>31431</v>
      </c>
      <c r="Q41" s="55">
        <f>DCF!O36</f>
        <v>27266</v>
      </c>
    </row>
    <row r="42" spans="3:17">
      <c r="C42" s="91"/>
      <c r="D42" s="54" t="s">
        <v>49</v>
      </c>
      <c r="G42" s="58">
        <f t="shared" ref="G42:Q42" si="10">G41/E3</f>
        <v>0.17301829268292682</v>
      </c>
      <c r="H42" s="58">
        <f t="shared" si="10"/>
        <v>0.14687951227338361</v>
      </c>
      <c r="I42" s="58">
        <f t="shared" si="10"/>
        <v>0.14072958500669344</v>
      </c>
      <c r="J42" s="58">
        <f t="shared" si="10"/>
        <v>0.16249366813807078</v>
      </c>
      <c r="K42" s="58">
        <f t="shared" si="10"/>
        <v>0.16562123336531129</v>
      </c>
      <c r="L42" s="58">
        <f t="shared" si="10"/>
        <v>0.24920305168523227</v>
      </c>
      <c r="M42" s="58">
        <f t="shared" si="10"/>
        <v>0.21361585357228738</v>
      </c>
      <c r="N42" s="58">
        <f t="shared" si="10"/>
        <v>0.17582737160472287</v>
      </c>
      <c r="O42" s="58">
        <f t="shared" si="10"/>
        <v>0.15848519024158603</v>
      </c>
      <c r="P42" s="58">
        <f t="shared" si="10"/>
        <v>0.26954180209074774</v>
      </c>
      <c r="Q42" s="58">
        <f t="shared" si="10"/>
        <v>0.20211709240782197</v>
      </c>
    </row>
    <row r="43" spans="3:17">
      <c r="C43" s="91"/>
      <c r="D43" s="54"/>
    </row>
    <row r="44" spans="3:17">
      <c r="C44" s="91" t="s">
        <v>149</v>
      </c>
      <c r="D44" t="s">
        <v>55</v>
      </c>
      <c r="G44" s="65">
        <f>DCF!E39</f>
        <v>676</v>
      </c>
      <c r="H44" s="65">
        <f>DCF!F39</f>
        <v>-262</v>
      </c>
      <c r="I44" s="65">
        <f>DCF!G39</f>
        <v>784</v>
      </c>
      <c r="J44" s="65">
        <f>DCF!H39</f>
        <v>758</v>
      </c>
      <c r="K44" s="65">
        <f>DCF!I39</f>
        <v>1887</v>
      </c>
      <c r="L44" s="65">
        <f>DCF!J39</f>
        <v>-1527</v>
      </c>
      <c r="M44" s="65">
        <f>DCF!K39</f>
        <v>7250</v>
      </c>
      <c r="N44" s="65">
        <f>DCF!L39</f>
        <v>-2723</v>
      </c>
      <c r="O44" s="65">
        <f>DCF!M39</f>
        <v>700</v>
      </c>
      <c r="P44" s="65">
        <f>DCF!N39</f>
        <v>5683</v>
      </c>
      <c r="Q44" s="65">
        <f>DCF!O39</f>
        <v>3836</v>
      </c>
    </row>
    <row r="45" spans="3:17">
      <c r="C45" s="91"/>
      <c r="D45" s="54" t="s">
        <v>49</v>
      </c>
      <c r="G45" s="60">
        <f>G44/G37</f>
        <v>0.66864490603363003</v>
      </c>
      <c r="H45" s="60">
        <f t="shared" ref="H45:Q45" si="11">H44/H37</f>
        <v>-0.21078037007240547</v>
      </c>
      <c r="I45" s="60">
        <f t="shared" si="11"/>
        <v>0.40308483290488434</v>
      </c>
      <c r="J45" s="60">
        <f t="shared" si="11"/>
        <v>0.32365499573014517</v>
      </c>
      <c r="K45" s="60">
        <f t="shared" si="11"/>
        <v>0.62380165289256195</v>
      </c>
      <c r="L45" s="60">
        <f t="shared" si="11"/>
        <v>-0.35388180764774047</v>
      </c>
      <c r="M45" s="60">
        <f t="shared" si="11"/>
        <v>1.2628461940428497</v>
      </c>
      <c r="N45" s="60">
        <f t="shared" si="11"/>
        <v>-0.39682308364908192</v>
      </c>
      <c r="O45" s="60">
        <f t="shared" si="11"/>
        <v>8.7862432534203588E-2</v>
      </c>
      <c r="P45" s="60">
        <f t="shared" si="11"/>
        <v>0.65427124107759616</v>
      </c>
      <c r="Q45" s="60">
        <f t="shared" si="11"/>
        <v>0.3431740919663625</v>
      </c>
    </row>
    <row r="46" spans="3:17">
      <c r="C46" s="91"/>
      <c r="D46" s="54" t="s">
        <v>56</v>
      </c>
      <c r="H46" s="60">
        <f t="shared" ref="H46:Q46" si="12">H44/(F3-E3)</f>
        <v>-5.7030909882455377E-2</v>
      </c>
      <c r="I46" s="60">
        <f t="shared" si="12"/>
        <v>0.14353716587330648</v>
      </c>
      <c r="J46" s="60">
        <f t="shared" si="12"/>
        <v>7.8063851699279097E-2</v>
      </c>
      <c r="K46" s="60">
        <f t="shared" si="12"/>
        <v>0.14498655397618132</v>
      </c>
      <c r="L46" s="60">
        <f t="shared" si="12"/>
        <v>-0.1005597629239381</v>
      </c>
      <c r="M46" s="60">
        <f t="shared" si="12"/>
        <v>0.48791977925836194</v>
      </c>
      <c r="N46" s="60">
        <f t="shared" si="12"/>
        <v>-0.17834686926905946</v>
      </c>
      <c r="O46" s="60">
        <f t="shared" si="12"/>
        <v>2.1899637091728194E-2</v>
      </c>
      <c r="P46" s="60">
        <f t="shared" si="12"/>
        <v>-4.3053030303030306</v>
      </c>
      <c r="Q46" s="60">
        <f t="shared" si="12"/>
        <v>0.20969769857322473</v>
      </c>
    </row>
    <row r="47" spans="3:17">
      <c r="C47" s="91" t="s">
        <v>149</v>
      </c>
    </row>
    <row r="50" spans="7:17">
      <c r="G50" s="109">
        <f>(Q33/G33)^(1/H10)-1</f>
        <v>0.20846686366878009</v>
      </c>
      <c r="H50" s="109">
        <f>(Q33/H33)^(1/9)-1</f>
        <v>0.17368331517663327</v>
      </c>
      <c r="I50" s="109">
        <f>($Q$33/I33)^(1/H12)-1</f>
        <v>0.16206296092880734</v>
      </c>
      <c r="J50" s="109">
        <f>($Q$33/J33)^(1/7)-1</f>
        <v>0.15591993524399039</v>
      </c>
      <c r="K50" s="109">
        <f>($Q$33/K33)^(1/6)-1</f>
        <v>0.1016094422569398</v>
      </c>
      <c r="L50" s="109">
        <f>($Q$33/L33)^(1/5)-1</f>
        <v>0.20727385670821663</v>
      </c>
      <c r="M50" s="109">
        <f>($Q$33/M33)^(1/4)-1</f>
        <v>7.1178363166133796E-2</v>
      </c>
      <c r="N50" s="109">
        <f>($Q$33/N33)^(1/3)-1</f>
        <v>0.27330903522670558</v>
      </c>
      <c r="O50" s="109">
        <f>($Q$33/O33)^(1/2)-1</f>
        <v>2.6010765902461985E-2</v>
      </c>
      <c r="P50" s="109">
        <f>($Q$33/P33)^(1/1)-1</f>
        <v>0.48247019042534256</v>
      </c>
      <c r="Q50" s="109"/>
    </row>
    <row r="52" spans="7:17">
      <c r="P52" s="110">
        <f>AVERAGE(L50:P50)</f>
        <v>0.2120484422857721</v>
      </c>
    </row>
    <row r="53" spans="7:17">
      <c r="P53" s="110">
        <f>AVERAGE(G50:P50)</f>
        <v>0.18619847287040114</v>
      </c>
    </row>
    <row r="54" spans="7:17">
      <c r="P54" s="111">
        <f>AVERAGE(G34:Q34)</f>
        <v>0.21152684186218851</v>
      </c>
    </row>
  </sheetData>
  <mergeCells count="26">
    <mergeCell ref="I21:K21"/>
    <mergeCell ref="T15:V15"/>
    <mergeCell ref="T16:V16"/>
    <mergeCell ref="T17:V17"/>
    <mergeCell ref="T18:V18"/>
    <mergeCell ref="T19:V19"/>
    <mergeCell ref="T20:V20"/>
    <mergeCell ref="I18:K18"/>
    <mergeCell ref="I19:K19"/>
    <mergeCell ref="I20:K20"/>
    <mergeCell ref="I17:K17"/>
    <mergeCell ref="T9:V9"/>
    <mergeCell ref="T10:V10"/>
    <mergeCell ref="T11:V11"/>
    <mergeCell ref="T12:V12"/>
    <mergeCell ref="T13:V13"/>
    <mergeCell ref="P10:R10"/>
    <mergeCell ref="I9:K9"/>
    <mergeCell ref="I10:K10"/>
    <mergeCell ref="I11:K11"/>
    <mergeCell ref="I12:K12"/>
    <mergeCell ref="T14:V14"/>
    <mergeCell ref="I13:K13"/>
    <mergeCell ref="I14:K14"/>
    <mergeCell ref="I15:K15"/>
    <mergeCell ref="I16:K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8FAA-8C21-40BC-9B0F-AB3784E90B8B}">
  <dimension ref="B2:S28"/>
  <sheetViews>
    <sheetView showGridLines="0" workbookViewId="0">
      <selection activeCell="H22" sqref="H22:L22"/>
    </sheetView>
  </sheetViews>
  <sheetFormatPr baseColWidth="10" defaultColWidth="8.83203125" defaultRowHeight="15"/>
  <cols>
    <col min="12" max="12" width="10.5" bestFit="1" customWidth="1"/>
  </cols>
  <sheetData>
    <row r="2" spans="2:19">
      <c r="H2" s="55">
        <f>DCF!K22</f>
        <v>70697</v>
      </c>
      <c r="I2" s="55">
        <f>DCF!L22</f>
        <v>85965</v>
      </c>
      <c r="J2" s="55">
        <f>DCF!M22</f>
        <v>117929</v>
      </c>
      <c r="K2" s="55">
        <f>DCF!N22</f>
        <v>116609</v>
      </c>
      <c r="L2" s="55">
        <f>DCF!O22</f>
        <v>134902</v>
      </c>
      <c r="M2" s="55">
        <f>DCF!P22</f>
        <v>161882.4</v>
      </c>
      <c r="N2" s="55">
        <f>DCF!Q22</f>
        <v>189564.2904</v>
      </c>
      <c r="O2" s="55">
        <f>DCF!R22</f>
        <v>218188.49825040001</v>
      </c>
      <c r="P2" s="55">
        <f>DCF!S22</f>
        <v>246553.00302295203</v>
      </c>
      <c r="Q2" s="55">
        <f>DCF!T22</f>
        <v>273427.28035245382</v>
      </c>
      <c r="R2" s="55">
        <f>DCF!U22</f>
        <v>297488.88102346979</v>
      </c>
      <c r="S2" s="55"/>
    </row>
    <row r="3" spans="2:19">
      <c r="H3">
        <f>13600+9876+10465</f>
        <v>33941</v>
      </c>
      <c r="I3">
        <f>18477+11591+6564</f>
        <v>36632</v>
      </c>
      <c r="J3">
        <f>24655+14043+9829</f>
        <v>48527</v>
      </c>
      <c r="K3">
        <f>35338+15262+11816</f>
        <v>62416</v>
      </c>
      <c r="L3">
        <f>38483+12301+11408</f>
        <v>62192</v>
      </c>
    </row>
    <row r="4" spans="2:19">
      <c r="H4">
        <v>12770</v>
      </c>
      <c r="I4">
        <v>16692</v>
      </c>
      <c r="J4">
        <v>22649</v>
      </c>
      <c r="K4">
        <v>25249</v>
      </c>
      <c r="L4">
        <v>25959</v>
      </c>
    </row>
    <row r="5" spans="2:19">
      <c r="H5">
        <v>2019</v>
      </c>
      <c r="I5">
        <f>H5+1</f>
        <v>2020</v>
      </c>
      <c r="J5">
        <f t="shared" ref="J5:R5" si="0">I5+1</f>
        <v>2021</v>
      </c>
      <c r="K5">
        <f t="shared" si="0"/>
        <v>2022</v>
      </c>
      <c r="L5">
        <f>K5+1</f>
        <v>2023</v>
      </c>
      <c r="M5">
        <f t="shared" si="0"/>
        <v>2024</v>
      </c>
      <c r="N5">
        <f t="shared" si="0"/>
        <v>2025</v>
      </c>
      <c r="O5">
        <f t="shared" si="0"/>
        <v>2026</v>
      </c>
      <c r="P5">
        <f t="shared" si="0"/>
        <v>2027</v>
      </c>
      <c r="Q5">
        <f>P5+1</f>
        <v>2028</v>
      </c>
      <c r="R5">
        <f t="shared" si="0"/>
        <v>2029</v>
      </c>
    </row>
    <row r="6" spans="2:19" ht="16" thickBot="1">
      <c r="B6" s="125" t="s">
        <v>176</v>
      </c>
      <c r="C6" s="125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</row>
    <row r="7" spans="2:19" ht="16" thickTop="1">
      <c r="B7" t="s">
        <v>177</v>
      </c>
      <c r="F7" s="127"/>
      <c r="H7">
        <v>9518</v>
      </c>
      <c r="I7">
        <v>11335</v>
      </c>
      <c r="J7">
        <v>14039</v>
      </c>
      <c r="K7">
        <v>13466</v>
      </c>
      <c r="L7">
        <v>16169</v>
      </c>
    </row>
    <row r="8" spans="2:19">
      <c r="B8" t="s">
        <v>178</v>
      </c>
      <c r="F8" s="128"/>
      <c r="I8" s="129"/>
      <c r="J8" s="129"/>
      <c r="K8" s="129"/>
      <c r="L8" s="129">
        <f>AVERAGE(K7:L7)/L2*360</f>
        <v>39.542037923826186</v>
      </c>
    </row>
    <row r="9" spans="2:19">
      <c r="B9" t="s">
        <v>179</v>
      </c>
      <c r="F9" s="128"/>
      <c r="H9">
        <v>1852</v>
      </c>
      <c r="I9">
        <v>2381</v>
      </c>
      <c r="J9">
        <v>4629</v>
      </c>
      <c r="K9">
        <v>5345</v>
      </c>
      <c r="L9">
        <v>3793</v>
      </c>
    </row>
    <row r="10" spans="2:19">
      <c r="B10" t="s">
        <v>180</v>
      </c>
      <c r="F10" s="128"/>
      <c r="I10" s="129"/>
      <c r="J10" s="129"/>
      <c r="K10" s="129"/>
      <c r="L10" s="129">
        <f>AVERAGE(K9:L9)/L3*360</f>
        <v>26.447774633393362</v>
      </c>
    </row>
    <row r="11" spans="2:19">
      <c r="B11" t="s">
        <v>181</v>
      </c>
      <c r="F11" s="128"/>
      <c r="H11">
        <v>2673</v>
      </c>
      <c r="I11">
        <v>2758</v>
      </c>
      <c r="J11">
        <v>2751</v>
      </c>
      <c r="K11">
        <v>6583</v>
      </c>
      <c r="L11">
        <v>6794</v>
      </c>
    </row>
    <row r="12" spans="2:19">
      <c r="B12" t="s">
        <v>182</v>
      </c>
      <c r="F12" s="128"/>
      <c r="H12" s="124">
        <f>H11/H2</f>
        <v>3.7809242259218917E-2</v>
      </c>
      <c r="I12" s="124">
        <f>I11/I2</f>
        <v>3.2082824405281221E-2</v>
      </c>
      <c r="J12" s="124">
        <f>J11/J2</f>
        <v>2.3327595417581764E-2</v>
      </c>
      <c r="K12" s="124">
        <f>K11/K2</f>
        <v>5.6453618502859987E-2</v>
      </c>
      <c r="L12" s="124">
        <f>L11/L2</f>
        <v>5.036248535974263E-2</v>
      </c>
    </row>
    <row r="13" spans="2:19">
      <c r="B13" s="47" t="s">
        <v>183</v>
      </c>
      <c r="C13" s="47"/>
      <c r="F13" s="128"/>
      <c r="H13">
        <f t="shared" ref="H13:K13" si="1">SUM(H7,H9,H11)</f>
        <v>14043</v>
      </c>
      <c r="I13">
        <f t="shared" si="1"/>
        <v>16474</v>
      </c>
      <c r="J13">
        <f t="shared" si="1"/>
        <v>21419</v>
      </c>
      <c r="K13">
        <f t="shared" si="1"/>
        <v>25394</v>
      </c>
      <c r="L13">
        <f>SUM(L7,L9,L11)</f>
        <v>26756</v>
      </c>
    </row>
    <row r="14" spans="2:19">
      <c r="F14" s="128"/>
    </row>
    <row r="15" spans="2:19">
      <c r="B15" s="47" t="s">
        <v>184</v>
      </c>
      <c r="F15" s="128"/>
    </row>
    <row r="16" spans="2:19">
      <c r="B16" t="s">
        <v>185</v>
      </c>
      <c r="F16" s="128"/>
      <c r="H16">
        <v>1362</v>
      </c>
      <c r="I16">
        <v>1331</v>
      </c>
      <c r="J16">
        <v>4083</v>
      </c>
      <c r="K16">
        <v>4990</v>
      </c>
      <c r="L16">
        <v>4849</v>
      </c>
    </row>
    <row r="17" spans="2:12">
      <c r="B17" t="s">
        <v>186</v>
      </c>
      <c r="F17" s="128"/>
      <c r="L17">
        <f>AVERAGE(K16:L16)/L4*360</f>
        <v>68.223737432104471</v>
      </c>
    </row>
    <row r="18" spans="2:12">
      <c r="B18" t="s">
        <v>187</v>
      </c>
      <c r="F18" s="128"/>
      <c r="H18">
        <v>886</v>
      </c>
      <c r="I18">
        <v>1093</v>
      </c>
      <c r="J18">
        <v>1052</v>
      </c>
      <c r="K18">
        <v>1117</v>
      </c>
      <c r="L18">
        <v>863</v>
      </c>
    </row>
    <row r="19" spans="2:12">
      <c r="B19" t="s">
        <v>49</v>
      </c>
      <c r="F19" s="128"/>
    </row>
    <row r="20" spans="2:12">
      <c r="B20" t="s">
        <v>188</v>
      </c>
      <c r="F20" s="128"/>
      <c r="H20">
        <v>800</v>
      </c>
      <c r="I20">
        <v>11152</v>
      </c>
      <c r="J20">
        <v>14312</v>
      </c>
      <c r="K20">
        <v>19552</v>
      </c>
      <c r="L20">
        <v>24625</v>
      </c>
    </row>
    <row r="21" spans="2:12">
      <c r="B21" t="s">
        <v>189</v>
      </c>
      <c r="F21" s="128"/>
    </row>
    <row r="22" spans="2:12">
      <c r="B22" t="s">
        <v>190</v>
      </c>
      <c r="F22" s="128"/>
      <c r="H22">
        <v>7745</v>
      </c>
      <c r="I22">
        <v>6414</v>
      </c>
      <c r="J22">
        <v>7227</v>
      </c>
      <c r="K22">
        <v>7764</v>
      </c>
      <c r="L22">
        <v>8884</v>
      </c>
    </row>
    <row r="23" spans="2:12">
      <c r="B23" t="s">
        <v>182</v>
      </c>
      <c r="F23" s="128"/>
      <c r="H23" s="124">
        <f>H22/H2</f>
        <v>0.10955203191083072</v>
      </c>
      <c r="I23" s="124">
        <f t="shared" ref="I23:L23" si="2">I22/I2</f>
        <v>7.4611760600244284E-2</v>
      </c>
      <c r="J23" s="124">
        <f t="shared" si="2"/>
        <v>6.1282636162436718E-2</v>
      </c>
      <c r="K23" s="124">
        <f t="shared" si="2"/>
        <v>6.6581481703813603E-2</v>
      </c>
      <c r="L23" s="124">
        <f t="shared" si="2"/>
        <v>6.5855213414182143E-2</v>
      </c>
    </row>
    <row r="24" spans="2:12">
      <c r="B24" s="47" t="s">
        <v>191</v>
      </c>
      <c r="C24" s="47"/>
      <c r="F24" s="128"/>
      <c r="H24">
        <f t="shared" ref="H24:J24" si="3">SUM(H22,H20,H18,H16)</f>
        <v>10793</v>
      </c>
      <c r="I24">
        <f t="shared" si="3"/>
        <v>19990</v>
      </c>
      <c r="J24">
        <f t="shared" si="3"/>
        <v>26674</v>
      </c>
      <c r="K24">
        <f>SUM(K22,K20,K18,K16)</f>
        <v>33423</v>
      </c>
      <c r="L24">
        <f>SUM(L22,L20,L18,L16)</f>
        <v>39221</v>
      </c>
    </row>
    <row r="26" spans="2:12">
      <c r="H26">
        <f t="shared" ref="H26:J26" si="4">H13-H24</f>
        <v>3250</v>
      </c>
      <c r="I26">
        <f t="shared" si="4"/>
        <v>-3516</v>
      </c>
      <c r="J26">
        <f t="shared" si="4"/>
        <v>-5255</v>
      </c>
      <c r="K26">
        <f>K13-K24</f>
        <v>-8029</v>
      </c>
      <c r="L26">
        <f>L13-L24</f>
        <v>-12465</v>
      </c>
    </row>
    <row r="28" spans="2:12">
      <c r="L28">
        <f>L26-K26</f>
        <v>-4436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4EB1-EA80-4A55-A61D-7770602599A0}">
  <dimension ref="B2:J19"/>
  <sheetViews>
    <sheetView showGridLines="0" workbookViewId="0">
      <selection activeCell="H26" sqref="H26"/>
    </sheetView>
  </sheetViews>
  <sheetFormatPr baseColWidth="10" defaultColWidth="8.83203125" defaultRowHeight="15"/>
  <cols>
    <col min="2" max="2" width="21.83203125" customWidth="1"/>
    <col min="3" max="3" width="17.33203125" customWidth="1"/>
    <col min="4" max="4" width="19.33203125" customWidth="1"/>
    <col min="5" max="5" width="10.5" bestFit="1" customWidth="1"/>
    <col min="6" max="6" width="9.5" bestFit="1" customWidth="1"/>
    <col min="7" max="7" width="12.6640625" customWidth="1"/>
    <col min="8" max="8" width="12.33203125" customWidth="1"/>
    <col min="9" max="10" width="15.5" customWidth="1"/>
  </cols>
  <sheetData>
    <row r="2" spans="2:7">
      <c r="B2" t="s">
        <v>192</v>
      </c>
    </row>
    <row r="3" spans="2:7" ht="16" thickBot="1"/>
    <row r="4" spans="2:7">
      <c r="B4" s="117" t="s">
        <v>193</v>
      </c>
      <c r="C4" s="117"/>
    </row>
    <row r="5" spans="2:7">
      <c r="B5" t="s">
        <v>194</v>
      </c>
      <c r="C5">
        <v>0.61114186728517073</v>
      </c>
    </row>
    <row r="6" spans="2:7">
      <c r="B6" t="s">
        <v>195</v>
      </c>
      <c r="C6">
        <v>0.37349438194880519</v>
      </c>
    </row>
    <row r="7" spans="2:7">
      <c r="B7" t="s">
        <v>196</v>
      </c>
      <c r="C7">
        <v>0.3710754413385689</v>
      </c>
    </row>
    <row r="8" spans="2:7">
      <c r="B8" t="s">
        <v>197</v>
      </c>
      <c r="C8">
        <v>4.5425014836193274E-2</v>
      </c>
    </row>
    <row r="9" spans="2:7" ht="16" thickBot="1">
      <c r="B9" s="115" t="s">
        <v>198</v>
      </c>
      <c r="C9" s="115">
        <v>261</v>
      </c>
    </row>
    <row r="11" spans="2:7" ht="16" thickBot="1">
      <c r="B11" t="s">
        <v>199</v>
      </c>
    </row>
    <row r="12" spans="2:7">
      <c r="B12" s="116"/>
      <c r="C12" s="116" t="s">
        <v>200</v>
      </c>
      <c r="D12" s="116" t="s">
        <v>201</v>
      </c>
      <c r="E12" s="116" t="s">
        <v>202</v>
      </c>
      <c r="F12" s="116" t="s">
        <v>203</v>
      </c>
      <c r="G12" s="116" t="s">
        <v>204</v>
      </c>
    </row>
    <row r="13" spans="2:7">
      <c r="B13" t="s">
        <v>205</v>
      </c>
      <c r="C13">
        <v>1</v>
      </c>
      <c r="D13">
        <v>0.31860238574629651</v>
      </c>
      <c r="E13">
        <v>0.31860238574629651</v>
      </c>
      <c r="F13">
        <v>154.40411408543164</v>
      </c>
      <c r="G13">
        <v>4.0528868445513201E-28</v>
      </c>
    </row>
    <row r="14" spans="2:7">
      <c r="B14" t="s">
        <v>206</v>
      </c>
      <c r="C14">
        <v>259</v>
      </c>
      <c r="D14">
        <v>0.53442888097291019</v>
      </c>
      <c r="E14">
        <v>2.0634319728683793E-3</v>
      </c>
    </row>
    <row r="15" spans="2:7" ht="16" thickBot="1">
      <c r="B15" s="115" t="s">
        <v>88</v>
      </c>
      <c r="C15" s="115">
        <v>260</v>
      </c>
      <c r="D15" s="115">
        <v>0.8530312667192067</v>
      </c>
      <c r="E15" s="115"/>
      <c r="F15" s="115"/>
      <c r="G15" s="115"/>
    </row>
    <row r="16" spans="2:7" ht="16" thickBot="1"/>
    <row r="17" spans="2:10">
      <c r="B17" s="116"/>
      <c r="C17" s="116" t="s">
        <v>207</v>
      </c>
      <c r="D17" s="116" t="s">
        <v>197</v>
      </c>
      <c r="E17" s="116" t="s">
        <v>208</v>
      </c>
      <c r="F17" s="116" t="s">
        <v>209</v>
      </c>
      <c r="G17" s="116" t="s">
        <v>210</v>
      </c>
      <c r="H17" s="116" t="s">
        <v>211</v>
      </c>
      <c r="I17" s="116" t="s">
        <v>212</v>
      </c>
      <c r="J17" s="116" t="s">
        <v>213</v>
      </c>
    </row>
    <row r="18" spans="2:10">
      <c r="B18" t="s">
        <v>214</v>
      </c>
      <c r="C18" s="134">
        <v>1.4365502580532688E-3</v>
      </c>
      <c r="D18" s="134">
        <v>2.8301069636170705E-3</v>
      </c>
      <c r="E18" s="83">
        <v>0.50759574691737419</v>
      </c>
      <c r="F18" s="83">
        <v>0.61216883880413819</v>
      </c>
      <c r="G18" s="137">
        <v>-4.1363988955115203E-3</v>
      </c>
      <c r="H18" s="137">
        <v>7.009499411618058E-3</v>
      </c>
      <c r="I18" s="137">
        <v>-4.1363988955115203E-3</v>
      </c>
      <c r="J18" s="137">
        <v>7.009499411618058E-3</v>
      </c>
    </row>
    <row r="19" spans="2:10" ht="16" thickBot="1">
      <c r="B19" s="115" t="s">
        <v>215</v>
      </c>
      <c r="C19" s="135">
        <v>1.1221610142112444</v>
      </c>
      <c r="D19" s="135">
        <v>9.0307899821808868E-2</v>
      </c>
      <c r="E19" s="135">
        <v>12.425945198874491</v>
      </c>
      <c r="F19" s="135">
        <v>4.0528868445508286E-28</v>
      </c>
      <c r="G19" s="136">
        <v>0.94432980841507352</v>
      </c>
      <c r="H19" s="136">
        <v>1.2999922200074152</v>
      </c>
      <c r="I19" s="136">
        <v>0.94432980841507352</v>
      </c>
      <c r="J19" s="136">
        <v>1.2999922200074152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2511-6AD1-4366-BAF1-809282DAA37A}">
  <dimension ref="B3:F280"/>
  <sheetViews>
    <sheetView showGridLines="0" workbookViewId="0">
      <selection activeCell="F2" sqref="F2"/>
    </sheetView>
  </sheetViews>
  <sheetFormatPr baseColWidth="10" defaultColWidth="8.83203125" defaultRowHeight="15"/>
  <cols>
    <col min="2" max="2" width="13" customWidth="1"/>
    <col min="3" max="3" width="14.83203125" customWidth="1"/>
    <col min="4" max="4" width="15.1640625" customWidth="1"/>
    <col min="5" max="5" width="13.33203125" customWidth="1"/>
    <col min="6" max="6" width="15" customWidth="1"/>
  </cols>
  <sheetData>
    <row r="3" spans="2:6">
      <c r="B3" s="93" t="s">
        <v>19</v>
      </c>
      <c r="C3" s="93" t="s">
        <v>216</v>
      </c>
      <c r="D3" s="93" t="s">
        <v>217</v>
      </c>
      <c r="E3" s="113" t="s">
        <v>218</v>
      </c>
      <c r="F3" s="113" t="s">
        <v>219</v>
      </c>
    </row>
    <row r="4" spans="2:6">
      <c r="B4" s="114">
        <v>45467</v>
      </c>
      <c r="C4" s="121">
        <v>519.55999799999995</v>
      </c>
      <c r="D4" s="119">
        <v>17858.679688</v>
      </c>
      <c r="E4">
        <f>C4/C5-1</f>
        <v>5.0082863191889038E-2</v>
      </c>
      <c r="F4">
        <f>D4/D5-1</f>
        <v>9.5718736563912277E-3</v>
      </c>
    </row>
    <row r="5" spans="2:6">
      <c r="B5" s="114">
        <v>45460</v>
      </c>
      <c r="C5" s="122">
        <v>494.77999899999998</v>
      </c>
      <c r="D5">
        <v>17689.359375</v>
      </c>
      <c r="E5">
        <f t="shared" ref="E5:E8" si="0">C5/C6-1</f>
        <v>-1.7630832317351963E-2</v>
      </c>
      <c r="F5">
        <f t="shared" ref="F5:F8" si="1">D5/D6-1</f>
        <v>2.7051796199772937E-5</v>
      </c>
    </row>
    <row r="6" spans="2:6">
      <c r="B6" s="114">
        <v>45453</v>
      </c>
      <c r="C6" s="121">
        <v>503.659943</v>
      </c>
      <c r="D6" s="119">
        <v>17688.880859000001</v>
      </c>
      <c r="E6">
        <f t="shared" si="0"/>
        <v>2.2719922825756189E-2</v>
      </c>
      <c r="F6">
        <f t="shared" si="1"/>
        <v>3.2437153756288861E-2</v>
      </c>
    </row>
    <row r="7" spans="2:6">
      <c r="B7" s="114">
        <v>45446</v>
      </c>
      <c r="C7" s="122">
        <v>492.47103900000002</v>
      </c>
      <c r="D7">
        <v>17133.130859000001</v>
      </c>
      <c r="E7">
        <f t="shared" si="0"/>
        <v>5.5973298261836835E-2</v>
      </c>
      <c r="F7">
        <f t="shared" si="1"/>
        <v>2.378911642514292E-2</v>
      </c>
    </row>
    <row r="8" spans="2:6">
      <c r="B8" s="114">
        <v>45439</v>
      </c>
      <c r="C8" s="121">
        <v>466.36694299999999</v>
      </c>
      <c r="D8" s="119">
        <v>16735.019531000002</v>
      </c>
      <c r="E8">
        <f t="shared" si="0"/>
        <v>-2.3817534696761622E-2</v>
      </c>
      <c r="F8">
        <f t="shared" si="1"/>
        <v>-1.0978774766846611E-2</v>
      </c>
    </row>
    <row r="9" spans="2:6">
      <c r="B9" s="114">
        <v>45432</v>
      </c>
      <c r="C9" s="122">
        <v>477.74566700000003</v>
      </c>
      <c r="D9">
        <v>16920.789063</v>
      </c>
      <c r="E9">
        <f t="shared" ref="E9:E72" si="2">C9/C10-1</f>
        <v>1.3371195190160501E-2</v>
      </c>
      <c r="F9">
        <f t="shared" ref="F9:F72" si="3">D9/D10-1</f>
        <v>1.4072801887263564E-2</v>
      </c>
    </row>
    <row r="10" spans="2:6">
      <c r="B10" s="114">
        <v>45425</v>
      </c>
      <c r="C10" s="121">
        <v>471.44192500000003</v>
      </c>
      <c r="D10" s="119">
        <v>16685.970702999999</v>
      </c>
      <c r="E10">
        <f t="shared" si="2"/>
        <v>-9.0088659375329172E-3</v>
      </c>
      <c r="F10">
        <f t="shared" si="3"/>
        <v>2.1118862308377118E-2</v>
      </c>
    </row>
    <row r="11" spans="2:6">
      <c r="B11" s="114">
        <v>45418</v>
      </c>
      <c r="C11" s="122">
        <v>475.72769199999999</v>
      </c>
      <c r="D11">
        <v>16340.870117</v>
      </c>
      <c r="E11">
        <f t="shared" si="2"/>
        <v>5.3633171950135727E-2</v>
      </c>
      <c r="F11">
        <f t="shared" si="3"/>
        <v>1.1422150829369704E-2</v>
      </c>
    </row>
    <row r="12" spans="2:6">
      <c r="B12" s="114">
        <v>45411</v>
      </c>
      <c r="C12" s="121">
        <v>451.51168799999999</v>
      </c>
      <c r="D12" s="119">
        <v>16156.330078000001</v>
      </c>
      <c r="E12">
        <f t="shared" si="2"/>
        <v>1.9558249785219139E-2</v>
      </c>
      <c r="F12">
        <f t="shared" si="3"/>
        <v>1.4341481387532662E-2</v>
      </c>
    </row>
    <row r="13" spans="2:6">
      <c r="B13" s="114">
        <v>45404</v>
      </c>
      <c r="C13" s="122">
        <v>442.85031099999998</v>
      </c>
      <c r="D13">
        <v>15927.900390999999</v>
      </c>
      <c r="E13">
        <f t="shared" si="2"/>
        <v>-7.8533262108523294E-2</v>
      </c>
      <c r="F13">
        <f t="shared" si="3"/>
        <v>4.2264769810381964E-2</v>
      </c>
    </row>
    <row r="14" spans="2:6">
      <c r="B14" s="114">
        <v>45397</v>
      </c>
      <c r="C14" s="121">
        <v>480.59283399999998</v>
      </c>
      <c r="D14" s="119">
        <v>15282.009765999999</v>
      </c>
      <c r="E14">
        <f t="shared" si="2"/>
        <v>-6.0226584352447099E-2</v>
      </c>
      <c r="F14">
        <f t="shared" si="3"/>
        <v>-5.5213299376589253E-2</v>
      </c>
    </row>
    <row r="15" spans="2:6">
      <c r="B15" s="114">
        <v>45390</v>
      </c>
      <c r="C15" s="122">
        <v>511.39224200000001</v>
      </c>
      <c r="D15">
        <v>16175.089844</v>
      </c>
      <c r="E15">
        <f t="shared" si="2"/>
        <v>-2.9279076583100694E-2</v>
      </c>
      <c r="F15">
        <f t="shared" si="3"/>
        <v>-4.5191616910024157E-3</v>
      </c>
    </row>
    <row r="16" spans="2:6">
      <c r="B16" s="114">
        <v>45383</v>
      </c>
      <c r="C16" s="121">
        <v>526.816956</v>
      </c>
      <c r="D16" s="119">
        <v>16248.519531</v>
      </c>
      <c r="E16">
        <f t="shared" si="2"/>
        <v>8.600028697685258E-2</v>
      </c>
      <c r="F16">
        <f t="shared" si="3"/>
        <v>-7.9941848090091527E-3</v>
      </c>
    </row>
    <row r="17" spans="2:6">
      <c r="B17" s="114">
        <v>45376</v>
      </c>
      <c r="C17" s="122">
        <v>485.09835800000002</v>
      </c>
      <c r="D17">
        <v>16379.459961</v>
      </c>
      <c r="E17">
        <f t="shared" si="2"/>
        <v>-4.7097612346972628E-2</v>
      </c>
      <c r="F17">
        <f t="shared" si="3"/>
        <v>-3.0044976486194308E-3</v>
      </c>
    </row>
    <row r="18" spans="2:6">
      <c r="B18" s="114">
        <v>45369</v>
      </c>
      <c r="C18" s="121">
        <v>509.07455399999998</v>
      </c>
      <c r="D18" s="119">
        <v>16428.820313</v>
      </c>
      <c r="E18">
        <f t="shared" si="2"/>
        <v>5.2633719166895299E-2</v>
      </c>
      <c r="F18">
        <f t="shared" si="3"/>
        <v>2.8525984086128719E-2</v>
      </c>
    </row>
    <row r="19" spans="2:6">
      <c r="B19" s="114">
        <v>45362</v>
      </c>
      <c r="C19" s="122">
        <v>483.619843</v>
      </c>
      <c r="D19">
        <v>15973.169921999999</v>
      </c>
      <c r="E19">
        <f t="shared" si="2"/>
        <v>-4.3186104571222073E-2</v>
      </c>
      <c r="F19">
        <f t="shared" si="3"/>
        <v>-6.9592578198309774E-3</v>
      </c>
    </row>
    <row r="20" spans="2:6">
      <c r="B20" s="114">
        <v>45355</v>
      </c>
      <c r="C20" s="121">
        <v>505.44818099999998</v>
      </c>
      <c r="D20" s="119">
        <v>16085.110352</v>
      </c>
      <c r="E20">
        <f t="shared" si="2"/>
        <v>7.2666604727198436E-3</v>
      </c>
      <c r="F20">
        <f t="shared" si="3"/>
        <v>-1.1663949174897326E-2</v>
      </c>
    </row>
    <row r="21" spans="2:6">
      <c r="B21" s="114">
        <v>45348</v>
      </c>
      <c r="C21" s="122">
        <v>501.80175800000001</v>
      </c>
      <c r="D21">
        <v>16274.940430000001</v>
      </c>
      <c r="E21">
        <f t="shared" si="2"/>
        <v>3.8846628897774904E-2</v>
      </c>
      <c r="F21">
        <f t="shared" si="3"/>
        <v>1.7385962432420632E-2</v>
      </c>
    </row>
    <row r="22" spans="2:6">
      <c r="B22" s="114">
        <v>45341</v>
      </c>
      <c r="C22" s="121">
        <v>483.03738399999997</v>
      </c>
      <c r="D22" s="119">
        <v>15996.820313</v>
      </c>
      <c r="E22">
        <f t="shared" si="2"/>
        <v>2.2627359729805008E-2</v>
      </c>
      <c r="F22">
        <f t="shared" si="3"/>
        <v>1.4019702295518632E-2</v>
      </c>
    </row>
    <row r="23" spans="2:6">
      <c r="B23" s="114">
        <v>45334</v>
      </c>
      <c r="C23" s="122">
        <v>472.34936499999998</v>
      </c>
      <c r="D23">
        <v>15775.650390999999</v>
      </c>
      <c r="E23">
        <f t="shared" si="2"/>
        <v>1.1129917013554591E-2</v>
      </c>
      <c r="F23">
        <f t="shared" si="3"/>
        <v>-1.3445959260120044E-2</v>
      </c>
    </row>
    <row r="24" spans="2:6">
      <c r="B24" s="114">
        <v>45327</v>
      </c>
      <c r="C24" s="121">
        <v>467.15002399999997</v>
      </c>
      <c r="D24" s="119">
        <v>15990.660156</v>
      </c>
      <c r="E24">
        <f t="shared" si="2"/>
        <v>-1.4484546964487199E-2</v>
      </c>
      <c r="F24">
        <f t="shared" si="3"/>
        <v>2.3143586516496617E-2</v>
      </c>
    </row>
    <row r="25" spans="2:6">
      <c r="B25" s="114">
        <v>45320</v>
      </c>
      <c r="C25" s="122">
        <v>474.01593000000003</v>
      </c>
      <c r="D25">
        <v>15628.950194999999</v>
      </c>
      <c r="E25">
        <f t="shared" si="2"/>
        <v>0.20513007547468387</v>
      </c>
      <c r="F25">
        <f t="shared" si="3"/>
        <v>1.1231691726782511E-2</v>
      </c>
    </row>
    <row r="26" spans="2:6">
      <c r="B26" s="114">
        <v>45313</v>
      </c>
      <c r="C26" s="121">
        <v>393.33175699999998</v>
      </c>
      <c r="D26" s="119">
        <v>15455.360352</v>
      </c>
      <c r="E26">
        <f t="shared" si="2"/>
        <v>2.7878505193644321E-2</v>
      </c>
      <c r="F26">
        <f t="shared" si="3"/>
        <v>9.4305342884568599E-3</v>
      </c>
    </row>
    <row r="27" spans="2:6">
      <c r="B27" s="114">
        <v>45306</v>
      </c>
      <c r="C27" s="122">
        <v>382.66366599999998</v>
      </c>
      <c r="D27">
        <v>15310.969727</v>
      </c>
      <c r="E27">
        <f t="shared" si="2"/>
        <v>2.3925941317639365E-2</v>
      </c>
      <c r="F27">
        <f t="shared" si="3"/>
        <v>2.2588351532093931E-2</v>
      </c>
    </row>
    <row r="28" spans="2:6">
      <c r="B28" s="114">
        <v>45299</v>
      </c>
      <c r="C28" s="121">
        <v>373.722015</v>
      </c>
      <c r="D28" s="119">
        <v>14972.759765999999</v>
      </c>
      <c r="E28">
        <f t="shared" si="2"/>
        <v>6.4043090654282819E-2</v>
      </c>
      <c r="F28">
        <f t="shared" si="3"/>
        <v>3.0892817463049171E-2</v>
      </c>
    </row>
    <row r="29" spans="2:6">
      <c r="B29" s="114">
        <v>45292</v>
      </c>
      <c r="C29" s="122">
        <v>351.22827100000001</v>
      </c>
      <c r="D29">
        <v>14524.070313</v>
      </c>
      <c r="E29">
        <f t="shared" si="2"/>
        <v>-5.6785565831971585E-3</v>
      </c>
      <c r="F29">
        <f t="shared" si="3"/>
        <v>-3.246072529733468E-2</v>
      </c>
    </row>
    <row r="30" spans="2:6">
      <c r="B30" s="114">
        <v>45285</v>
      </c>
      <c r="C30" s="121">
        <v>353.23413099999999</v>
      </c>
      <c r="D30" s="119">
        <v>15011.349609000001</v>
      </c>
      <c r="E30">
        <f t="shared" si="2"/>
        <v>1.6129088328771246E-3</v>
      </c>
      <c r="F30">
        <f t="shared" si="3"/>
        <v>1.2259000274577048E-3</v>
      </c>
    </row>
    <row r="31" spans="2:6">
      <c r="B31" s="114">
        <v>45278</v>
      </c>
      <c r="C31" s="122">
        <v>352.66531400000002</v>
      </c>
      <c r="D31">
        <v>14992.969727</v>
      </c>
      <c r="E31">
        <f t="shared" si="2"/>
        <v>5.514751325485534E-2</v>
      </c>
      <c r="F31">
        <f t="shared" si="3"/>
        <v>1.2086591931288693E-2</v>
      </c>
    </row>
    <row r="32" spans="2:6">
      <c r="B32" s="114">
        <v>45271</v>
      </c>
      <c r="C32" s="121">
        <v>334.23318499999999</v>
      </c>
      <c r="D32" s="119">
        <v>14813.919921999999</v>
      </c>
      <c r="E32">
        <f t="shared" si="2"/>
        <v>6.5214366710910632E-3</v>
      </c>
      <c r="F32">
        <f t="shared" si="3"/>
        <v>2.846091756438196E-2</v>
      </c>
    </row>
    <row r="33" spans="2:6">
      <c r="B33" s="114">
        <v>45264</v>
      </c>
      <c r="C33" s="122">
        <v>332.06762700000002</v>
      </c>
      <c r="D33">
        <v>14403.969727</v>
      </c>
      <c r="E33">
        <f t="shared" si="2"/>
        <v>2.4413486927042927E-2</v>
      </c>
      <c r="F33">
        <f t="shared" si="3"/>
        <v>6.9164099699070558E-3</v>
      </c>
    </row>
    <row r="34" spans="2:6">
      <c r="B34" s="114">
        <v>45257</v>
      </c>
      <c r="C34" s="121">
        <v>324.15390000000002</v>
      </c>
      <c r="D34" s="119">
        <v>14305.030273</v>
      </c>
      <c r="E34">
        <f t="shared" si="2"/>
        <v>-3.9647595703653948E-2</v>
      </c>
      <c r="F34">
        <f t="shared" si="3"/>
        <v>3.8019251824663591E-3</v>
      </c>
    </row>
    <row r="35" spans="2:6">
      <c r="B35" s="114">
        <v>45250</v>
      </c>
      <c r="C35" s="122">
        <v>337.536407</v>
      </c>
      <c r="D35">
        <v>14250.849609000001</v>
      </c>
      <c r="E35">
        <f t="shared" si="2"/>
        <v>9.5212892044111985E-3</v>
      </c>
      <c r="F35">
        <f t="shared" si="3"/>
        <v>8.8753894265853894E-3</v>
      </c>
    </row>
    <row r="36" spans="2:6">
      <c r="B36" s="114">
        <v>45243</v>
      </c>
      <c r="C36" s="121">
        <v>334.352936</v>
      </c>
      <c r="D36" s="119">
        <v>14125.480469</v>
      </c>
      <c r="E36">
        <f t="shared" si="2"/>
        <v>1.9071175816826491E-2</v>
      </c>
      <c r="F36">
        <f t="shared" si="3"/>
        <v>2.3725721033427627E-2</v>
      </c>
    </row>
    <row r="37" spans="2:6">
      <c r="B37" s="114">
        <v>45236</v>
      </c>
      <c r="C37" s="122">
        <v>328.09576399999997</v>
      </c>
      <c r="D37">
        <v>13798.110352</v>
      </c>
      <c r="E37">
        <f t="shared" si="2"/>
        <v>4.5041184502746967E-2</v>
      </c>
      <c r="F37">
        <f t="shared" si="3"/>
        <v>2.3729294281013669E-2</v>
      </c>
    </row>
    <row r="38" spans="2:6">
      <c r="B38" s="114">
        <v>45229</v>
      </c>
      <c r="C38" s="121">
        <v>313.95486499999998</v>
      </c>
      <c r="D38" s="119">
        <v>13478.280273</v>
      </c>
      <c r="E38">
        <f t="shared" si="2"/>
        <v>6.0223059572897419E-2</v>
      </c>
      <c r="F38">
        <f t="shared" si="3"/>
        <v>6.6065796235184271E-2</v>
      </c>
    </row>
    <row r="39" spans="2:6">
      <c r="B39" s="114">
        <v>45222</v>
      </c>
      <c r="C39" s="122">
        <v>296.12152099999997</v>
      </c>
      <c r="D39">
        <v>12643.009765999999</v>
      </c>
      <c r="E39">
        <f t="shared" si="2"/>
        <v>-3.8619643980787877E-2</v>
      </c>
      <c r="F39">
        <f t="shared" si="3"/>
        <v>-2.6248059335947316E-2</v>
      </c>
    </row>
    <row r="40" spans="2:6">
      <c r="B40" s="114">
        <v>45215</v>
      </c>
      <c r="C40" s="121">
        <v>308.01702899999998</v>
      </c>
      <c r="D40" s="119">
        <v>12983.809569999999</v>
      </c>
      <c r="E40">
        <f t="shared" si="2"/>
        <v>-1.9193603401870041E-2</v>
      </c>
      <c r="F40">
        <f t="shared" si="3"/>
        <v>-3.1581533559748132E-2</v>
      </c>
    </row>
    <row r="41" spans="2:6">
      <c r="B41" s="114">
        <v>45208</v>
      </c>
      <c r="C41" s="122">
        <v>314.04467799999998</v>
      </c>
      <c r="D41">
        <v>13407.230469</v>
      </c>
      <c r="E41">
        <f t="shared" si="2"/>
        <v>-2.3459451967730027E-3</v>
      </c>
      <c r="F41">
        <f t="shared" si="3"/>
        <v>-1.7950089328407914E-3</v>
      </c>
    </row>
    <row r="42" spans="2:6">
      <c r="B42" s="114">
        <v>45201</v>
      </c>
      <c r="C42" s="121">
        <v>314.783142</v>
      </c>
      <c r="D42" s="119">
        <v>13431.339844</v>
      </c>
      <c r="E42">
        <f t="shared" si="2"/>
        <v>5.0697823550483356E-2</v>
      </c>
      <c r="F42">
        <f t="shared" si="3"/>
        <v>1.6038610607800985E-2</v>
      </c>
    </row>
    <row r="43" spans="2:6">
      <c r="B43" s="114">
        <v>45194</v>
      </c>
      <c r="C43" s="122">
        <v>299.59435999999999</v>
      </c>
      <c r="D43">
        <v>13219.320313</v>
      </c>
      <c r="E43">
        <f t="shared" si="2"/>
        <v>3.7783652634899578E-3</v>
      </c>
      <c r="F43">
        <f t="shared" si="3"/>
        <v>5.6848707667223053E-4</v>
      </c>
    </row>
    <row r="44" spans="2:6">
      <c r="B44" s="114">
        <v>45187</v>
      </c>
      <c r="C44" s="121">
        <v>298.46664399999997</v>
      </c>
      <c r="D44" s="119">
        <v>13211.809569999999</v>
      </c>
      <c r="E44">
        <f t="shared" si="2"/>
        <v>-4.0957693524600325E-3</v>
      </c>
      <c r="F44">
        <f t="shared" si="3"/>
        <v>-3.6220349610405767E-2</v>
      </c>
    </row>
    <row r="45" spans="2:6">
      <c r="B45" s="114">
        <v>45180</v>
      </c>
      <c r="C45" s="122">
        <v>299.69412199999999</v>
      </c>
      <c r="D45">
        <v>13708.330078000001</v>
      </c>
      <c r="E45">
        <f t="shared" si="2"/>
        <v>8.1237055893539356E-3</v>
      </c>
      <c r="F45">
        <f t="shared" si="3"/>
        <v>-3.8658633120458585E-3</v>
      </c>
    </row>
    <row r="46" spans="2:6">
      <c r="B46" s="114">
        <v>45173</v>
      </c>
      <c r="C46" s="121">
        <v>297.27911399999999</v>
      </c>
      <c r="D46" s="119">
        <v>13761.530273</v>
      </c>
      <c r="E46">
        <f t="shared" si="2"/>
        <v>5.0947888726140533E-3</v>
      </c>
      <c r="F46">
        <f t="shared" si="3"/>
        <v>-1.9261898877095396E-2</v>
      </c>
    </row>
    <row r="47" spans="2:6">
      <c r="B47" s="114">
        <v>45166</v>
      </c>
      <c r="C47" s="122">
        <v>295.77221700000001</v>
      </c>
      <c r="D47">
        <v>14031.809569999999</v>
      </c>
      <c r="E47">
        <f t="shared" si="2"/>
        <v>3.8108612365561623E-2</v>
      </c>
      <c r="F47">
        <f t="shared" si="3"/>
        <v>3.2460490580505708E-2</v>
      </c>
    </row>
    <row r="48" spans="2:6">
      <c r="B48" s="114">
        <v>45159</v>
      </c>
      <c r="C48" s="121">
        <v>284.91451999999998</v>
      </c>
      <c r="D48" s="119">
        <v>13590.650390999999</v>
      </c>
      <c r="E48">
        <f t="shared" si="2"/>
        <v>7.9435346048826183E-3</v>
      </c>
      <c r="F48">
        <f t="shared" si="3"/>
        <v>2.2562265859528141E-2</v>
      </c>
    </row>
    <row r="49" spans="2:6">
      <c r="B49" s="114">
        <v>45152</v>
      </c>
      <c r="C49" s="122">
        <v>282.669128</v>
      </c>
      <c r="D49">
        <v>13290.780273</v>
      </c>
      <c r="E49">
        <f t="shared" si="2"/>
        <v>-6.0966740563179189E-2</v>
      </c>
      <c r="F49">
        <f t="shared" si="3"/>
        <v>-2.594893649589658E-2</v>
      </c>
    </row>
    <row r="50" spans="2:6">
      <c r="B50" s="114">
        <v>45145</v>
      </c>
      <c r="C50" s="121">
        <v>301.02142300000003</v>
      </c>
      <c r="D50" s="119">
        <v>13644.849609000001</v>
      </c>
      <c r="E50">
        <f t="shared" si="2"/>
        <v>-2.9253761722248695E-2</v>
      </c>
      <c r="F50">
        <f t="shared" si="3"/>
        <v>-1.9008272238602797E-2</v>
      </c>
    </row>
    <row r="51" spans="2:6">
      <c r="B51" s="114">
        <v>45138</v>
      </c>
      <c r="C51" s="122">
        <v>310.092804</v>
      </c>
      <c r="D51">
        <v>13909.240234000001</v>
      </c>
      <c r="E51">
        <f t="shared" si="2"/>
        <v>-4.5317608143634058E-2</v>
      </c>
      <c r="F51">
        <f t="shared" si="3"/>
        <v>-2.8457749053242165E-2</v>
      </c>
    </row>
    <row r="52" spans="2:6">
      <c r="B52" s="114">
        <v>45131</v>
      </c>
      <c r="C52" s="121">
        <v>324.81253099999998</v>
      </c>
      <c r="D52" s="119">
        <v>14316.660156</v>
      </c>
      <c r="E52">
        <f t="shared" si="2"/>
        <v>0.10609664749353187</v>
      </c>
      <c r="F52">
        <f t="shared" si="3"/>
        <v>2.0227637564955714E-2</v>
      </c>
    </row>
    <row r="53" spans="2:6">
      <c r="B53" s="114">
        <v>45124</v>
      </c>
      <c r="C53" s="122">
        <v>293.65655500000003</v>
      </c>
      <c r="D53">
        <v>14032.809569999999</v>
      </c>
      <c r="E53">
        <f t="shared" si="2"/>
        <v>-4.7301385768071635E-2</v>
      </c>
      <c r="F53">
        <f t="shared" si="3"/>
        <v>-5.7313549163143795E-3</v>
      </c>
    </row>
    <row r="54" spans="2:6">
      <c r="B54" s="114">
        <v>45117</v>
      </c>
      <c r="C54" s="121">
        <v>308.23657200000002</v>
      </c>
      <c r="D54" s="119">
        <v>14113.700194999999</v>
      </c>
      <c r="E54">
        <f t="shared" si="2"/>
        <v>6.3125935979599035E-2</v>
      </c>
      <c r="F54">
        <f t="shared" si="3"/>
        <v>3.3159341312353874E-2</v>
      </c>
    </row>
    <row r="55" spans="2:6">
      <c r="B55" s="114">
        <v>45110</v>
      </c>
      <c r="C55" s="122">
        <v>289.93420400000002</v>
      </c>
      <c r="D55">
        <v>13660.719727</v>
      </c>
      <c r="E55">
        <f t="shared" si="2"/>
        <v>1.237010831780605E-2</v>
      </c>
      <c r="F55">
        <f t="shared" si="3"/>
        <v>-9.225481125477053E-3</v>
      </c>
    </row>
    <row r="56" spans="2:6">
      <c r="B56" s="114">
        <v>45103</v>
      </c>
      <c r="C56" s="121">
        <v>286.39150999999998</v>
      </c>
      <c r="D56" s="119">
        <v>13787.919921999999</v>
      </c>
      <c r="E56">
        <f t="shared" si="2"/>
        <v>-6.0609831106950285E-3</v>
      </c>
      <c r="F56">
        <f t="shared" si="3"/>
        <v>2.1893641904412009E-2</v>
      </c>
    </row>
    <row r="57" spans="2:6">
      <c r="B57" s="114">
        <v>45096</v>
      </c>
      <c r="C57" s="122">
        <v>288.13790899999998</v>
      </c>
      <c r="D57">
        <v>13492.519531</v>
      </c>
      <c r="E57">
        <f t="shared" si="2"/>
        <v>2.7508983663533382E-2</v>
      </c>
      <c r="F57">
        <f t="shared" si="3"/>
        <v>-1.4394226954872025E-2</v>
      </c>
    </row>
    <row r="58" spans="2:6">
      <c r="B58" s="114">
        <v>45089</v>
      </c>
      <c r="C58" s="121">
        <v>280.42373700000002</v>
      </c>
      <c r="D58" s="119">
        <v>13689.570313</v>
      </c>
      <c r="E58">
        <f t="shared" si="2"/>
        <v>6.0577365828019536E-2</v>
      </c>
      <c r="F58">
        <f t="shared" si="3"/>
        <v>3.2462940765913606E-2</v>
      </c>
    </row>
    <row r="59" spans="2:6">
      <c r="B59" s="114">
        <v>45082</v>
      </c>
      <c r="C59" s="122">
        <v>264.406677</v>
      </c>
      <c r="D59">
        <v>13259.139648</v>
      </c>
      <c r="E59">
        <f t="shared" si="2"/>
        <v>-2.8098731530317278E-2</v>
      </c>
      <c r="F59">
        <f t="shared" si="3"/>
        <v>1.3873904350492072E-3</v>
      </c>
    </row>
    <row r="60" spans="2:6">
      <c r="B60" s="114">
        <v>45075</v>
      </c>
      <c r="C60" s="121">
        <v>272.05096400000002</v>
      </c>
      <c r="D60" s="119">
        <v>13240.769531</v>
      </c>
      <c r="E60">
        <f t="shared" si="2"/>
        <v>4.0337411526939704E-2</v>
      </c>
      <c r="F60">
        <f t="shared" si="3"/>
        <v>2.0428901446903458E-2</v>
      </c>
    </row>
    <row r="61" spans="2:6">
      <c r="B61" s="114">
        <v>45068</v>
      </c>
      <c r="C61" s="122">
        <v>261.50262500000002</v>
      </c>
      <c r="D61">
        <v>12975.690430000001</v>
      </c>
      <c r="E61">
        <f t="shared" si="2"/>
        <v>6.6764353560895717E-2</v>
      </c>
      <c r="F61">
        <f t="shared" si="3"/>
        <v>2.5106062552519015E-2</v>
      </c>
    </row>
    <row r="62" spans="2:6">
      <c r="B62" s="114">
        <v>45061</v>
      </c>
      <c r="C62" s="121">
        <v>245.13626099999999</v>
      </c>
      <c r="D62" s="119">
        <v>12657.900390999999</v>
      </c>
      <c r="E62">
        <f t="shared" si="2"/>
        <v>5.0596710447268878E-2</v>
      </c>
      <c r="F62">
        <f t="shared" si="3"/>
        <v>3.0375909452868832E-2</v>
      </c>
    </row>
    <row r="63" spans="2:6">
      <c r="B63" s="114">
        <v>45054</v>
      </c>
      <c r="C63" s="122">
        <v>233.33050499999999</v>
      </c>
      <c r="D63">
        <v>12284.740234000001</v>
      </c>
      <c r="E63">
        <f t="shared" si="2"/>
        <v>4.4247325518849134E-3</v>
      </c>
      <c r="F63">
        <f t="shared" si="3"/>
        <v>4.0317469844530773E-3</v>
      </c>
    </row>
    <row r="64" spans="2:6">
      <c r="B64" s="114">
        <v>45047</v>
      </c>
      <c r="C64" s="121">
        <v>232.302628</v>
      </c>
      <c r="D64" s="119">
        <v>12235.410156</v>
      </c>
      <c r="E64">
        <f t="shared" si="2"/>
        <v>-3.1374888498354903E-2</v>
      </c>
      <c r="F64">
        <f t="shared" si="3"/>
        <v>7.2220342431550399E-4</v>
      </c>
    </row>
    <row r="65" spans="2:6">
      <c r="B65" s="114">
        <v>45040</v>
      </c>
      <c r="C65" s="122">
        <v>239.827179</v>
      </c>
      <c r="D65">
        <v>12226.580078000001</v>
      </c>
      <c r="E65">
        <f t="shared" si="2"/>
        <v>0.12884595900706031</v>
      </c>
      <c r="F65">
        <f t="shared" si="3"/>
        <v>1.2766256214382432E-2</v>
      </c>
    </row>
    <row r="66" spans="2:6">
      <c r="B66" s="114">
        <v>45033</v>
      </c>
      <c r="C66" s="121">
        <v>212.45341500000001</v>
      </c>
      <c r="D66" s="119">
        <v>12072.459961</v>
      </c>
      <c r="E66">
        <f t="shared" si="2"/>
        <v>-3.8827953204427335E-2</v>
      </c>
      <c r="F66">
        <f t="shared" si="3"/>
        <v>-4.2075220335970887E-3</v>
      </c>
    </row>
    <row r="67" spans="2:6">
      <c r="B67" s="114">
        <v>45026</v>
      </c>
      <c r="C67" s="122">
        <v>221.03578200000001</v>
      </c>
      <c r="D67">
        <v>12123.469727</v>
      </c>
      <c r="E67">
        <f t="shared" si="2"/>
        <v>2.4942111158122504E-2</v>
      </c>
      <c r="F67">
        <f t="shared" si="3"/>
        <v>2.937614462205973E-3</v>
      </c>
    </row>
    <row r="68" spans="2:6">
      <c r="B68" s="114">
        <v>45019</v>
      </c>
      <c r="C68" s="121">
        <v>215.656845</v>
      </c>
      <c r="D68" s="119">
        <v>12087.959961</v>
      </c>
      <c r="E68">
        <f t="shared" si="2"/>
        <v>1.9628220221414638E-2</v>
      </c>
      <c r="F68">
        <f t="shared" si="3"/>
        <v>-1.0959841243329715E-2</v>
      </c>
    </row>
    <row r="69" spans="2:6">
      <c r="B69" s="114">
        <v>45012</v>
      </c>
      <c r="C69" s="122">
        <v>211.505371</v>
      </c>
      <c r="D69">
        <v>12221.910156</v>
      </c>
      <c r="E69">
        <f t="shared" si="2"/>
        <v>2.8784969166905761E-2</v>
      </c>
      <c r="F69">
        <f t="shared" si="3"/>
        <v>3.3656253599690267E-2</v>
      </c>
    </row>
    <row r="70" spans="2:6">
      <c r="B70" s="114">
        <v>45005</v>
      </c>
      <c r="C70" s="121">
        <v>205.58753999999999</v>
      </c>
      <c r="D70" s="119">
        <v>11823.959961</v>
      </c>
      <c r="E70">
        <f t="shared" si="2"/>
        <v>5.3167043205241349E-2</v>
      </c>
      <c r="F70">
        <f t="shared" si="3"/>
        <v>1.6632993642765603E-2</v>
      </c>
    </row>
    <row r="71" spans="2:6">
      <c r="B71" s="114">
        <v>44998</v>
      </c>
      <c r="C71" s="122">
        <v>195.20886200000001</v>
      </c>
      <c r="D71">
        <v>11630.509765999999</v>
      </c>
      <c r="E71">
        <f t="shared" si="2"/>
        <v>8.9688702072822535E-2</v>
      </c>
      <c r="F71">
        <f t="shared" si="3"/>
        <v>4.4135468932333888E-2</v>
      </c>
    </row>
    <row r="72" spans="2:6">
      <c r="B72" s="114">
        <v>44991</v>
      </c>
      <c r="C72" s="121">
        <v>179.14186100000001</v>
      </c>
      <c r="D72" s="119">
        <v>11138.889648</v>
      </c>
      <c r="E72">
        <f t="shared" si="2"/>
        <v>-3.0985221179788192E-2</v>
      </c>
      <c r="F72">
        <f t="shared" si="3"/>
        <v>-4.7063021505905578E-2</v>
      </c>
    </row>
    <row r="73" spans="2:6">
      <c r="B73" s="114">
        <v>44984</v>
      </c>
      <c r="C73" s="122">
        <v>184.870102</v>
      </c>
      <c r="D73">
        <v>11689.009765999999</v>
      </c>
      <c r="E73">
        <f t="shared" ref="E73:E136" si="4">C73/C74-1</f>
        <v>8.7211709172492657E-2</v>
      </c>
      <c r="F73">
        <f t="shared" ref="F73:F136" si="5">D73/D74-1</f>
        <v>2.5807009506235712E-2</v>
      </c>
    </row>
    <row r="74" spans="2:6">
      <c r="B74" s="114">
        <v>44977</v>
      </c>
      <c r="C74" s="121">
        <v>170.04057299999999</v>
      </c>
      <c r="D74" s="119">
        <v>11394.940430000001</v>
      </c>
      <c r="E74">
        <f t="shared" si="4"/>
        <v>-1.4403141908045924E-2</v>
      </c>
      <c r="F74">
        <f t="shared" si="5"/>
        <v>-3.3284137600161912E-2</v>
      </c>
    </row>
    <row r="75" spans="2:6">
      <c r="B75" s="114">
        <v>44970</v>
      </c>
      <c r="C75" s="122">
        <v>172.52548200000001</v>
      </c>
      <c r="D75">
        <v>11787.269531</v>
      </c>
      <c r="E75">
        <f t="shared" si="4"/>
        <v>-7.2924744170448363E-3</v>
      </c>
      <c r="F75">
        <f t="shared" si="5"/>
        <v>5.9010671771217993E-3</v>
      </c>
    </row>
    <row r="76" spans="2:6">
      <c r="B76" s="114">
        <v>44963</v>
      </c>
      <c r="C76" s="121">
        <v>173.79286200000001</v>
      </c>
      <c r="D76" s="119">
        <v>11718.120117</v>
      </c>
      <c r="E76">
        <f t="shared" si="4"/>
        <v>-6.6370032328560757E-2</v>
      </c>
      <c r="F76">
        <f t="shared" si="5"/>
        <v>-2.4055240782149268E-2</v>
      </c>
    </row>
    <row r="77" spans="2:6">
      <c r="B77" s="114">
        <v>44956</v>
      </c>
      <c r="C77" s="122">
        <v>186.14747600000001</v>
      </c>
      <c r="D77">
        <v>12006.950194999999</v>
      </c>
      <c r="E77">
        <f t="shared" si="4"/>
        <v>0.22927378327683967</v>
      </c>
      <c r="F77">
        <f t="shared" si="5"/>
        <v>3.314832630420006E-2</v>
      </c>
    </row>
    <row r="78" spans="2:6">
      <c r="B78" s="114">
        <v>44949</v>
      </c>
      <c r="C78" s="121">
        <v>151.42881800000001</v>
      </c>
      <c r="D78" s="119">
        <v>11621.709961</v>
      </c>
      <c r="E78">
        <f t="shared" si="4"/>
        <v>8.8756569825053422E-2</v>
      </c>
      <c r="F78">
        <f t="shared" si="5"/>
        <v>4.3201230695653958E-2</v>
      </c>
    </row>
    <row r="79" spans="2:6">
      <c r="B79" s="114">
        <v>44942</v>
      </c>
      <c r="C79" s="122">
        <v>139.084183</v>
      </c>
      <c r="D79">
        <v>11140.429688</v>
      </c>
      <c r="E79">
        <f t="shared" si="4"/>
        <v>1.7447708524365835E-2</v>
      </c>
      <c r="F79">
        <f t="shared" si="5"/>
        <v>5.5301603314055203E-3</v>
      </c>
    </row>
    <row r="80" spans="2:6">
      <c r="B80" s="114">
        <v>44935</v>
      </c>
      <c r="C80" s="121">
        <v>136.69909699999999</v>
      </c>
      <c r="D80" s="119">
        <v>11079.160156</v>
      </c>
      <c r="E80">
        <f t="shared" si="4"/>
        <v>5.3530208062723572E-2</v>
      </c>
      <c r="F80">
        <f t="shared" si="5"/>
        <v>4.8240715801970868E-2</v>
      </c>
    </row>
    <row r="81" spans="2:6">
      <c r="B81" s="114">
        <v>44928</v>
      </c>
      <c r="C81" s="122">
        <v>129.75337200000001</v>
      </c>
      <c r="D81">
        <v>10569.290039</v>
      </c>
      <c r="E81">
        <f t="shared" si="4"/>
        <v>8.0438815128408336E-2</v>
      </c>
      <c r="F81">
        <f t="shared" si="5"/>
        <v>9.8227451247345776E-3</v>
      </c>
    </row>
    <row r="82" spans="2:6">
      <c r="B82" s="114">
        <v>44921</v>
      </c>
      <c r="C82" s="121">
        <v>120.093216</v>
      </c>
      <c r="D82" s="119">
        <v>10466.480469</v>
      </c>
      <c r="E82">
        <f t="shared" si="4"/>
        <v>1.9484900138529548E-2</v>
      </c>
      <c r="F82">
        <f t="shared" si="5"/>
        <v>-2.9891694066992436E-3</v>
      </c>
    </row>
    <row r="83" spans="2:6">
      <c r="B83" s="114">
        <v>44914</v>
      </c>
      <c r="C83" s="122">
        <v>117.797935</v>
      </c>
      <c r="D83">
        <v>10497.860352</v>
      </c>
      <c r="E83">
        <f t="shared" si="4"/>
        <v>-1.1638587551071056E-2</v>
      </c>
      <c r="F83">
        <f t="shared" si="5"/>
        <v>-1.938737525938472E-2</v>
      </c>
    </row>
    <row r="84" spans="2:6">
      <c r="B84" s="114">
        <v>44907</v>
      </c>
      <c r="C84" s="121">
        <v>119.185081</v>
      </c>
      <c r="D84" s="119">
        <v>10705.410156</v>
      </c>
      <c r="E84">
        <f t="shared" si="4"/>
        <v>3.0457264808696483E-2</v>
      </c>
      <c r="F84">
        <f t="shared" si="5"/>
        <v>-2.7189485672274971E-2</v>
      </c>
    </row>
    <row r="85" spans="2:6">
      <c r="B85" s="114">
        <v>44900</v>
      </c>
      <c r="C85" s="122">
        <v>115.662323</v>
      </c>
      <c r="D85">
        <v>11004.620117</v>
      </c>
      <c r="E85">
        <f t="shared" si="4"/>
        <v>-6.1462442759061653E-2</v>
      </c>
      <c r="F85">
        <f t="shared" si="5"/>
        <v>-3.9862136980325369E-2</v>
      </c>
    </row>
    <row r="86" spans="2:6">
      <c r="B86" s="114">
        <v>44893</v>
      </c>
      <c r="C86" s="121">
        <v>123.236755</v>
      </c>
      <c r="D86" s="119">
        <v>11461.5</v>
      </c>
      <c r="E86">
        <f t="shared" si="4"/>
        <v>0.10842826651411386</v>
      </c>
      <c r="F86">
        <f t="shared" si="5"/>
        <v>2.094531447657566E-2</v>
      </c>
    </row>
    <row r="87" spans="2:6">
      <c r="B87" s="114">
        <v>44886</v>
      </c>
      <c r="C87" s="122">
        <v>111.181534</v>
      </c>
      <c r="D87">
        <v>11226.360352</v>
      </c>
      <c r="E87">
        <f t="shared" si="4"/>
        <v>-5.711730796883363E-3</v>
      </c>
      <c r="F87">
        <f t="shared" si="5"/>
        <v>7.2044099078865109E-3</v>
      </c>
    </row>
    <row r="88" spans="2:6">
      <c r="B88" s="114">
        <v>44879</v>
      </c>
      <c r="C88" s="121">
        <v>111.820221</v>
      </c>
      <c r="D88" s="119">
        <v>11146.059569999999</v>
      </c>
      <c r="E88">
        <f t="shared" si="4"/>
        <v>-8.5825443968527981E-3</v>
      </c>
      <c r="F88">
        <f t="shared" si="5"/>
        <v>-1.565533343803327E-2</v>
      </c>
    </row>
    <row r="89" spans="2:6">
      <c r="B89" s="114">
        <v>44872</v>
      </c>
      <c r="C89" s="122">
        <v>112.788231</v>
      </c>
      <c r="D89">
        <v>11323.330078000001</v>
      </c>
      <c r="E89">
        <f t="shared" si="4"/>
        <v>0.24485071109749335</v>
      </c>
      <c r="F89">
        <f t="shared" si="5"/>
        <v>8.0960366387437199E-2</v>
      </c>
    </row>
    <row r="90" spans="2:6">
      <c r="B90" s="114">
        <v>44865</v>
      </c>
      <c r="C90" s="121">
        <v>90.603820999999996</v>
      </c>
      <c r="D90" s="119">
        <v>10475.25</v>
      </c>
      <c r="E90">
        <f t="shared" si="4"/>
        <v>-8.4778151953491476E-2</v>
      </c>
      <c r="F90">
        <f t="shared" si="5"/>
        <v>-5.6492052113186642E-2</v>
      </c>
    </row>
    <row r="91" spans="2:6">
      <c r="B91" s="114">
        <v>44858</v>
      </c>
      <c r="C91" s="122">
        <v>98.996566999999999</v>
      </c>
      <c r="D91">
        <v>11102.450194999999</v>
      </c>
      <c r="E91">
        <f t="shared" si="4"/>
        <v>-0.2369817363626836</v>
      </c>
      <c r="F91">
        <f t="shared" si="5"/>
        <v>2.23514486655223E-2</v>
      </c>
    </row>
    <row r="92" spans="2:6">
      <c r="B92" s="114">
        <v>44851</v>
      </c>
      <c r="C92" s="121">
        <v>129.74337800000001</v>
      </c>
      <c r="D92" s="119">
        <v>10859.719727</v>
      </c>
      <c r="E92">
        <f t="shared" si="4"/>
        <v>2.5638922064325165E-2</v>
      </c>
      <c r="F92">
        <f t="shared" si="5"/>
        <v>5.2156744136126365E-2</v>
      </c>
    </row>
    <row r="93" spans="2:6">
      <c r="B93" s="114">
        <v>44844</v>
      </c>
      <c r="C93" s="122">
        <v>126.50005299999999</v>
      </c>
      <c r="D93">
        <v>10321.389648</v>
      </c>
      <c r="E93">
        <f t="shared" si="4"/>
        <v>-5.0131115265519721E-2</v>
      </c>
      <c r="F93">
        <f t="shared" si="5"/>
        <v>-3.1073817247769142E-2</v>
      </c>
    </row>
    <row r="94" spans="2:6">
      <c r="B94" s="114">
        <v>44837</v>
      </c>
      <c r="C94" s="121">
        <v>133.176331</v>
      </c>
      <c r="D94" s="119">
        <v>10652.400390999999</v>
      </c>
      <c r="E94">
        <f t="shared" si="4"/>
        <v>-1.6435666573258123E-2</v>
      </c>
      <c r="F94">
        <f t="shared" si="5"/>
        <v>7.2601202719617675E-3</v>
      </c>
    </row>
    <row r="95" spans="2:6">
      <c r="B95" s="114">
        <v>44830</v>
      </c>
      <c r="C95" s="122">
        <v>135.401749</v>
      </c>
      <c r="D95">
        <v>10575.620117</v>
      </c>
      <c r="E95">
        <f t="shared" si="4"/>
        <v>-3.3687205734257319E-2</v>
      </c>
      <c r="F95">
        <f t="shared" si="5"/>
        <v>-2.689652761765271E-2</v>
      </c>
    </row>
    <row r="96" spans="2:6">
      <c r="B96" s="114">
        <v>44823</v>
      </c>
      <c r="C96" s="121">
        <v>140.12207000000001</v>
      </c>
      <c r="D96" s="119">
        <v>10867.929688</v>
      </c>
      <c r="E96">
        <f t="shared" si="4"/>
        <v>-4.0194087259603717E-2</v>
      </c>
      <c r="F96">
        <f t="shared" si="5"/>
        <v>-5.0703214700311139E-2</v>
      </c>
    </row>
    <row r="97" spans="2:6">
      <c r="B97" s="114">
        <v>44816</v>
      </c>
      <c r="C97" s="122">
        <v>145.990005</v>
      </c>
      <c r="D97">
        <v>11448.400390999999</v>
      </c>
      <c r="E97">
        <f t="shared" si="4"/>
        <v>-0.13514626708668098</v>
      </c>
      <c r="F97">
        <f t="shared" si="5"/>
        <v>-5.4812765076974523E-2</v>
      </c>
    </row>
    <row r="98" spans="2:6">
      <c r="B98" s="114">
        <v>44809</v>
      </c>
      <c r="C98" s="121">
        <v>168.80311599999999</v>
      </c>
      <c r="D98" s="119">
        <v>12112.309569999999</v>
      </c>
      <c r="E98">
        <f t="shared" si="4"/>
        <v>5.5077233884322396E-2</v>
      </c>
      <c r="F98">
        <f t="shared" si="5"/>
        <v>4.1394119044444677E-2</v>
      </c>
    </row>
    <row r="99" spans="2:6">
      <c r="B99" s="114">
        <v>44802</v>
      </c>
      <c r="C99" s="122">
        <v>159.991241</v>
      </c>
      <c r="D99">
        <v>11630.860352</v>
      </c>
      <c r="E99">
        <f t="shared" si="4"/>
        <v>-9.0245702396684058E-3</v>
      </c>
      <c r="F99">
        <f t="shared" si="5"/>
        <v>-4.2073942685246557E-2</v>
      </c>
    </row>
    <row r="100" spans="2:6">
      <c r="B100" s="114">
        <v>44795</v>
      </c>
      <c r="C100" s="121">
        <v>161.44824199999999</v>
      </c>
      <c r="D100" s="119">
        <v>12141.709961</v>
      </c>
      <c r="E100">
        <f t="shared" si="4"/>
        <v>-3.6794481562780867E-2</v>
      </c>
      <c r="F100">
        <f t="shared" si="5"/>
        <v>-4.4352618695958412E-2</v>
      </c>
    </row>
    <row r="101" spans="2:6">
      <c r="B101" s="114">
        <v>44788</v>
      </c>
      <c r="C101" s="122">
        <v>167.61556999999999</v>
      </c>
      <c r="D101">
        <v>12705.219727</v>
      </c>
      <c r="E101">
        <f t="shared" si="4"/>
        <v>-6.9473670582930414E-2</v>
      </c>
      <c r="F101">
        <f t="shared" si="5"/>
        <v>-2.6210294456474825E-2</v>
      </c>
    </row>
    <row r="102" spans="2:6">
      <c r="B102" s="114">
        <v>44781</v>
      </c>
      <c r="C102" s="121">
        <v>180.129852</v>
      </c>
      <c r="D102" s="119">
        <v>13047.190430000001</v>
      </c>
      <c r="E102">
        <f t="shared" si="4"/>
        <v>8.0126911928293243E-2</v>
      </c>
      <c r="F102">
        <f t="shared" si="5"/>
        <v>3.0783258292697679E-2</v>
      </c>
    </row>
    <row r="103" spans="2:6">
      <c r="B103" s="114">
        <v>44774</v>
      </c>
      <c r="C103" s="122">
        <v>166.767303</v>
      </c>
      <c r="D103">
        <v>12657.549805000001</v>
      </c>
      <c r="E103">
        <f t="shared" si="4"/>
        <v>5.0345604058726456E-2</v>
      </c>
      <c r="F103">
        <f t="shared" si="5"/>
        <v>2.15370867755591E-2</v>
      </c>
    </row>
    <row r="104" spans="2:6">
      <c r="B104" s="114">
        <v>44767</v>
      </c>
      <c r="C104" s="121">
        <v>158.773743</v>
      </c>
      <c r="D104" s="119">
        <v>12390.690430000001</v>
      </c>
      <c r="E104">
        <f t="shared" si="4"/>
        <v>-6.0081493281650244E-2</v>
      </c>
      <c r="F104">
        <f t="shared" si="5"/>
        <v>4.7031847890951717E-2</v>
      </c>
    </row>
    <row r="105" spans="2:6">
      <c r="B105" s="114">
        <v>44760</v>
      </c>
      <c r="C105" s="122">
        <v>168.92288199999999</v>
      </c>
      <c r="D105">
        <v>11834.110352</v>
      </c>
      <c r="E105">
        <f t="shared" si="4"/>
        <v>2.7747479524555363E-2</v>
      </c>
      <c r="F105">
        <f t="shared" si="5"/>
        <v>3.3328364887038164E-2</v>
      </c>
    </row>
    <row r="106" spans="2:6">
      <c r="B106" s="114">
        <v>44753</v>
      </c>
      <c r="C106" s="121">
        <v>164.362244</v>
      </c>
      <c r="D106" s="119">
        <v>11452.419921999999</v>
      </c>
      <c r="E106">
        <f t="shared" si="4"/>
        <v>-3.6165739042610112E-2</v>
      </c>
      <c r="F106">
        <f t="shared" si="5"/>
        <v>-1.5718502967171144E-2</v>
      </c>
    </row>
    <row r="107" spans="2:6">
      <c r="B107" s="114">
        <v>44746</v>
      </c>
      <c r="C107" s="122">
        <v>170.529572</v>
      </c>
      <c r="D107">
        <v>11635.309569999999</v>
      </c>
      <c r="E107">
        <f t="shared" si="4"/>
        <v>6.7799850212095114E-2</v>
      </c>
      <c r="F107">
        <f t="shared" si="5"/>
        <v>4.5602697630777955E-2</v>
      </c>
    </row>
    <row r="108" spans="2:6">
      <c r="B108" s="114">
        <v>44739</v>
      </c>
      <c r="C108" s="121">
        <v>159.70181299999999</v>
      </c>
      <c r="D108" s="119">
        <v>11127.849609000001</v>
      </c>
      <c r="E108">
        <f t="shared" si="4"/>
        <v>-5.9532268365339092E-2</v>
      </c>
      <c r="F108">
        <f t="shared" si="5"/>
        <v>-4.133237504019871E-2</v>
      </c>
    </row>
    <row r="109" spans="2:6">
      <c r="B109" s="114">
        <v>44732</v>
      </c>
      <c r="C109" s="122">
        <v>169.81104999999999</v>
      </c>
      <c r="D109">
        <v>11607.620117</v>
      </c>
      <c r="E109">
        <f t="shared" si="4"/>
        <v>3.9208466958757349E-2</v>
      </c>
      <c r="F109">
        <f t="shared" si="5"/>
        <v>7.4943906921248749E-2</v>
      </c>
    </row>
    <row r="110" spans="2:6">
      <c r="B110" s="114">
        <v>44725</v>
      </c>
      <c r="C110" s="121">
        <v>163.40422100000001</v>
      </c>
      <c r="D110" s="119">
        <v>10798.349609000001</v>
      </c>
      <c r="E110">
        <f t="shared" si="4"/>
        <v>-6.7380529809032863E-2</v>
      </c>
      <c r="F110">
        <f t="shared" si="5"/>
        <v>-4.7766224786407685E-2</v>
      </c>
    </row>
    <row r="111" spans="2:6">
      <c r="B111" s="114">
        <v>44718</v>
      </c>
      <c r="C111" s="122">
        <v>175.20996099999999</v>
      </c>
      <c r="D111">
        <v>11340.019531</v>
      </c>
      <c r="E111">
        <f t="shared" si="4"/>
        <v>-7.972530395609545E-2</v>
      </c>
      <c r="F111">
        <f t="shared" si="5"/>
        <v>-5.5999836151822024E-2</v>
      </c>
    </row>
    <row r="112" spans="2:6">
      <c r="B112" s="114">
        <v>44711</v>
      </c>
      <c r="C112" s="121">
        <v>190.38876300000001</v>
      </c>
      <c r="D112" s="119">
        <v>12012.730469</v>
      </c>
      <c r="E112">
        <f t="shared" si="4"/>
        <v>-2.2292908979577253E-2</v>
      </c>
      <c r="F112">
        <f t="shared" si="5"/>
        <v>-9.7599659011086137E-3</v>
      </c>
    </row>
    <row r="113" spans="2:6">
      <c r="B113" s="114">
        <v>44704</v>
      </c>
      <c r="C113" s="122">
        <v>194.72985800000001</v>
      </c>
      <c r="D113">
        <v>12131.129883</v>
      </c>
      <c r="E113">
        <f t="shared" si="4"/>
        <v>8.2154683478021795E-3</v>
      </c>
      <c r="F113">
        <f t="shared" si="5"/>
        <v>6.8387119780204619E-2</v>
      </c>
    </row>
    <row r="114" spans="2:6">
      <c r="B114" s="114">
        <v>44697</v>
      </c>
      <c r="C114" s="121">
        <v>193.14309700000001</v>
      </c>
      <c r="D114" s="119">
        <v>11354.620117</v>
      </c>
      <c r="E114">
        <f t="shared" si="4"/>
        <v>-2.5576467038987638E-2</v>
      </c>
      <c r="F114">
        <f t="shared" si="5"/>
        <v>-3.8151620753917759E-2</v>
      </c>
    </row>
    <row r="115" spans="2:6">
      <c r="B115" s="114">
        <v>44690</v>
      </c>
      <c r="C115" s="122">
        <v>198.21267700000001</v>
      </c>
      <c r="D115">
        <v>11805</v>
      </c>
      <c r="E115">
        <f t="shared" si="4"/>
        <v>-2.5273647617169881E-2</v>
      </c>
      <c r="F115">
        <f t="shared" si="5"/>
        <v>-2.7967860083115803E-2</v>
      </c>
    </row>
    <row r="116" spans="2:6">
      <c r="B116" s="114">
        <v>44683</v>
      </c>
      <c r="C116" s="121">
        <v>203.352127</v>
      </c>
      <c r="D116" s="119">
        <v>12144.660156</v>
      </c>
      <c r="E116">
        <f t="shared" si="4"/>
        <v>1.6461292231744196E-2</v>
      </c>
      <c r="F116">
        <f t="shared" si="5"/>
        <v>-1.5402111242934002E-2</v>
      </c>
    </row>
    <row r="117" spans="2:6">
      <c r="B117" s="114">
        <v>44676</v>
      </c>
      <c r="C117" s="122">
        <v>200.058899</v>
      </c>
      <c r="D117">
        <v>12334.639648</v>
      </c>
      <c r="E117">
        <f t="shared" si="4"/>
        <v>8.8859987199756185E-2</v>
      </c>
      <c r="F117">
        <f t="shared" si="5"/>
        <v>-3.9305163250234032E-2</v>
      </c>
    </row>
    <row r="118" spans="2:6">
      <c r="B118" s="114">
        <v>44669</v>
      </c>
      <c r="C118" s="121">
        <v>183.732437</v>
      </c>
      <c r="D118" s="119">
        <v>12839.290039</v>
      </c>
      <c r="E118">
        <f t="shared" si="4"/>
        <v>-0.12403648986830262</v>
      </c>
      <c r="F118">
        <f t="shared" si="5"/>
        <v>-3.8333231170063375E-2</v>
      </c>
    </row>
    <row r="119" spans="2:6">
      <c r="B119" s="114">
        <v>44662</v>
      </c>
      <c r="C119" s="122">
        <v>209.74896200000001</v>
      </c>
      <c r="D119">
        <v>13351.080078000001</v>
      </c>
      <c r="E119">
        <f t="shared" si="4"/>
        <v>-5.4648598886064437E-2</v>
      </c>
      <c r="F119">
        <f t="shared" si="5"/>
        <v>-2.6250450149514881E-2</v>
      </c>
    </row>
    <row r="120" spans="2:6">
      <c r="B120" s="114">
        <v>44655</v>
      </c>
      <c r="C120" s="121">
        <v>221.87406899999999</v>
      </c>
      <c r="D120" s="119">
        <v>13711</v>
      </c>
      <c r="E120">
        <f t="shared" si="4"/>
        <v>-1.1207470551317544E-2</v>
      </c>
      <c r="F120">
        <f t="shared" si="5"/>
        <v>-3.8600427724993835E-2</v>
      </c>
    </row>
    <row r="121" spans="2:6">
      <c r="B121" s="114">
        <v>44648</v>
      </c>
      <c r="C121" s="122">
        <v>224.388901</v>
      </c>
      <c r="D121">
        <v>14261.5</v>
      </c>
      <c r="E121">
        <f t="shared" si="4"/>
        <v>1.3659736047295423E-2</v>
      </c>
      <c r="F121">
        <f t="shared" si="5"/>
        <v>6.5070396045585621E-3</v>
      </c>
    </row>
    <row r="122" spans="2:6">
      <c r="B122" s="114">
        <v>44641</v>
      </c>
      <c r="C122" s="121">
        <v>221.36511200000001</v>
      </c>
      <c r="D122" s="119">
        <v>14169.299805000001</v>
      </c>
      <c r="E122">
        <f t="shared" si="4"/>
        <v>2.4620104578081836E-2</v>
      </c>
      <c r="F122">
        <f t="shared" si="5"/>
        <v>1.9826049824444913E-2</v>
      </c>
    </row>
    <row r="123" spans="2:6">
      <c r="B123" s="114">
        <v>44634</v>
      </c>
      <c r="C123" s="122">
        <v>216.04603599999999</v>
      </c>
      <c r="D123">
        <v>13893.839844</v>
      </c>
      <c r="E123">
        <f t="shared" si="4"/>
        <v>0.15393632823040027</v>
      </c>
      <c r="F123">
        <f t="shared" si="5"/>
        <v>8.1753802738761872E-2</v>
      </c>
    </row>
    <row r="124" spans="2:6">
      <c r="B124" s="114">
        <v>44627</v>
      </c>
      <c r="C124" s="121">
        <v>187.225266</v>
      </c>
      <c r="D124" s="119">
        <v>12843.809569999999</v>
      </c>
      <c r="E124">
        <f t="shared" si="4"/>
        <v>-6.2231257134902296E-2</v>
      </c>
      <c r="F124">
        <f t="shared" si="5"/>
        <v>-3.5274943578201823E-2</v>
      </c>
    </row>
    <row r="125" spans="2:6">
      <c r="B125" s="114">
        <v>44620</v>
      </c>
      <c r="C125" s="122">
        <v>199.649719</v>
      </c>
      <c r="D125">
        <v>13313.440430000001</v>
      </c>
      <c r="E125">
        <f t="shared" si="4"/>
        <v>-4.9505914959438679E-2</v>
      </c>
      <c r="F125">
        <f t="shared" si="5"/>
        <v>-2.7834265116037593E-2</v>
      </c>
    </row>
    <row r="126" spans="2:6">
      <c r="B126" s="114">
        <v>44613</v>
      </c>
      <c r="C126" s="121">
        <v>210.04835499999999</v>
      </c>
      <c r="D126" s="119">
        <v>13694.620117</v>
      </c>
      <c r="E126">
        <f t="shared" si="4"/>
        <v>2.0954530407107486E-2</v>
      </c>
      <c r="F126">
        <f t="shared" si="5"/>
        <v>1.0817024167595113E-2</v>
      </c>
    </row>
    <row r="127" spans="2:6">
      <c r="B127" s="114">
        <v>44606</v>
      </c>
      <c r="C127" s="122">
        <v>205.73722799999999</v>
      </c>
      <c r="D127">
        <v>13548.070313</v>
      </c>
      <c r="E127">
        <f t="shared" si="4"/>
        <v>-6.0988354702092296E-2</v>
      </c>
      <c r="F127">
        <f t="shared" si="5"/>
        <v>-1.7625801409477115E-2</v>
      </c>
    </row>
    <row r="128" spans="2:6">
      <c r="B128" s="114">
        <v>44599</v>
      </c>
      <c r="C128" s="121">
        <v>219.099762</v>
      </c>
      <c r="D128" s="119">
        <v>13791.150390999999</v>
      </c>
      <c r="E128">
        <f t="shared" si="4"/>
        <v>-7.3980336494187227E-2</v>
      </c>
      <c r="F128">
        <f t="shared" si="5"/>
        <v>-2.1766148562334608E-2</v>
      </c>
    </row>
    <row r="129" spans="2:6">
      <c r="B129" s="114">
        <v>44592</v>
      </c>
      <c r="C129" s="122">
        <v>236.60379</v>
      </c>
      <c r="D129">
        <v>14098.009765999999</v>
      </c>
      <c r="E129">
        <f t="shared" si="4"/>
        <v>-0.21417919651594819</v>
      </c>
      <c r="F129">
        <f t="shared" si="5"/>
        <v>2.3778205663049556E-2</v>
      </c>
    </row>
    <row r="130" spans="2:6">
      <c r="B130" s="114">
        <v>44585</v>
      </c>
      <c r="C130" s="121">
        <v>301.09127799999999</v>
      </c>
      <c r="D130" s="119">
        <v>13770.570313</v>
      </c>
      <c r="E130">
        <f t="shared" si="4"/>
        <v>-4.8157636355287137E-3</v>
      </c>
      <c r="F130">
        <f t="shared" si="5"/>
        <v>1.1986350486092867E-4</v>
      </c>
    </row>
    <row r="131" spans="2:6">
      <c r="B131" s="114">
        <v>44578</v>
      </c>
      <c r="C131" s="122">
        <v>302.54827899999998</v>
      </c>
      <c r="D131">
        <v>13768.919921999999</v>
      </c>
      <c r="E131">
        <f t="shared" si="4"/>
        <v>-8.6562213633889051E-2</v>
      </c>
      <c r="F131">
        <f t="shared" si="5"/>
        <v>-7.552363091900971E-2</v>
      </c>
    </row>
    <row r="132" spans="2:6">
      <c r="B132" s="114">
        <v>44571</v>
      </c>
      <c r="C132" s="121">
        <v>331.21935999999999</v>
      </c>
      <c r="D132" s="119">
        <v>14893.75</v>
      </c>
      <c r="E132">
        <f t="shared" si="4"/>
        <v>3.315246783746062E-4</v>
      </c>
      <c r="F132">
        <f t="shared" si="5"/>
        <v>-2.8220857060212712E-3</v>
      </c>
    </row>
    <row r="133" spans="2:6">
      <c r="B133" s="114">
        <v>44564</v>
      </c>
      <c r="C133" s="122">
        <v>331.10958900000003</v>
      </c>
      <c r="D133">
        <v>14935.900390999999</v>
      </c>
      <c r="E133">
        <f t="shared" si="4"/>
        <v>-1.3557336703153511E-2</v>
      </c>
      <c r="F133">
        <f t="shared" si="5"/>
        <v>-4.5322512499100132E-2</v>
      </c>
    </row>
    <row r="134" spans="2:6">
      <c r="B134" s="114">
        <v>44557</v>
      </c>
      <c r="C134" s="121">
        <v>335.66024800000002</v>
      </c>
      <c r="D134" s="119">
        <v>15644.969727</v>
      </c>
      <c r="E134">
        <f t="shared" si="4"/>
        <v>3.3110705508627714E-3</v>
      </c>
      <c r="F134">
        <f t="shared" si="5"/>
        <v>-5.3665057027418861E-4</v>
      </c>
    </row>
    <row r="135" spans="2:6">
      <c r="B135" s="114">
        <v>44550</v>
      </c>
      <c r="C135" s="122">
        <v>334.55252100000001</v>
      </c>
      <c r="D135">
        <v>15653.370117</v>
      </c>
      <c r="E135">
        <f t="shared" si="4"/>
        <v>4.3440351610646299E-3</v>
      </c>
      <c r="F135">
        <f t="shared" si="5"/>
        <v>3.1885342271440686E-2</v>
      </c>
    </row>
    <row r="136" spans="2:6">
      <c r="B136" s="114">
        <v>44543</v>
      </c>
      <c r="C136" s="121">
        <v>333.10549900000001</v>
      </c>
      <c r="D136" s="119">
        <v>15169.679688</v>
      </c>
      <c r="E136">
        <f t="shared" si="4"/>
        <v>1.2251775977969892E-2</v>
      </c>
      <c r="F136">
        <f t="shared" si="5"/>
        <v>-2.9488307072660591E-2</v>
      </c>
    </row>
    <row r="137" spans="2:6">
      <c r="B137" s="114">
        <v>44536</v>
      </c>
      <c r="C137" s="122">
        <v>329.07376099999999</v>
      </c>
      <c r="D137">
        <v>15630.599609000001</v>
      </c>
      <c r="E137">
        <f t="shared" ref="E137:E200" si="6">C137/C138-1</f>
        <v>7.4664284978051443E-2</v>
      </c>
      <c r="F137">
        <f t="shared" ref="F137:F200" si="7">D137/D138-1</f>
        <v>3.6136089353871803E-2</v>
      </c>
    </row>
    <row r="138" spans="2:6">
      <c r="B138" s="114">
        <v>44529</v>
      </c>
      <c r="C138" s="121">
        <v>306.21075400000001</v>
      </c>
      <c r="D138" s="119">
        <v>15085.469727</v>
      </c>
      <c r="E138">
        <f t="shared" si="6"/>
        <v>-7.8890484884529655E-2</v>
      </c>
      <c r="F138">
        <f t="shared" si="7"/>
        <v>-2.6219941885484821E-2</v>
      </c>
    </row>
    <row r="139" spans="2:6">
      <c r="B139" s="114">
        <v>44522</v>
      </c>
      <c r="C139" s="122">
        <v>332.43685900000003</v>
      </c>
      <c r="D139">
        <v>15491.660156</v>
      </c>
      <c r="E139">
        <f t="shared" si="6"/>
        <v>-3.5273610556404877E-2</v>
      </c>
      <c r="F139">
        <f t="shared" si="7"/>
        <v>-3.523477334176861E-2</v>
      </c>
    </row>
    <row r="140" spans="2:6">
      <c r="B140" s="114">
        <v>44515</v>
      </c>
      <c r="C140" s="121">
        <v>344.591858</v>
      </c>
      <c r="D140" s="119">
        <v>16057.440430000001</v>
      </c>
      <c r="E140">
        <f t="shared" si="6"/>
        <v>1.293667692798306E-2</v>
      </c>
      <c r="F140">
        <f t="shared" si="7"/>
        <v>1.2387678266833735E-2</v>
      </c>
    </row>
    <row r="141" spans="2:6">
      <c r="B141" s="114">
        <v>44508</v>
      </c>
      <c r="C141" s="122">
        <v>340.19091800000001</v>
      </c>
      <c r="D141">
        <v>15860.959961</v>
      </c>
      <c r="E141">
        <f t="shared" si="6"/>
        <v>-7.0361508496086245E-4</v>
      </c>
      <c r="F141">
        <f t="shared" si="7"/>
        <v>-6.9266669179812723E-3</v>
      </c>
    </row>
    <row r="142" spans="2:6">
      <c r="B142" s="114">
        <v>44501</v>
      </c>
      <c r="C142" s="121">
        <v>340.43045000000001</v>
      </c>
      <c r="D142" s="119">
        <v>15971.589844</v>
      </c>
      <c r="E142">
        <f t="shared" si="6"/>
        <v>5.426964349143204E-2</v>
      </c>
      <c r="F142">
        <f t="shared" si="7"/>
        <v>3.0532217007530393E-2</v>
      </c>
    </row>
    <row r="143" spans="2:6">
      <c r="B143" s="114">
        <v>44494</v>
      </c>
      <c r="C143" s="122">
        <v>322.90643299999999</v>
      </c>
      <c r="D143">
        <v>15498.389648</v>
      </c>
      <c r="E143">
        <f t="shared" si="6"/>
        <v>-3.2038593794695425E-3</v>
      </c>
      <c r="F143">
        <f t="shared" si="7"/>
        <v>2.7049969365896764E-2</v>
      </c>
    </row>
    <row r="144" spans="2:6">
      <c r="B144" s="114">
        <v>44487</v>
      </c>
      <c r="C144" s="121">
        <v>323.94430499999999</v>
      </c>
      <c r="D144" s="119">
        <v>15090.200194999999</v>
      </c>
      <c r="E144">
        <f t="shared" si="6"/>
        <v>-4.6196470299009196E-4</v>
      </c>
      <c r="F144">
        <f t="shared" si="7"/>
        <v>1.2945959011445574E-2</v>
      </c>
    </row>
    <row r="145" spans="2:6">
      <c r="B145" s="114">
        <v>44480</v>
      </c>
      <c r="C145" s="122">
        <v>324.09402499999999</v>
      </c>
      <c r="D145">
        <v>14897.339844</v>
      </c>
      <c r="E145">
        <f t="shared" si="6"/>
        <v>-1.6027850768864593E-2</v>
      </c>
      <c r="F145">
        <f t="shared" si="7"/>
        <v>2.1797656452116509E-2</v>
      </c>
    </row>
    <row r="146" spans="2:6">
      <c r="B146" s="114">
        <v>44473</v>
      </c>
      <c r="C146" s="121">
        <v>329.37316900000002</v>
      </c>
      <c r="D146" s="119">
        <v>14579.540039</v>
      </c>
      <c r="E146">
        <f t="shared" si="6"/>
        <v>-3.7783205530269925E-2</v>
      </c>
      <c r="F146">
        <f t="shared" si="7"/>
        <v>8.8145179265830542E-4</v>
      </c>
    </row>
    <row r="147" spans="2:6">
      <c r="B147" s="114">
        <v>44466</v>
      </c>
      <c r="C147" s="122">
        <v>342.30660999999998</v>
      </c>
      <c r="D147">
        <v>14566.700194999999</v>
      </c>
      <c r="E147">
        <f t="shared" si="6"/>
        <v>-2.8190080055831679E-2</v>
      </c>
      <c r="F147">
        <f t="shared" si="7"/>
        <v>-3.1965017495485748E-2</v>
      </c>
    </row>
    <row r="148" spans="2:6">
      <c r="B148" s="114">
        <v>44459</v>
      </c>
      <c r="C148" s="121">
        <v>352.236176</v>
      </c>
      <c r="D148" s="119">
        <v>15047.700194999999</v>
      </c>
      <c r="E148">
        <f t="shared" si="6"/>
        <v>-3.2243957088620268E-2</v>
      </c>
      <c r="F148">
        <f t="shared" si="7"/>
        <v>2.4797098556406105E-4</v>
      </c>
    </row>
    <row r="149" spans="2:6">
      <c r="B149" s="114">
        <v>44452</v>
      </c>
      <c r="C149" s="122">
        <v>363.97207600000002</v>
      </c>
      <c r="D149">
        <v>15043.969727</v>
      </c>
      <c r="E149">
        <f t="shared" si="6"/>
        <v>-3.689031716899438E-2</v>
      </c>
      <c r="F149">
        <f t="shared" si="7"/>
        <v>-4.7316035333824225E-3</v>
      </c>
    </row>
    <row r="150" spans="2:6">
      <c r="B150" s="114">
        <v>44445</v>
      </c>
      <c r="C150" s="121">
        <v>377.91342200000003</v>
      </c>
      <c r="D150" s="119">
        <v>15115.490234000001</v>
      </c>
      <c r="E150">
        <f t="shared" si="6"/>
        <v>6.4583059839533608E-3</v>
      </c>
      <c r="F150">
        <f t="shared" si="7"/>
        <v>-1.6144041506865214E-2</v>
      </c>
    </row>
    <row r="151" spans="2:6">
      <c r="B151" s="114">
        <v>44438</v>
      </c>
      <c r="C151" s="122">
        <v>375.48840300000001</v>
      </c>
      <c r="D151">
        <v>15363.519531</v>
      </c>
      <c r="E151">
        <f t="shared" si="6"/>
        <v>9.7415722597486987E-3</v>
      </c>
      <c r="F151">
        <f t="shared" si="7"/>
        <v>1.5467763706665805E-2</v>
      </c>
    </row>
    <row r="152" spans="2:6">
      <c r="B152" s="114">
        <v>44431</v>
      </c>
      <c r="C152" s="121">
        <v>371.86584499999998</v>
      </c>
      <c r="D152" s="119">
        <v>15129.5</v>
      </c>
      <c r="E152">
        <f t="shared" si="6"/>
        <v>3.6897937559158267E-2</v>
      </c>
      <c r="F152">
        <f t="shared" si="7"/>
        <v>2.8192281683844911E-2</v>
      </c>
    </row>
    <row r="153" spans="2:6">
      <c r="B153" s="114">
        <v>44424</v>
      </c>
      <c r="C153" s="122">
        <v>358.63302599999997</v>
      </c>
      <c r="D153">
        <v>14714.660156</v>
      </c>
      <c r="E153">
        <f t="shared" si="6"/>
        <v>-1.0490661184682781E-2</v>
      </c>
      <c r="F153">
        <f t="shared" si="7"/>
        <v>-7.3022304774927882E-3</v>
      </c>
    </row>
    <row r="154" spans="2:6">
      <c r="B154" s="114">
        <v>44417</v>
      </c>
      <c r="C154" s="121">
        <v>362.43521099999998</v>
      </c>
      <c r="D154" s="119">
        <v>14822.900390999999</v>
      </c>
      <c r="E154">
        <f t="shared" si="6"/>
        <v>-9.0787810894121801E-4</v>
      </c>
      <c r="F154">
        <f t="shared" si="7"/>
        <v>-8.6678236927717478E-4</v>
      </c>
    </row>
    <row r="155" spans="2:6">
      <c r="B155" s="114">
        <v>44410</v>
      </c>
      <c r="C155" s="122">
        <v>362.76455700000002</v>
      </c>
      <c r="D155">
        <v>14835.759765999999</v>
      </c>
      <c r="E155">
        <f t="shared" si="6"/>
        <v>2.0235774774459259E-2</v>
      </c>
      <c r="F155">
        <f t="shared" si="7"/>
        <v>1.1114539502513177E-2</v>
      </c>
    </row>
    <row r="156" spans="2:6">
      <c r="B156" s="114">
        <v>44403</v>
      </c>
      <c r="C156" s="121">
        <v>355.56933600000002</v>
      </c>
      <c r="D156" s="119">
        <v>14672.679688</v>
      </c>
      <c r="E156">
        <f t="shared" si="6"/>
        <v>-3.6480177282992354E-2</v>
      </c>
      <c r="F156">
        <f t="shared" si="7"/>
        <v>-1.1074385263358244E-2</v>
      </c>
    </row>
    <row r="157" spans="2:6">
      <c r="B157" s="114">
        <v>44396</v>
      </c>
      <c r="C157" s="122">
        <v>369.031677</v>
      </c>
      <c r="D157">
        <v>14836.990234000001</v>
      </c>
      <c r="E157">
        <f t="shared" si="6"/>
        <v>8.3919568933816802E-2</v>
      </c>
      <c r="F157">
        <f t="shared" si="7"/>
        <v>2.8401135168898195E-2</v>
      </c>
    </row>
    <row r="158" spans="2:6">
      <c r="B158" s="114">
        <v>44389</v>
      </c>
      <c r="C158" s="121">
        <v>340.46038800000002</v>
      </c>
      <c r="D158" s="119">
        <v>14427.240234000001</v>
      </c>
      <c r="E158">
        <f t="shared" si="6"/>
        <v>-2.6425480644893806E-2</v>
      </c>
      <c r="F158">
        <f t="shared" si="7"/>
        <v>-1.8683252898756941E-2</v>
      </c>
    </row>
    <row r="159" spans="2:6">
      <c r="B159" s="114">
        <v>44382</v>
      </c>
      <c r="C159" s="122">
        <v>349.70141599999999</v>
      </c>
      <c r="D159">
        <v>14701.919921999999</v>
      </c>
      <c r="E159">
        <f t="shared" si="6"/>
        <v>-1.2066498046094609E-2</v>
      </c>
      <c r="F159">
        <f t="shared" si="7"/>
        <v>4.2754582119886031E-3</v>
      </c>
    </row>
    <row r="160" spans="2:6">
      <c r="B160" s="114">
        <v>44375</v>
      </c>
      <c r="C160" s="121">
        <v>353.97262599999999</v>
      </c>
      <c r="D160" s="119">
        <v>14639.330078000001</v>
      </c>
      <c r="E160">
        <f t="shared" si="6"/>
        <v>3.9048568627502389E-2</v>
      </c>
      <c r="F160">
        <f t="shared" si="7"/>
        <v>1.9424293966762152E-2</v>
      </c>
    </row>
    <row r="161" spans="2:6">
      <c r="B161" s="114">
        <v>44368</v>
      </c>
      <c r="C161" s="122">
        <v>340.66995200000002</v>
      </c>
      <c r="D161">
        <v>14360.389648</v>
      </c>
      <c r="E161">
        <f t="shared" si="6"/>
        <v>3.5521502100765101E-2</v>
      </c>
      <c r="F161">
        <f t="shared" si="7"/>
        <v>2.3521085512435702E-2</v>
      </c>
    </row>
    <row r="162" spans="2:6">
      <c r="B162" s="114">
        <v>44361</v>
      </c>
      <c r="C162" s="121">
        <v>328.983948</v>
      </c>
      <c r="D162" s="119">
        <v>14030.379883</v>
      </c>
      <c r="E162">
        <f t="shared" si="6"/>
        <v>-4.8301067121017116E-3</v>
      </c>
      <c r="F162">
        <f t="shared" si="7"/>
        <v>-2.7748151108173413E-3</v>
      </c>
    </row>
    <row r="163" spans="2:6">
      <c r="B163" s="114">
        <v>44354</v>
      </c>
      <c r="C163" s="122">
        <v>330.58068800000001</v>
      </c>
      <c r="D163">
        <v>14069.419921999999</v>
      </c>
      <c r="E163">
        <f t="shared" si="6"/>
        <v>2.7546788806611655E-3</v>
      </c>
      <c r="F163">
        <f t="shared" si="7"/>
        <v>1.8453789005733245E-2</v>
      </c>
    </row>
    <row r="164" spans="2:6">
      <c r="B164" s="114">
        <v>44347</v>
      </c>
      <c r="C164" s="121">
        <v>329.67254600000001</v>
      </c>
      <c r="D164" s="119">
        <v>13814.490234000001</v>
      </c>
      <c r="E164">
        <f t="shared" si="6"/>
        <v>4.9280263162971849E-3</v>
      </c>
      <c r="F164">
        <f t="shared" si="7"/>
        <v>4.7822563290127462E-3</v>
      </c>
    </row>
    <row r="165" spans="2:6">
      <c r="B165" s="114">
        <v>44340</v>
      </c>
      <c r="C165" s="122">
        <v>328.05587800000001</v>
      </c>
      <c r="D165">
        <v>13748.740234000001</v>
      </c>
      <c r="E165">
        <f t="shared" si="6"/>
        <v>3.952819010512898E-2</v>
      </c>
      <c r="F165">
        <f t="shared" si="7"/>
        <v>2.0618380325076346E-2</v>
      </c>
    </row>
    <row r="166" spans="2:6">
      <c r="B166" s="114">
        <v>44333</v>
      </c>
      <c r="C166" s="121">
        <v>315.58151199999998</v>
      </c>
      <c r="D166" s="119">
        <v>13470.990234000001</v>
      </c>
      <c r="E166">
        <f t="shared" si="6"/>
        <v>9.1796786119124896E-4</v>
      </c>
      <c r="F166">
        <f t="shared" si="7"/>
        <v>3.0535982605977008E-3</v>
      </c>
    </row>
    <row r="167" spans="2:6">
      <c r="B167" s="114">
        <v>44326</v>
      </c>
      <c r="C167" s="122">
        <v>315.29208399999999</v>
      </c>
      <c r="D167">
        <v>13429.980469</v>
      </c>
      <c r="E167">
        <f t="shared" si="6"/>
        <v>-9.8407436921480462E-3</v>
      </c>
      <c r="F167">
        <f t="shared" si="7"/>
        <v>-2.3433255928970054E-2</v>
      </c>
    </row>
    <row r="168" spans="2:6">
      <c r="B168" s="114">
        <v>44319</v>
      </c>
      <c r="C168" s="121">
        <v>318.42562900000001</v>
      </c>
      <c r="D168" s="119">
        <v>13752.240234000001</v>
      </c>
      <c r="E168">
        <f t="shared" si="6"/>
        <v>-1.8457012848392962E-2</v>
      </c>
      <c r="F168">
        <f t="shared" si="7"/>
        <v>-1.5071566397162117E-2</v>
      </c>
    </row>
    <row r="169" spans="2:6">
      <c r="B169" s="114">
        <v>44312</v>
      </c>
      <c r="C169" s="122">
        <v>324.41332999999997</v>
      </c>
      <c r="D169">
        <v>13962.679688</v>
      </c>
      <c r="E169">
        <f t="shared" si="6"/>
        <v>7.9533628157248959E-2</v>
      </c>
      <c r="F169">
        <f t="shared" si="7"/>
        <v>-3.8617833630166798E-3</v>
      </c>
    </row>
    <row r="170" spans="2:6">
      <c r="B170" s="114">
        <v>44305</v>
      </c>
      <c r="C170" s="121">
        <v>300.51248199999998</v>
      </c>
      <c r="D170" s="119">
        <v>14016.809569999999</v>
      </c>
      <c r="E170">
        <f t="shared" si="6"/>
        <v>-1.6493559049846507E-2</v>
      </c>
      <c r="F170">
        <f t="shared" si="7"/>
        <v>-2.5284240485523579E-3</v>
      </c>
    </row>
    <row r="171" spans="2:6">
      <c r="B171" s="114">
        <v>44298</v>
      </c>
      <c r="C171" s="122">
        <v>305.55212399999999</v>
      </c>
      <c r="D171">
        <v>14052.339844</v>
      </c>
      <c r="E171">
        <f t="shared" si="6"/>
        <v>-2.0098472828553815E-2</v>
      </c>
      <c r="F171">
        <f t="shared" si="7"/>
        <v>1.0945851049034783E-2</v>
      </c>
    </row>
    <row r="172" spans="2:6">
      <c r="B172" s="114">
        <v>44291</v>
      </c>
      <c r="C172" s="121">
        <v>311.81921399999999</v>
      </c>
      <c r="D172" s="119">
        <v>13900.190430000001</v>
      </c>
      <c r="E172">
        <f t="shared" si="6"/>
        <v>4.6206278779426624E-2</v>
      </c>
      <c r="F172">
        <f t="shared" si="7"/>
        <v>3.1162955423259975E-2</v>
      </c>
    </row>
    <row r="173" spans="2:6">
      <c r="B173" s="114">
        <v>44284</v>
      </c>
      <c r="C173" s="122">
        <v>298.04754600000001</v>
      </c>
      <c r="D173">
        <v>13480.110352</v>
      </c>
      <c r="E173">
        <f t="shared" si="6"/>
        <v>5.5261274911633906E-2</v>
      </c>
      <c r="F173">
        <f t="shared" si="7"/>
        <v>2.5982714525232486E-2</v>
      </c>
    </row>
    <row r="174" spans="2:6">
      <c r="B174" s="114">
        <v>44277</v>
      </c>
      <c r="C174" s="121">
        <v>282.43957499999999</v>
      </c>
      <c r="D174" s="119">
        <v>13138.730469</v>
      </c>
      <c r="E174">
        <f t="shared" si="6"/>
        <v>-2.443904081046977E-2</v>
      </c>
      <c r="F174">
        <f t="shared" si="7"/>
        <v>-5.7895099631376512E-3</v>
      </c>
    </row>
    <row r="175" spans="2:6">
      <c r="B175" s="114">
        <v>44270</v>
      </c>
      <c r="C175" s="122">
        <v>289.51504499999999</v>
      </c>
      <c r="D175">
        <v>13215.240234000001</v>
      </c>
      <c r="E175">
        <f t="shared" si="6"/>
        <v>8.0886690510721282E-2</v>
      </c>
      <c r="F175">
        <f t="shared" si="7"/>
        <v>-7.8544455598807961E-3</v>
      </c>
    </row>
    <row r="176" spans="2:6">
      <c r="B176" s="114">
        <v>44263</v>
      </c>
      <c r="C176" s="121">
        <v>267.84957900000001</v>
      </c>
      <c r="D176" s="119">
        <v>13319.860352</v>
      </c>
      <c r="E176">
        <f t="shared" si="6"/>
        <v>1.558949193210224E-2</v>
      </c>
      <c r="F176">
        <f t="shared" si="7"/>
        <v>3.0936943371683512E-2</v>
      </c>
    </row>
    <row r="177" spans="2:6">
      <c r="B177" s="114">
        <v>44256</v>
      </c>
      <c r="C177" s="122">
        <v>263.73803700000002</v>
      </c>
      <c r="D177">
        <v>12920.150390999999</v>
      </c>
      <c r="E177">
        <f t="shared" si="6"/>
        <v>2.585198927363308E-2</v>
      </c>
      <c r="F177">
        <f t="shared" si="7"/>
        <v>-2.0633111315842001E-2</v>
      </c>
    </row>
    <row r="178" spans="2:6">
      <c r="B178" s="114">
        <v>44249</v>
      </c>
      <c r="C178" s="121">
        <v>257.09170499999999</v>
      </c>
      <c r="D178" s="119">
        <v>13192.349609000001</v>
      </c>
      <c r="E178">
        <f t="shared" si="6"/>
        <v>-1.5063448989545702E-2</v>
      </c>
      <c r="F178">
        <f t="shared" si="7"/>
        <v>-4.9163019960225984E-2</v>
      </c>
    </row>
    <row r="179" spans="2:6">
      <c r="B179" s="114">
        <v>44242</v>
      </c>
      <c r="C179" s="122">
        <v>261.02362099999999</v>
      </c>
      <c r="D179">
        <v>13874.459961</v>
      </c>
      <c r="E179">
        <f t="shared" si="6"/>
        <v>-3.3049886754457303E-2</v>
      </c>
      <c r="F179">
        <f t="shared" si="7"/>
        <v>-1.5679489245871148E-2</v>
      </c>
    </row>
    <row r="180" spans="2:6">
      <c r="B180" s="114">
        <v>44235</v>
      </c>
      <c r="C180" s="121">
        <v>269.94528200000002</v>
      </c>
      <c r="D180" s="119">
        <v>14095.469727</v>
      </c>
      <c r="E180">
        <f t="shared" si="6"/>
        <v>8.9518938541182091E-3</v>
      </c>
      <c r="F180">
        <f t="shared" si="7"/>
        <v>1.7260735215450129E-2</v>
      </c>
    </row>
    <row r="181" spans="2:6">
      <c r="B181" s="114">
        <v>44228</v>
      </c>
      <c r="C181" s="122">
        <v>267.55020100000002</v>
      </c>
      <c r="D181">
        <v>13856.299805000001</v>
      </c>
      <c r="E181">
        <f t="shared" si="6"/>
        <v>3.7819861232708307E-2</v>
      </c>
      <c r="F181">
        <f t="shared" si="7"/>
        <v>6.0104657761372637E-2</v>
      </c>
    </row>
    <row r="182" spans="2:6">
      <c r="B182" s="114">
        <v>44221</v>
      </c>
      <c r="C182" s="121">
        <v>257.80023199999999</v>
      </c>
      <c r="D182" s="119">
        <v>13070.690430000001</v>
      </c>
      <c r="E182">
        <f t="shared" si="6"/>
        <v>-5.8907108933006658E-2</v>
      </c>
      <c r="F182">
        <f t="shared" si="7"/>
        <v>-3.4879056505545458E-2</v>
      </c>
    </row>
    <row r="183" spans="2:6">
      <c r="B183" s="114">
        <v>44214</v>
      </c>
      <c r="C183" s="122">
        <v>273.937073</v>
      </c>
      <c r="D183">
        <v>13543.059569999999</v>
      </c>
      <c r="E183">
        <f t="shared" si="6"/>
        <v>9.205912842999342E-2</v>
      </c>
      <c r="F183">
        <f t="shared" si="7"/>
        <v>4.1894031619032823E-2</v>
      </c>
    </row>
    <row r="184" spans="2:6">
      <c r="B184" s="114">
        <v>44207</v>
      </c>
      <c r="C184" s="121">
        <v>250.84454299999999</v>
      </c>
      <c r="D184" s="119">
        <v>12998.5</v>
      </c>
      <c r="E184">
        <f t="shared" si="6"/>
        <v>-6.0582169875148306E-2</v>
      </c>
      <c r="F184">
        <f t="shared" si="7"/>
        <v>-1.5412874566645418E-2</v>
      </c>
    </row>
    <row r="185" spans="2:6">
      <c r="B185" s="114">
        <v>44200</v>
      </c>
      <c r="C185" s="122">
        <v>267.02127100000001</v>
      </c>
      <c r="D185">
        <v>13201.980469</v>
      </c>
      <c r="E185">
        <f t="shared" si="6"/>
        <v>-2.0464253933136223E-2</v>
      </c>
      <c r="F185">
        <f t="shared" si="7"/>
        <v>2.4339957647971033E-2</v>
      </c>
    </row>
    <row r="186" spans="2:6">
      <c r="B186" s="114">
        <v>44193</v>
      </c>
      <c r="C186" s="121">
        <v>272.59982300000001</v>
      </c>
      <c r="D186" s="119">
        <v>12888.280273</v>
      </c>
      <c r="E186">
        <f t="shared" si="6"/>
        <v>2.1540805762531257E-2</v>
      </c>
      <c r="F186">
        <f t="shared" si="7"/>
        <v>6.524917037673994E-3</v>
      </c>
    </row>
    <row r="187" spans="2:6">
      <c r="B187" s="114">
        <v>44186</v>
      </c>
      <c r="C187" s="122">
        <v>266.85162400000002</v>
      </c>
      <c r="D187">
        <v>12804.730469</v>
      </c>
      <c r="E187">
        <f t="shared" si="6"/>
        <v>-3.2561480280326016E-2</v>
      </c>
      <c r="F187">
        <f t="shared" si="7"/>
        <v>3.8485581558191928E-3</v>
      </c>
    </row>
    <row r="188" spans="2:6">
      <c r="B188" s="114">
        <v>44179</v>
      </c>
      <c r="C188" s="121">
        <v>275.83316000000002</v>
      </c>
      <c r="D188" s="119">
        <v>12755.639648</v>
      </c>
      <c r="E188">
        <f t="shared" si="6"/>
        <v>1.0418536476343387E-2</v>
      </c>
      <c r="F188">
        <f t="shared" si="7"/>
        <v>3.0519752383018073E-2</v>
      </c>
    </row>
    <row r="189" spans="2:6">
      <c r="B189" s="114">
        <v>44172</v>
      </c>
      <c r="C189" s="122">
        <v>272.989014</v>
      </c>
      <c r="D189">
        <v>12377.870117</v>
      </c>
      <c r="E189">
        <f t="shared" si="6"/>
        <v>-2.1987956898414041E-2</v>
      </c>
      <c r="F189">
        <f t="shared" si="7"/>
        <v>-6.9286549390102925E-3</v>
      </c>
    </row>
    <row r="190" spans="2:6">
      <c r="B190" s="114">
        <v>44165</v>
      </c>
      <c r="C190" s="121">
        <v>279.12643400000002</v>
      </c>
      <c r="D190" s="119">
        <v>12464.230469</v>
      </c>
      <c r="E190">
        <f t="shared" si="6"/>
        <v>6.8032642946076471E-3</v>
      </c>
      <c r="F190">
        <f t="shared" si="7"/>
        <v>2.1168609173218167E-2</v>
      </c>
    </row>
    <row r="191" spans="2:6">
      <c r="B191" s="114">
        <v>44158</v>
      </c>
      <c r="C191" s="122">
        <v>277.240295</v>
      </c>
      <c r="D191">
        <v>12205.849609000001</v>
      </c>
      <c r="E191">
        <f t="shared" si="6"/>
        <v>3.00705029080921E-2</v>
      </c>
      <c r="F191">
        <f t="shared" si="7"/>
        <v>2.9597703754642435E-2</v>
      </c>
    </row>
    <row r="192" spans="2:6">
      <c r="B192" s="114">
        <v>44151</v>
      </c>
      <c r="C192" s="121">
        <v>269.14691199999999</v>
      </c>
      <c r="D192" s="119">
        <v>11854.969727</v>
      </c>
      <c r="E192">
        <f t="shared" si="6"/>
        <v>-2.6178137164319715E-2</v>
      </c>
      <c r="F192">
        <f t="shared" si="7"/>
        <v>2.1708562318902835E-3</v>
      </c>
    </row>
    <row r="193" spans="2:6">
      <c r="B193" s="114">
        <v>44144</v>
      </c>
      <c r="C193" s="122">
        <v>276.38207999999997</v>
      </c>
      <c r="D193">
        <v>11829.290039</v>
      </c>
      <c r="E193">
        <f t="shared" si="6"/>
        <v>-5.6098949155881095E-2</v>
      </c>
      <c r="F193">
        <f t="shared" si="7"/>
        <v>-5.5434344186812146E-3</v>
      </c>
    </row>
    <row r="194" spans="2:6">
      <c r="B194" s="114">
        <v>44137</v>
      </c>
      <c r="C194" s="121">
        <v>292.80831899999998</v>
      </c>
      <c r="D194" s="119">
        <v>11895.230469</v>
      </c>
      <c r="E194">
        <f t="shared" si="6"/>
        <v>0.11516117025892991</v>
      </c>
      <c r="F194">
        <f t="shared" si="7"/>
        <v>9.014640754123282E-2</v>
      </c>
    </row>
    <row r="195" spans="2:6">
      <c r="B195" s="114">
        <v>44130</v>
      </c>
      <c r="C195" s="122">
        <v>262.570404</v>
      </c>
      <c r="D195">
        <v>10911.589844</v>
      </c>
      <c r="E195">
        <f t="shared" si="6"/>
        <v>-7.6126438065201363E-2</v>
      </c>
      <c r="F195">
        <f t="shared" si="7"/>
        <v>-5.5132921434942084E-2</v>
      </c>
    </row>
    <row r="196" spans="2:6">
      <c r="B196" s="114">
        <v>44123</v>
      </c>
      <c r="C196" s="121">
        <v>284.20599399999998</v>
      </c>
      <c r="D196" s="119">
        <v>11548.280273</v>
      </c>
      <c r="E196">
        <f t="shared" si="6"/>
        <v>7.0921021338371082E-2</v>
      </c>
      <c r="F196">
        <f t="shared" si="7"/>
        <v>-1.0562367116462301E-2</v>
      </c>
    </row>
    <row r="197" spans="2:6">
      <c r="B197" s="114">
        <v>44116</v>
      </c>
      <c r="C197" s="122">
        <v>265.38464399999998</v>
      </c>
      <c r="D197">
        <v>11671.559569999999</v>
      </c>
      <c r="E197">
        <f t="shared" si="6"/>
        <v>5.5963843269983826E-3</v>
      </c>
      <c r="F197">
        <f t="shared" si="7"/>
        <v>7.9118835328930714E-3</v>
      </c>
    </row>
    <row r="198" spans="2:6">
      <c r="B198" s="114">
        <v>44109</v>
      </c>
      <c r="C198" s="121">
        <v>263.907715</v>
      </c>
      <c r="D198" s="119">
        <v>11579.940430000001</v>
      </c>
      <c r="E198">
        <f t="shared" si="6"/>
        <v>1.735032350967991E-2</v>
      </c>
      <c r="F198">
        <f t="shared" si="7"/>
        <v>4.5590971427786675E-2</v>
      </c>
    </row>
    <row r="199" spans="2:6">
      <c r="B199" s="114">
        <v>44102</v>
      </c>
      <c r="C199" s="122">
        <v>259.40692100000001</v>
      </c>
      <c r="D199">
        <v>11075.019531</v>
      </c>
      <c r="E199">
        <f t="shared" si="6"/>
        <v>2.0092477921180851E-2</v>
      </c>
      <c r="F199">
        <f t="shared" si="7"/>
        <v>1.4794436220775697E-2</v>
      </c>
    </row>
    <row r="200" spans="2:6">
      <c r="B200" s="114">
        <v>44095</v>
      </c>
      <c r="C200" s="121">
        <v>254.29745500000001</v>
      </c>
      <c r="D200" s="119">
        <v>10913.559569999999</v>
      </c>
      <c r="E200">
        <f t="shared" si="6"/>
        <v>9.0683094934029818E-3</v>
      </c>
      <c r="F200">
        <f t="shared" si="7"/>
        <v>1.1143905648488106E-2</v>
      </c>
    </row>
    <row r="201" spans="2:6">
      <c r="B201" s="114">
        <v>44088</v>
      </c>
      <c r="C201" s="122">
        <v>252.01213100000001</v>
      </c>
      <c r="D201">
        <v>10793.280273</v>
      </c>
      <c r="E201">
        <f t="shared" ref="E201:E264" si="8">C201/C202-1</f>
        <v>-5.2811244369351362E-2</v>
      </c>
      <c r="F201">
        <f t="shared" ref="F201:F264" si="9">D201/D202-1</f>
        <v>-5.5529788025882043E-3</v>
      </c>
    </row>
    <row r="202" spans="2:6">
      <c r="B202" s="114">
        <v>44081</v>
      </c>
      <c r="C202" s="121">
        <v>266.06326300000001</v>
      </c>
      <c r="D202" s="119">
        <v>10853.549805000001</v>
      </c>
      <c r="E202">
        <f t="shared" si="8"/>
        <v>-5.7015534789185862E-2</v>
      </c>
      <c r="F202">
        <f t="shared" si="9"/>
        <v>-4.0623601315724289E-2</v>
      </c>
    </row>
    <row r="203" spans="2:6">
      <c r="B203" s="114">
        <v>44074</v>
      </c>
      <c r="C203" s="122">
        <v>282.15020800000002</v>
      </c>
      <c r="D203">
        <v>11313.129883</v>
      </c>
      <c r="E203">
        <f t="shared" si="8"/>
        <v>-3.7219835529356482E-2</v>
      </c>
      <c r="F203">
        <f t="shared" si="9"/>
        <v>-3.2704523298567878E-2</v>
      </c>
    </row>
    <row r="204" spans="2:6">
      <c r="B204" s="114">
        <v>44067</v>
      </c>
      <c r="C204" s="121">
        <v>293.05777</v>
      </c>
      <c r="D204" s="119">
        <v>11695.629883</v>
      </c>
      <c r="E204">
        <f t="shared" si="8"/>
        <v>9.9808831234889483E-2</v>
      </c>
      <c r="F204">
        <f t="shared" si="9"/>
        <v>3.3931830886039904E-2</v>
      </c>
    </row>
    <row r="205" spans="2:6">
      <c r="B205" s="114">
        <v>44060</v>
      </c>
      <c r="C205" s="122">
        <v>266.46246300000001</v>
      </c>
      <c r="D205">
        <v>11311.799805000001</v>
      </c>
      <c r="E205">
        <f t="shared" si="8"/>
        <v>2.2087130960279699E-2</v>
      </c>
      <c r="F205">
        <f t="shared" si="9"/>
        <v>2.6544336316839168E-2</v>
      </c>
    </row>
    <row r="206" spans="2:6">
      <c r="B206" s="114">
        <v>44053</v>
      </c>
      <c r="C206" s="121">
        <v>260.70425399999999</v>
      </c>
      <c r="D206" s="119">
        <v>11019.299805000001</v>
      </c>
      <c r="E206">
        <f t="shared" si="8"/>
        <v>-2.6821663810215335E-2</v>
      </c>
      <c r="F206">
        <f t="shared" si="9"/>
        <v>7.555490651738328E-4</v>
      </c>
    </row>
    <row r="207" spans="2:6">
      <c r="B207" s="114">
        <v>44046</v>
      </c>
      <c r="C207" s="122">
        <v>267.88949600000001</v>
      </c>
      <c r="D207">
        <v>11010.980469</v>
      </c>
      <c r="E207">
        <f t="shared" si="8"/>
        <v>5.8225276751178834E-2</v>
      </c>
      <c r="F207">
        <f t="shared" si="9"/>
        <v>2.4728178035313686E-2</v>
      </c>
    </row>
    <row r="208" spans="2:6">
      <c r="B208" s="114">
        <v>44039</v>
      </c>
      <c r="C208" s="121">
        <v>253.14977999999999</v>
      </c>
      <c r="D208" s="119">
        <v>10745.269531</v>
      </c>
      <c r="E208">
        <f t="shared" si="8"/>
        <v>9.9518746545975922E-2</v>
      </c>
      <c r="F208">
        <f t="shared" si="9"/>
        <v>3.6869942865358052E-2</v>
      </c>
    </row>
    <row r="209" spans="2:6">
      <c r="B209" s="114">
        <v>44032</v>
      </c>
      <c r="C209" s="122">
        <v>230.23689300000001</v>
      </c>
      <c r="D209">
        <v>10363.179688</v>
      </c>
      <c r="E209">
        <f t="shared" si="8"/>
        <v>-4.6770988164668181E-2</v>
      </c>
      <c r="F209">
        <f t="shared" si="9"/>
        <v>-1.3330305961138378E-2</v>
      </c>
    </row>
    <row r="210" spans="2:6">
      <c r="B210" s="114">
        <v>44025</v>
      </c>
      <c r="C210" s="121">
        <v>241.533661</v>
      </c>
      <c r="D210" s="119">
        <v>10503.190430000001</v>
      </c>
      <c r="E210">
        <f t="shared" si="8"/>
        <v>-1.2404628091339243E-2</v>
      </c>
      <c r="F210">
        <f t="shared" si="9"/>
        <v>-1.0760597222394752E-2</v>
      </c>
    </row>
    <row r="211" spans="2:6">
      <c r="B211" s="114">
        <v>44018</v>
      </c>
      <c r="C211" s="122">
        <v>244.567429</v>
      </c>
      <c r="D211">
        <v>10617.440430000001</v>
      </c>
      <c r="E211">
        <f t="shared" si="8"/>
        <v>4.990998806437652E-2</v>
      </c>
      <c r="F211">
        <f t="shared" si="9"/>
        <v>4.0147473184005911E-2</v>
      </c>
    </row>
    <row r="212" spans="2:6">
      <c r="B212" s="114">
        <v>44011</v>
      </c>
      <c r="C212" s="121">
        <v>232.94132999999999</v>
      </c>
      <c r="D212" s="119">
        <v>10207.629883</v>
      </c>
      <c r="E212">
        <f t="shared" si="8"/>
        <v>8.0248065350711606E-2</v>
      </c>
      <c r="F212">
        <f t="shared" si="9"/>
        <v>4.6161731374525949E-2</v>
      </c>
    </row>
    <row r="213" spans="2:6">
      <c r="B213" s="114">
        <v>44004</v>
      </c>
      <c r="C213" s="122">
        <v>215.636887</v>
      </c>
      <c r="D213">
        <v>9757.2197269999997</v>
      </c>
      <c r="E213">
        <f t="shared" si="8"/>
        <v>-9.510445534128309E-2</v>
      </c>
      <c r="F213">
        <f t="shared" si="9"/>
        <v>-1.8992369665547293E-2</v>
      </c>
    </row>
    <row r="214" spans="2:6">
      <c r="B214" s="114">
        <v>43997</v>
      </c>
      <c r="C214" s="121">
        <v>238.300308</v>
      </c>
      <c r="D214" s="119">
        <v>9946.1201170000004</v>
      </c>
      <c r="E214">
        <f t="shared" si="8"/>
        <v>4.4667115631835452E-2</v>
      </c>
      <c r="F214">
        <f t="shared" si="9"/>
        <v>3.7263285331883056E-2</v>
      </c>
    </row>
    <row r="215" spans="2:6">
      <c r="B215" s="114">
        <v>43990</v>
      </c>
      <c r="C215" s="122">
        <v>228.11123699999999</v>
      </c>
      <c r="D215">
        <v>9588.8095699999994</v>
      </c>
      <c r="E215">
        <f t="shared" si="8"/>
        <v>-9.489999192476728E-3</v>
      </c>
      <c r="F215">
        <f t="shared" si="9"/>
        <v>-2.2953807815873195E-2</v>
      </c>
    </row>
    <row r="216" spans="2:6">
      <c r="B216" s="114">
        <v>43983</v>
      </c>
      <c r="C216" s="121">
        <v>230.296753</v>
      </c>
      <c r="D216" s="119">
        <v>9814.0800780000009</v>
      </c>
      <c r="E216">
        <f t="shared" si="8"/>
        <v>2.5234342248339869E-2</v>
      </c>
      <c r="F216">
        <f t="shared" si="9"/>
        <v>3.4163793287245836E-2</v>
      </c>
    </row>
    <row r="217" spans="2:6">
      <c r="B217" s="114">
        <v>43976</v>
      </c>
      <c r="C217" s="122">
        <v>224.62840299999999</v>
      </c>
      <c r="D217">
        <v>9489.8701170000004</v>
      </c>
      <c r="E217">
        <f t="shared" si="8"/>
        <v>-4.1803256422983992E-2</v>
      </c>
      <c r="F217">
        <f t="shared" si="9"/>
        <v>1.7725205694312907E-2</v>
      </c>
    </row>
    <row r="218" spans="2:6">
      <c r="B218" s="114">
        <v>43969</v>
      </c>
      <c r="C218" s="121">
        <v>234.428268</v>
      </c>
      <c r="D218" s="119">
        <v>9324.5898440000001</v>
      </c>
      <c r="E218">
        <f t="shared" si="8"/>
        <v>0.11395101209918557</v>
      </c>
      <c r="F218">
        <f t="shared" si="9"/>
        <v>3.4392170975470204E-2</v>
      </c>
    </row>
    <row r="219" spans="2:6">
      <c r="B219" s="114">
        <v>43962</v>
      </c>
      <c r="C219" s="122">
        <v>210.44755599999999</v>
      </c>
      <c r="D219">
        <v>9014.5595699999994</v>
      </c>
      <c r="E219">
        <f t="shared" si="8"/>
        <v>-6.9225076660149876E-3</v>
      </c>
      <c r="F219">
        <f t="shared" si="9"/>
        <v>-1.1704527342148219E-2</v>
      </c>
    </row>
    <row r="220" spans="2:6">
      <c r="B220" s="114">
        <v>43955</v>
      </c>
      <c r="C220" s="121">
        <v>211.914536</v>
      </c>
      <c r="D220" s="119">
        <v>9121.3203130000002</v>
      </c>
      <c r="E220">
        <f t="shared" si="8"/>
        <v>4.9834369149225122E-2</v>
      </c>
      <c r="F220">
        <f t="shared" si="9"/>
        <v>6.0008495842316822E-2</v>
      </c>
    </row>
    <row r="221" spans="2:6">
      <c r="B221" s="114">
        <v>43948</v>
      </c>
      <c r="C221" s="122">
        <v>201.855209</v>
      </c>
      <c r="D221">
        <v>8604.9501949999994</v>
      </c>
      <c r="E221">
        <f t="shared" si="8"/>
        <v>6.4186824060115333E-2</v>
      </c>
      <c r="F221">
        <f t="shared" si="9"/>
        <v>-3.4245490897135689E-3</v>
      </c>
    </row>
    <row r="222" spans="2:6">
      <c r="B222" s="114">
        <v>43941</v>
      </c>
      <c r="C222" s="121">
        <v>189.68023700000001</v>
      </c>
      <c r="D222" s="119">
        <v>8634.5195309999999</v>
      </c>
      <c r="E222">
        <f t="shared" si="8"/>
        <v>6.0421830111254238E-2</v>
      </c>
      <c r="F222">
        <f t="shared" si="9"/>
        <v>-1.8057647200657723E-3</v>
      </c>
    </row>
    <row r="223" spans="2:6">
      <c r="B223" s="114">
        <v>43934</v>
      </c>
      <c r="C223" s="122">
        <v>178.87243699999999</v>
      </c>
      <c r="D223">
        <v>8650.1396480000003</v>
      </c>
      <c r="E223">
        <f t="shared" si="8"/>
        <v>2.3117806048906564E-2</v>
      </c>
      <c r="F223">
        <f t="shared" si="9"/>
        <v>6.0900802500219342E-2</v>
      </c>
    </row>
    <row r="224" spans="2:6">
      <c r="B224" s="114">
        <v>43927</v>
      </c>
      <c r="C224" s="121">
        <v>174.83073400000001</v>
      </c>
      <c r="D224" s="119">
        <v>8153.580078</v>
      </c>
      <c r="E224">
        <f t="shared" si="8"/>
        <v>0.1362693301215756</v>
      </c>
      <c r="F224">
        <f t="shared" si="9"/>
        <v>0.10585806633633044</v>
      </c>
    </row>
    <row r="225" spans="2:6">
      <c r="B225" s="114">
        <v>43920</v>
      </c>
      <c r="C225" s="122">
        <v>153.86381499999999</v>
      </c>
      <c r="D225">
        <v>7373.080078</v>
      </c>
      <c r="E225">
        <f t="shared" si="8"/>
        <v>-1.6646453860413857E-2</v>
      </c>
      <c r="F225">
        <f t="shared" si="9"/>
        <v>-1.7234505185879212E-2</v>
      </c>
    </row>
    <row r="226" spans="2:6">
      <c r="B226" s="114">
        <v>43913</v>
      </c>
      <c r="C226" s="121">
        <v>156.46845999999999</v>
      </c>
      <c r="D226" s="119">
        <v>7502.3798829999996</v>
      </c>
      <c r="E226">
        <f t="shared" si="8"/>
        <v>4.7151507382637847E-2</v>
      </c>
      <c r="F226">
        <f t="shared" si="9"/>
        <v>9.0538273191913765E-2</v>
      </c>
    </row>
    <row r="227" spans="2:6">
      <c r="B227" s="114">
        <v>43906</v>
      </c>
      <c r="C227" s="122">
        <v>149.422943</v>
      </c>
      <c r="D227">
        <v>6879.5200199999999</v>
      </c>
      <c r="E227">
        <f t="shared" si="8"/>
        <v>-0.12068358343111674</v>
      </c>
      <c r="F227">
        <f t="shared" si="9"/>
        <v>-0.12639683116294198</v>
      </c>
    </row>
    <row r="228" spans="2:6">
      <c r="B228" s="114">
        <v>43899</v>
      </c>
      <c r="C228" s="121">
        <v>169.930801</v>
      </c>
      <c r="D228" s="119">
        <v>7874.8798829999996</v>
      </c>
      <c r="E228">
        <f t="shared" si="8"/>
        <v>-5.9694051019466565E-2</v>
      </c>
      <c r="F228">
        <f t="shared" si="9"/>
        <v>-8.1713068494123076E-2</v>
      </c>
    </row>
    <row r="229" spans="2:6">
      <c r="B229" s="114">
        <v>43892</v>
      </c>
      <c r="C229" s="122">
        <v>180.718628</v>
      </c>
      <c r="D229">
        <v>8575.6201170000004</v>
      </c>
      <c r="E229">
        <f t="shared" si="8"/>
        <v>-5.9126154595347202E-2</v>
      </c>
      <c r="F229">
        <f t="shared" si="9"/>
        <v>9.6295594649631333E-4</v>
      </c>
    </row>
    <row r="230" spans="2:6">
      <c r="B230" s="114">
        <v>43885</v>
      </c>
      <c r="C230" s="121">
        <v>192.07530199999999</v>
      </c>
      <c r="D230" s="119">
        <v>8567.3701170000004</v>
      </c>
      <c r="E230">
        <f t="shared" si="8"/>
        <v>-8.4261012934118917E-2</v>
      </c>
      <c r="F230">
        <f t="shared" si="9"/>
        <v>-0.1053840399808188</v>
      </c>
    </row>
    <row r="231" spans="2:6">
      <c r="B231" s="114">
        <v>43878</v>
      </c>
      <c r="C231" s="122">
        <v>209.74896200000001</v>
      </c>
      <c r="D231">
        <v>9576.5898440000001</v>
      </c>
      <c r="E231">
        <f t="shared" si="8"/>
        <v>-1.8675922414576496E-2</v>
      </c>
      <c r="F231">
        <f t="shared" si="9"/>
        <v>-1.5886033241235165E-2</v>
      </c>
    </row>
    <row r="232" spans="2:6">
      <c r="B232" s="114">
        <v>43871</v>
      </c>
      <c r="C232" s="121">
        <v>213.740768</v>
      </c>
      <c r="D232" s="119">
        <v>9731.1796880000002</v>
      </c>
      <c r="E232">
        <f t="shared" si="8"/>
        <v>8.7127807900435617E-3</v>
      </c>
      <c r="F232">
        <f t="shared" si="9"/>
        <v>2.2128008602265492E-2</v>
      </c>
    </row>
    <row r="233" spans="2:6">
      <c r="B233" s="114">
        <v>43864</v>
      </c>
      <c r="C233" s="122">
        <v>211.894577</v>
      </c>
      <c r="D233">
        <v>9520.5097659999992</v>
      </c>
      <c r="E233">
        <f t="shared" si="8"/>
        <v>5.1607173565843656E-2</v>
      </c>
      <c r="F233">
        <f t="shared" si="9"/>
        <v>4.0385940530048847E-2</v>
      </c>
    </row>
    <row r="234" spans="2:6">
      <c r="B234" s="114">
        <v>43857</v>
      </c>
      <c r="C234" s="121">
        <v>201.49594099999999</v>
      </c>
      <c r="D234" s="119">
        <v>9150.9404300000006</v>
      </c>
      <c r="E234">
        <f t="shared" si="8"/>
        <v>-7.3552374700227907E-2</v>
      </c>
      <c r="F234">
        <f t="shared" si="9"/>
        <v>-1.7602931563905799E-2</v>
      </c>
    </row>
    <row r="235" spans="2:6">
      <c r="B235" s="114">
        <v>43850</v>
      </c>
      <c r="C235" s="122">
        <v>217.49307300000001</v>
      </c>
      <c r="D235">
        <v>9314.9101559999999</v>
      </c>
      <c r="E235">
        <f t="shared" si="8"/>
        <v>-1.8906941997121951E-2</v>
      </c>
      <c r="F235">
        <f t="shared" si="9"/>
        <v>-7.8848379699434368E-3</v>
      </c>
    </row>
    <row r="236" spans="2:6">
      <c r="B236" s="114">
        <v>43843</v>
      </c>
      <c r="C236" s="121">
        <v>221.684448</v>
      </c>
      <c r="D236" s="119">
        <v>9388.9404300000006</v>
      </c>
      <c r="E236">
        <f t="shared" si="8"/>
        <v>1.8710479578021966E-2</v>
      </c>
      <c r="F236">
        <f t="shared" si="9"/>
        <v>2.2887381433385201E-2</v>
      </c>
    </row>
    <row r="237" spans="2:6">
      <c r="B237" s="114">
        <v>43836</v>
      </c>
      <c r="C237" s="122">
        <v>217.612808</v>
      </c>
      <c r="D237">
        <v>9178.8603519999997</v>
      </c>
      <c r="E237">
        <f t="shared" si="8"/>
        <v>4.4999199753483099E-2</v>
      </c>
      <c r="F237">
        <f t="shared" si="9"/>
        <v>1.7525203416040913E-2</v>
      </c>
    </row>
    <row r="238" spans="2:6">
      <c r="B238" s="114">
        <v>43829</v>
      </c>
      <c r="C238" s="121">
        <v>208.24208100000001</v>
      </c>
      <c r="D238" s="119">
        <v>9020.7695309999999</v>
      </c>
      <c r="E238">
        <f t="shared" si="8"/>
        <v>2.738999662469821E-3</v>
      </c>
      <c r="F238">
        <f t="shared" si="9"/>
        <v>1.5710015317835779E-3</v>
      </c>
    </row>
    <row r="239" spans="2:6">
      <c r="B239" s="114">
        <v>43822</v>
      </c>
      <c r="C239" s="122">
        <v>207.67326399999999</v>
      </c>
      <c r="D239">
        <v>9006.6201170000004</v>
      </c>
      <c r="E239">
        <f t="shared" si="8"/>
        <v>8.7252414838225878E-3</v>
      </c>
      <c r="F239">
        <f t="shared" si="9"/>
        <v>9.1496383576885609E-3</v>
      </c>
    </row>
    <row r="240" spans="2:6">
      <c r="B240" s="114">
        <v>43815</v>
      </c>
      <c r="C240" s="121">
        <v>205.876938</v>
      </c>
      <c r="D240" s="119">
        <v>8924.9599610000005</v>
      </c>
      <c r="E240">
        <f t="shared" si="8"/>
        <v>6.2799483040613335E-2</v>
      </c>
      <c r="F240">
        <f t="shared" si="9"/>
        <v>2.1761040855288627E-2</v>
      </c>
    </row>
    <row r="241" spans="2:6">
      <c r="B241" s="114">
        <v>43808</v>
      </c>
      <c r="C241" s="122">
        <v>193.711929</v>
      </c>
      <c r="D241">
        <v>8734.8798829999996</v>
      </c>
      <c r="E241">
        <f t="shared" si="8"/>
        <v>-3.4518844764930501E-2</v>
      </c>
      <c r="F241">
        <f t="shared" si="9"/>
        <v>9.0509254319106613E-3</v>
      </c>
    </row>
    <row r="242" spans="2:6">
      <c r="B242" s="114">
        <v>43801</v>
      </c>
      <c r="C242" s="121">
        <v>200.637711</v>
      </c>
      <c r="D242" s="119">
        <v>8656.5302730000003</v>
      </c>
      <c r="E242">
        <f t="shared" si="8"/>
        <v>-2.9260062520294339E-3</v>
      </c>
      <c r="F242">
        <f t="shared" si="9"/>
        <v>-1.0316179366648415E-3</v>
      </c>
    </row>
    <row r="243" spans="2:6">
      <c r="B243" s="114">
        <v>43794</v>
      </c>
      <c r="C243" s="122">
        <v>201.22650100000001</v>
      </c>
      <c r="D243">
        <v>8665.4697269999997</v>
      </c>
      <c r="E243">
        <f t="shared" si="8"/>
        <v>1.4183719085084867E-2</v>
      </c>
      <c r="F243">
        <f t="shared" si="9"/>
        <v>1.7088250773405811E-2</v>
      </c>
    </row>
    <row r="244" spans="2:6">
      <c r="B244" s="114">
        <v>43787</v>
      </c>
      <c r="C244" s="121">
        <v>198.41227699999999</v>
      </c>
      <c r="D244" s="119">
        <v>8519.8798829999996</v>
      </c>
      <c r="E244">
        <f t="shared" si="8"/>
        <v>1.9067064747293916E-2</v>
      </c>
      <c r="F244">
        <f t="shared" si="9"/>
        <v>-2.4529460027504779E-3</v>
      </c>
    </row>
    <row r="245" spans="2:6">
      <c r="B245" s="114">
        <v>43780</v>
      </c>
      <c r="C245" s="122">
        <v>194.69992099999999</v>
      </c>
      <c r="D245">
        <v>8540.8300780000009</v>
      </c>
      <c r="E245">
        <f t="shared" si="8"/>
        <v>2.2322459337711376E-2</v>
      </c>
      <c r="F245">
        <f t="shared" si="9"/>
        <v>7.7307510078361563E-3</v>
      </c>
    </row>
    <row r="246" spans="2:6">
      <c r="B246" s="114">
        <v>43773</v>
      </c>
      <c r="C246" s="121">
        <v>190.44863900000001</v>
      </c>
      <c r="D246" s="119">
        <v>8475.3095699999994</v>
      </c>
      <c r="E246">
        <f t="shared" si="8"/>
        <v>-1.4357985284883079E-2</v>
      </c>
      <c r="F246">
        <f t="shared" si="9"/>
        <v>1.0601590057089938E-2</v>
      </c>
    </row>
    <row r="247" spans="2:6">
      <c r="B247" s="114">
        <v>43766</v>
      </c>
      <c r="C247" s="122">
        <v>193.22293099999999</v>
      </c>
      <c r="D247">
        <v>8386.4003909999992</v>
      </c>
      <c r="E247">
        <f t="shared" si="8"/>
        <v>3.0496555488715105E-2</v>
      </c>
      <c r="F247">
        <f t="shared" si="9"/>
        <v>1.7381801061530977E-2</v>
      </c>
    </row>
    <row r="248" spans="2:6">
      <c r="B248" s="114">
        <v>43759</v>
      </c>
      <c r="C248" s="121">
        <v>187.504684</v>
      </c>
      <c r="D248" s="119">
        <v>8243.1201170000004</v>
      </c>
      <c r="E248">
        <f t="shared" si="8"/>
        <v>1.0976569696288463E-2</v>
      </c>
      <c r="F248">
        <f t="shared" si="9"/>
        <v>1.898501982307832E-2</v>
      </c>
    </row>
    <row r="249" spans="2:6">
      <c r="B249" s="114">
        <v>43752</v>
      </c>
      <c r="C249" s="122">
        <v>185.468872</v>
      </c>
      <c r="D249">
        <v>8089.5400390000004</v>
      </c>
      <c r="E249">
        <f t="shared" si="8"/>
        <v>9.0123790745957333E-3</v>
      </c>
      <c r="F249">
        <f t="shared" si="9"/>
        <v>4.033739418283222E-3</v>
      </c>
    </row>
    <row r="250" spans="2:6">
      <c r="B250" s="114">
        <v>43745</v>
      </c>
      <c r="C250" s="121">
        <v>183.812286</v>
      </c>
      <c r="D250" s="119">
        <v>8057.0400390000004</v>
      </c>
      <c r="E250">
        <f t="shared" si="8"/>
        <v>2.0726045217884792E-2</v>
      </c>
      <c r="F250">
        <f t="shared" si="9"/>
        <v>9.3416977441236337E-3</v>
      </c>
    </row>
    <row r="251" spans="2:6">
      <c r="B251" s="114">
        <v>43738</v>
      </c>
      <c r="C251" s="122">
        <v>180.07994099999999</v>
      </c>
      <c r="D251">
        <v>7982.4702150000003</v>
      </c>
      <c r="E251">
        <f t="shared" si="8"/>
        <v>1.8915745870108136E-2</v>
      </c>
      <c r="F251">
        <f t="shared" si="9"/>
        <v>5.3957593277400573E-3</v>
      </c>
    </row>
    <row r="252" spans="2:6">
      <c r="B252" s="114">
        <v>43731</v>
      </c>
      <c r="C252" s="121">
        <v>176.73683199999999</v>
      </c>
      <c r="D252" s="119">
        <v>7939.6298829999996</v>
      </c>
      <c r="E252">
        <f t="shared" si="8"/>
        <v>-6.7551078543389043E-2</v>
      </c>
      <c r="F252">
        <f t="shared" si="9"/>
        <v>-2.1932406800316828E-2</v>
      </c>
    </row>
    <row r="253" spans="2:6">
      <c r="B253" s="114">
        <v>43724</v>
      </c>
      <c r="C253" s="122">
        <v>189.54049699999999</v>
      </c>
      <c r="D253">
        <v>8117.669922</v>
      </c>
      <c r="E253">
        <f t="shared" si="8"/>
        <v>1.4637420611079754E-2</v>
      </c>
      <c r="F253">
        <f t="shared" si="9"/>
        <v>-7.2205128079141367E-3</v>
      </c>
    </row>
    <row r="254" spans="2:6">
      <c r="B254" s="114">
        <v>43717</v>
      </c>
      <c r="C254" s="121">
        <v>186.80613700000001</v>
      </c>
      <c r="D254" s="119">
        <v>8176.7099609999996</v>
      </c>
      <c r="E254">
        <f t="shared" si="8"/>
        <v>-1.6000490418467406E-3</v>
      </c>
      <c r="F254">
        <f t="shared" si="9"/>
        <v>9.0879306978064456E-3</v>
      </c>
    </row>
    <row r="255" spans="2:6">
      <c r="B255" s="114">
        <v>43710</v>
      </c>
      <c r="C255" s="122">
        <v>187.105515</v>
      </c>
      <c r="D255">
        <v>8103.0698240000002</v>
      </c>
      <c r="E255">
        <f t="shared" si="8"/>
        <v>9.8023443843038294E-3</v>
      </c>
      <c r="F255">
        <f t="shared" si="9"/>
        <v>1.760543208736487E-2</v>
      </c>
    </row>
    <row r="256" spans="2:6">
      <c r="B256" s="114">
        <v>43703</v>
      </c>
      <c r="C256" s="121">
        <v>185.28924599999999</v>
      </c>
      <c r="D256" s="119">
        <v>7962.8798829999996</v>
      </c>
      <c r="E256">
        <f t="shared" si="8"/>
        <v>4.4556900587217063E-2</v>
      </c>
      <c r="F256">
        <f t="shared" si="9"/>
        <v>2.7233762412368412E-2</v>
      </c>
    </row>
    <row r="257" spans="2:6">
      <c r="B257" s="114">
        <v>43696</v>
      </c>
      <c r="C257" s="122">
        <v>177.38549800000001</v>
      </c>
      <c r="D257">
        <v>7751.7700199999999</v>
      </c>
      <c r="E257">
        <f t="shared" si="8"/>
        <v>-3.2389720175649339E-2</v>
      </c>
      <c r="F257">
        <f t="shared" si="9"/>
        <v>-1.8264993968582943E-2</v>
      </c>
    </row>
    <row r="258" spans="2:6">
      <c r="B258" s="114">
        <v>43689</v>
      </c>
      <c r="C258" s="121">
        <v>183.32328799999999</v>
      </c>
      <c r="D258" s="119">
        <v>7895.9902339999999</v>
      </c>
      <c r="E258">
        <f t="shared" si="8"/>
        <v>-2.2092122764199473E-2</v>
      </c>
      <c r="F258">
        <f t="shared" si="9"/>
        <v>-7.9342619821999305E-3</v>
      </c>
    </row>
    <row r="259" spans="2:6">
      <c r="B259" s="114">
        <v>43682</v>
      </c>
      <c r="C259" s="122">
        <v>187.46478300000001</v>
      </c>
      <c r="D259">
        <v>7959.1401370000003</v>
      </c>
      <c r="E259">
        <f t="shared" si="8"/>
        <v>-6.1898279025629499E-3</v>
      </c>
      <c r="F259">
        <f t="shared" si="9"/>
        <v>-5.6133552040337209E-3</v>
      </c>
    </row>
    <row r="260" spans="2:6">
      <c r="B260" s="114">
        <v>43675</v>
      </c>
      <c r="C260" s="121">
        <v>188.632385</v>
      </c>
      <c r="D260" s="119">
        <v>8004.0698240000002</v>
      </c>
      <c r="E260">
        <f t="shared" si="8"/>
        <v>-5.3717058797570272E-2</v>
      </c>
      <c r="F260">
        <f t="shared" si="9"/>
        <v>-3.9151490601906591E-2</v>
      </c>
    </row>
    <row r="261" spans="2:6">
      <c r="B261" s="114">
        <v>43668</v>
      </c>
      <c r="C261" s="122">
        <v>199.340363</v>
      </c>
      <c r="D261">
        <v>8330.2099610000005</v>
      </c>
      <c r="E261">
        <f t="shared" si="8"/>
        <v>7.0074435819853509E-3</v>
      </c>
      <c r="F261">
        <f t="shared" si="9"/>
        <v>2.2552009727236033E-2</v>
      </c>
    </row>
    <row r="262" spans="2:6">
      <c r="B262" s="114">
        <v>43661</v>
      </c>
      <c r="C262" s="121">
        <v>197.953217</v>
      </c>
      <c r="D262" s="119">
        <v>8146.4902339999999</v>
      </c>
      <c r="E262">
        <f t="shared" si="8"/>
        <v>-3.1776287464103325E-2</v>
      </c>
      <c r="F262">
        <f t="shared" si="9"/>
        <v>-1.1844706442313835E-2</v>
      </c>
    </row>
    <row r="263" spans="2:6">
      <c r="B263" s="114">
        <v>43654</v>
      </c>
      <c r="C263" s="122">
        <v>204.44987499999999</v>
      </c>
      <c r="D263">
        <v>8244.1396480000003</v>
      </c>
      <c r="E263">
        <f t="shared" si="8"/>
        <v>4.3126386540691009E-2</v>
      </c>
      <c r="F263">
        <f t="shared" si="9"/>
        <v>1.0089650506384551E-2</v>
      </c>
    </row>
    <row r="264" spans="2:6">
      <c r="B264" s="114">
        <v>43647</v>
      </c>
      <c r="C264" s="121">
        <v>195.99722299999999</v>
      </c>
      <c r="D264" s="119">
        <v>8161.7900390000004</v>
      </c>
      <c r="E264">
        <f t="shared" si="8"/>
        <v>1.7616547119776671E-2</v>
      </c>
      <c r="F264">
        <f t="shared" si="9"/>
        <v>1.9428570771512499E-2</v>
      </c>
    </row>
    <row r="265" spans="2:6">
      <c r="B265" s="114">
        <v>43640</v>
      </c>
      <c r="C265" s="123">
        <v>192.60420199999999</v>
      </c>
      <c r="D265" s="120">
        <v>8006.2402339999999</v>
      </c>
    </row>
    <row r="267" spans="2:6">
      <c r="B267" s="118"/>
    </row>
    <row r="268" spans="2:6">
      <c r="B268" s="118"/>
    </row>
    <row r="269" spans="2:6">
      <c r="B269" s="118"/>
    </row>
    <row r="270" spans="2:6">
      <c r="B270" s="118"/>
    </row>
    <row r="271" spans="2:6">
      <c r="B271" s="118"/>
    </row>
    <row r="272" spans="2:6">
      <c r="B272" s="118"/>
    </row>
    <row r="273" spans="2:2">
      <c r="B273" s="118"/>
    </row>
    <row r="274" spans="2:2">
      <c r="B274" s="118"/>
    </row>
    <row r="275" spans="2:2">
      <c r="B275" s="118"/>
    </row>
    <row r="276" spans="2:2">
      <c r="B276" s="118"/>
    </row>
    <row r="277" spans="2:2">
      <c r="B277" s="118"/>
    </row>
    <row r="278" spans="2:2">
      <c r="B278" s="118"/>
    </row>
    <row r="279" spans="2:2">
      <c r="B279" s="118"/>
    </row>
    <row r="280" spans="2:2">
      <c r="B280" s="11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68187392"><![CDATA[{"META-US^FE_ESTIMATE(EPS,MEAN,ANN_ROLL,+1,NOW,,,'')":9.105563,"META-US^FE_ESTIMATE(DEP_AMORT_EXP,MEAN,ANN_ROLL,+1,NOW,,,'')":9217.304,"META-US^FE_ESTIMATE(DEP_AMORT_EXP,MEAN,ANN_ROLL,2027,NOW,,,'')":23066.867,"META-US^FE_ESTIMATE(DEP_AMORT_EXP,MEAN,ANN_ROLL,2026,NOW,,,'')":20615.967,"META-US^FE_ESTIMATE(DEP_AMORT_EXP,MEAN,ANN_ROLL,2025,NOW,,,'')":15813.463,"META-US^FE_ESTIMATE(DEP_AMORT_EXP,MEAN,ANN_ROLL,2024,NOW,,,'')":13916.89,"META-US^FE_ESTIMATE(DEP_AMORT_EXP,MEAN,ANN_ROLL,2023,NOW,,,'')":11304.668,"META-US^FE_ESTIMATE(DEP_AMORT_EXP,MEAN,ANN_ROLL,2022,NOW,,,'')":9217.304}]]></FdsFormulaCache>
</file>

<file path=customXml/itemProps1.xml><?xml version="1.0" encoding="utf-8"?>
<ds:datastoreItem xmlns:ds="http://schemas.openxmlformats.org/officeDocument/2006/customXml" ds:itemID="{828212BF-23D7-4BC2-A243-5C8711B01052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Cover</vt:lpstr>
      <vt:lpstr>DCF</vt:lpstr>
      <vt:lpstr>WACC</vt:lpstr>
      <vt:lpstr>IS</vt:lpstr>
      <vt:lpstr>Sheet1</vt:lpstr>
      <vt:lpstr>Sheet2</vt:lpstr>
      <vt:lpstr>Sheet4</vt:lpstr>
      <vt:lpstr>Historical stock prices</vt:lpstr>
      <vt:lpstr>CFS</vt:lpstr>
      <vt:lpstr>Historical CFS</vt:lpstr>
      <vt:lpstr>hello</vt:lpstr>
      <vt:lpstr>tgr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Chon</dc:creator>
  <cp:keywords/>
  <dc:description/>
  <cp:lastModifiedBy>Ng Winsen</cp:lastModifiedBy>
  <cp:revision/>
  <dcterms:created xsi:type="dcterms:W3CDTF">2022-11-11T12:53:02Z</dcterms:created>
  <dcterms:modified xsi:type="dcterms:W3CDTF">2025-02-07T18:55:12Z</dcterms:modified>
  <cp:category/>
  <cp:contentStatus/>
</cp:coreProperties>
</file>