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Research Projects\SB13 Final Analysis\"/>
    </mc:Choice>
  </mc:AlternateContent>
  <xr:revisionPtr revIDLastSave="0" documentId="13_ncr:1_{5950A086-0294-4FF9-8123-698948CE6C2D}" xr6:coauthVersionLast="45" xr6:coauthVersionMax="45" xr10:uidLastSave="{00000000-0000-0000-0000-000000000000}"/>
  <bookViews>
    <workbookView xWindow="-120" yWindow="-120" windowWidth="29040" windowHeight="15840" xr2:uid="{D6923EDF-F8B5-45D5-B348-5EF3CD74A867}"/>
  </bookViews>
  <sheets>
    <sheet name="Sheet1" sheetId="1" r:id="rId1"/>
  </sheets>
  <definedNames>
    <definedName name="_xlnm._FilterDatabase" localSheetId="0" hidden="1">Sheet1!$A$1:$U$129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9" i="1" l="1"/>
  <c r="R129" i="1" s="1"/>
  <c r="S129" i="1" s="1"/>
  <c r="K128" i="1"/>
  <c r="R128" i="1" s="1"/>
  <c r="S128" i="1" s="1"/>
  <c r="R127" i="1"/>
  <c r="S127" i="1" s="1"/>
  <c r="K127" i="1"/>
  <c r="S126" i="1"/>
  <c r="R125" i="1"/>
  <c r="S125" i="1" s="1"/>
  <c r="K125" i="1"/>
  <c r="S124" i="1"/>
  <c r="R123" i="1"/>
  <c r="S123" i="1" s="1"/>
  <c r="K123" i="1"/>
  <c r="K122" i="1"/>
  <c r="R122" i="1" s="1"/>
  <c r="S122" i="1" s="1"/>
  <c r="R121" i="1"/>
  <c r="S121" i="1" s="1"/>
  <c r="K121" i="1"/>
  <c r="S120" i="1"/>
  <c r="S119" i="1"/>
  <c r="K118" i="1"/>
  <c r="R118" i="1" s="1"/>
  <c r="S118" i="1" s="1"/>
  <c r="S117" i="1"/>
  <c r="S116" i="1"/>
  <c r="R115" i="1"/>
  <c r="S115" i="1" s="1"/>
  <c r="K115" i="1"/>
  <c r="K114" i="1"/>
  <c r="R114" i="1" s="1"/>
  <c r="S114" i="1" s="1"/>
  <c r="R113" i="1"/>
  <c r="S113" i="1" s="1"/>
  <c r="K113" i="1"/>
  <c r="K112" i="1"/>
  <c r="R112" i="1" s="1"/>
  <c r="S112" i="1" s="1"/>
  <c r="R111" i="1"/>
  <c r="S111" i="1" s="1"/>
  <c r="K111" i="1"/>
  <c r="K110" i="1"/>
  <c r="R110" i="1" s="1"/>
  <c r="S110" i="1" s="1"/>
  <c r="R109" i="1"/>
  <c r="S109" i="1" s="1"/>
  <c r="K109" i="1"/>
  <c r="K108" i="1"/>
  <c r="R108" i="1" s="1"/>
  <c r="S108" i="1" s="1"/>
  <c r="S107" i="1"/>
  <c r="K106" i="1"/>
  <c r="R106" i="1" s="1"/>
  <c r="S106" i="1" s="1"/>
  <c r="R105" i="1"/>
  <c r="S105" i="1" s="1"/>
  <c r="K105" i="1"/>
  <c r="K104" i="1"/>
  <c r="R104" i="1" s="1"/>
  <c r="S104" i="1" s="1"/>
  <c r="R103" i="1"/>
  <c r="S103" i="1" s="1"/>
  <c r="K103" i="1"/>
  <c r="S102" i="1"/>
  <c r="S101" i="1"/>
  <c r="K100" i="1"/>
  <c r="R100" i="1" s="1"/>
  <c r="S100" i="1" s="1"/>
  <c r="R99" i="1"/>
  <c r="S99" i="1" s="1"/>
  <c r="K99" i="1"/>
  <c r="K98" i="1"/>
  <c r="R98" i="1" s="1"/>
  <c r="S98" i="1" s="1"/>
  <c r="L97" i="1"/>
  <c r="M97" i="1" s="1"/>
  <c r="K97" i="1"/>
  <c r="M96" i="1"/>
  <c r="L95" i="1"/>
  <c r="M95" i="1" s="1"/>
  <c r="K95" i="1"/>
  <c r="M94" i="1"/>
  <c r="L93" i="1"/>
  <c r="M93" i="1" s="1"/>
  <c r="K93" i="1"/>
  <c r="K92" i="1"/>
  <c r="L92" i="1" s="1"/>
  <c r="M92" i="1" s="1"/>
  <c r="M91" i="1"/>
  <c r="K91" i="1"/>
  <c r="L90" i="1"/>
  <c r="M90" i="1" s="1"/>
  <c r="K90" i="1"/>
  <c r="K89" i="1"/>
  <c r="L89" i="1" s="1"/>
  <c r="M89" i="1" s="1"/>
  <c r="M88" i="1"/>
  <c r="M87" i="1"/>
  <c r="K87" i="1"/>
  <c r="K86" i="1"/>
  <c r="L86" i="1" s="1"/>
  <c r="M86" i="1" s="1"/>
  <c r="L85" i="1"/>
  <c r="M85" i="1" s="1"/>
  <c r="K85" i="1"/>
  <c r="K84" i="1"/>
  <c r="L84" i="1" s="1"/>
  <c r="M84" i="1" s="1"/>
  <c r="L83" i="1"/>
  <c r="M83" i="1" s="1"/>
  <c r="K83" i="1"/>
  <c r="M82" i="1"/>
  <c r="M81" i="1"/>
  <c r="K80" i="1"/>
  <c r="L80" i="1" s="1"/>
  <c r="M80" i="1" s="1"/>
  <c r="L79" i="1"/>
  <c r="M79" i="1" s="1"/>
  <c r="K79" i="1"/>
  <c r="M78" i="1"/>
  <c r="L77" i="1"/>
  <c r="M77" i="1" s="1"/>
  <c r="K77" i="1"/>
  <c r="M76" i="1"/>
  <c r="M75" i="1"/>
  <c r="K74" i="1"/>
  <c r="L74" i="1" s="1"/>
  <c r="M74" i="1" s="1"/>
  <c r="M73" i="1"/>
  <c r="M72" i="1"/>
  <c r="L71" i="1"/>
  <c r="M71" i="1" s="1"/>
  <c r="K71" i="1"/>
  <c r="M70" i="1"/>
  <c r="L69" i="1"/>
  <c r="M69" i="1" s="1"/>
  <c r="K69" i="1"/>
  <c r="K68" i="1"/>
  <c r="L68" i="1" s="1"/>
  <c r="M68" i="1" s="1"/>
  <c r="L67" i="1"/>
  <c r="M67" i="1" s="1"/>
  <c r="K67" i="1"/>
  <c r="K66" i="1"/>
  <c r="L66" i="1" s="1"/>
  <c r="M66" i="1" s="1"/>
  <c r="P65" i="1"/>
  <c r="K64" i="1"/>
  <c r="O64" i="1" s="1"/>
  <c r="P64" i="1" s="1"/>
  <c r="P63" i="1"/>
  <c r="K62" i="1"/>
  <c r="O62" i="1" s="1"/>
  <c r="P62" i="1" s="1"/>
  <c r="P61" i="1"/>
  <c r="P60" i="1"/>
  <c r="P59" i="1"/>
  <c r="P58" i="1"/>
  <c r="O57" i="1"/>
  <c r="P57" i="1" s="1"/>
  <c r="K57" i="1"/>
  <c r="P56" i="1"/>
  <c r="P55" i="1"/>
  <c r="P54" i="1"/>
  <c r="P53" i="1"/>
  <c r="P52" i="1"/>
  <c r="O51" i="1"/>
  <c r="P51" i="1" s="1"/>
  <c r="K51" i="1"/>
  <c r="P50" i="1"/>
  <c r="P49" i="1"/>
  <c r="P48" i="1"/>
  <c r="P47" i="1"/>
  <c r="K46" i="1"/>
  <c r="O46" i="1" s="1"/>
  <c r="P46" i="1" s="1"/>
  <c r="O45" i="1"/>
  <c r="P45" i="1" s="1"/>
  <c r="K45" i="1"/>
  <c r="P44" i="1"/>
  <c r="P43" i="1"/>
  <c r="P42" i="1"/>
  <c r="P41" i="1"/>
  <c r="P40" i="1"/>
  <c r="P39" i="1"/>
  <c r="P38" i="1"/>
  <c r="P37" i="1"/>
  <c r="P36" i="1"/>
  <c r="O35" i="1"/>
  <c r="P35" i="1" s="1"/>
  <c r="K35" i="1"/>
  <c r="K34" i="1"/>
  <c r="O34" i="1" s="1"/>
  <c r="P34" i="1" s="1"/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2" i="1"/>
  <c r="M2" i="1" s="1"/>
</calcChain>
</file>

<file path=xl/sharedStrings.xml><?xml version="1.0" encoding="utf-8"?>
<sst xmlns="http://schemas.openxmlformats.org/spreadsheetml/2006/main" count="629" uniqueCount="42">
  <si>
    <t>Arlington</t>
  </si>
  <si>
    <t>Janesville</t>
  </si>
  <si>
    <t>Site</t>
  </si>
  <si>
    <t>PRE</t>
  </si>
  <si>
    <t>Year</t>
  </si>
  <si>
    <t>Block</t>
  </si>
  <si>
    <t>Plot</t>
  </si>
  <si>
    <t>Trt</t>
  </si>
  <si>
    <t>Trt Des</t>
  </si>
  <si>
    <t>POST</t>
  </si>
  <si>
    <t>residual</t>
  </si>
  <si>
    <t>M POST</t>
  </si>
  <si>
    <t>B</t>
  </si>
  <si>
    <t>no</t>
  </si>
  <si>
    <t>Check</t>
  </si>
  <si>
    <t>none</t>
  </si>
  <si>
    <t>L POST</t>
  </si>
  <si>
    <t>C</t>
  </si>
  <si>
    <t>E POST with residual</t>
  </si>
  <si>
    <t>A</t>
  </si>
  <si>
    <t>yes</t>
  </si>
  <si>
    <t>E POST</t>
  </si>
  <si>
    <t>L POST with residual</t>
  </si>
  <si>
    <t>M POST with residual</t>
  </si>
  <si>
    <t>mAMBTR</t>
  </si>
  <si>
    <t>est plants per plot area</t>
  </si>
  <si>
    <t>seeds per plant</t>
  </si>
  <si>
    <t>iAMBTR</t>
  </si>
  <si>
    <t>viaAMBTR</t>
  </si>
  <si>
    <t>Brooklyn</t>
  </si>
  <si>
    <t>iAMBEL</t>
  </si>
  <si>
    <t>mAMBEL</t>
  </si>
  <si>
    <t>iAMATU</t>
  </si>
  <si>
    <t>mAMATU</t>
  </si>
  <si>
    <t>Siteyr</t>
  </si>
  <si>
    <t>ROK18</t>
  </si>
  <si>
    <t>ROK19</t>
  </si>
  <si>
    <t>ARL19</t>
  </si>
  <si>
    <t>BRO19</t>
  </si>
  <si>
    <t>viaAMBEL</t>
  </si>
  <si>
    <t>viaAMATU</t>
  </si>
  <si>
    <t>mseed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</si>
</sst>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0" xfId="0" applyNumberFormat="1"/>
    <xf numFmtId="2" fontId="0" fillId="0" borderId="0" xfId="0" applyNumberFormat="1" applyFill="1" applyBorder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Fill="1"/>
    <xf numFmtId="164" fontId="0" fillId="0" borderId="0" xfId="0" applyNumberFormat="1"/>
    <xf numFmtId="0" fontId="2" fillId="0" borderId="0" xfId="0" applyFont="1"/>
    <xf numFmtId="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D96C-A5F9-4D33-80CF-47ABBA07C2D0}">
  <dimension ref="A1:U129"/>
  <sheetViews>
    <sheetView tabSelected="1" topLeftCell="E1" zoomScale="130" zoomScaleNormal="130" workbookViewId="0">
      <pane ySplit="1" topLeftCell="A110" activePane="bottomLeft" state="frozen"/>
      <selection pane="bottomLeft" activeCell="N14" sqref="N14"/>
    </sheetView>
  </sheetViews>
  <sheetFormatPr defaultRowHeight="15" x14ac:dyDescent="0.25"/>
  <cols>
    <col min="1" max="1" width="10" customWidth="1"/>
    <col min="4" max="4" width="7.42578125" customWidth="1"/>
    <col min="5" max="5" width="6.7109375" customWidth="1"/>
    <col min="6" max="6" width="7.42578125" customWidth="1"/>
    <col min="7" max="7" width="25.140625" customWidth="1"/>
    <col min="9" max="9" width="9.7109375" customWidth="1"/>
    <col min="10" max="10" width="21" customWidth="1"/>
    <col min="11" max="12" width="15" customWidth="1"/>
    <col min="13" max="13" width="10.85546875" style="1" customWidth="1"/>
    <col min="14" max="14" width="10.28515625" customWidth="1"/>
    <col min="17" max="17" width="10.5703125" customWidth="1"/>
    <col min="20" max="20" width="10.7109375" customWidth="1"/>
    <col min="21" max="21" width="10.28515625" bestFit="1" customWidth="1"/>
  </cols>
  <sheetData>
    <row r="1" spans="1:21" ht="15" customHeight="1" x14ac:dyDescent="0.25">
      <c r="A1" s="2" t="s">
        <v>2</v>
      </c>
      <c r="B1" s="2" t="s">
        <v>4</v>
      </c>
      <c r="C1" s="2" t="s">
        <v>34</v>
      </c>
      <c r="D1" s="2" t="s">
        <v>6</v>
      </c>
      <c r="E1" s="2" t="s">
        <v>5</v>
      </c>
      <c r="F1" s="2" t="s">
        <v>7</v>
      </c>
      <c r="G1" s="3" t="s">
        <v>8</v>
      </c>
      <c r="H1" s="2" t="s">
        <v>9</v>
      </c>
      <c r="I1" s="2" t="s">
        <v>10</v>
      </c>
      <c r="J1" s="2" t="s">
        <v>25</v>
      </c>
      <c r="K1" s="2" t="s">
        <v>26</v>
      </c>
      <c r="L1" s="2" t="s">
        <v>27</v>
      </c>
      <c r="M1" s="2" t="s">
        <v>24</v>
      </c>
      <c r="N1" s="2" t="s">
        <v>28</v>
      </c>
      <c r="O1" s="2" t="s">
        <v>30</v>
      </c>
      <c r="P1" s="2" t="s">
        <v>31</v>
      </c>
      <c r="Q1" s="2" t="s">
        <v>39</v>
      </c>
      <c r="R1" s="2" t="s">
        <v>32</v>
      </c>
      <c r="S1" s="2" t="s">
        <v>33</v>
      </c>
      <c r="T1" s="2" t="s">
        <v>40</v>
      </c>
      <c r="U1" s="2" t="s">
        <v>41</v>
      </c>
    </row>
    <row r="2" spans="1:21" x14ac:dyDescent="0.25">
      <c r="A2" t="s">
        <v>1</v>
      </c>
      <c r="B2">
        <v>2018</v>
      </c>
      <c r="C2" t="s">
        <v>35</v>
      </c>
      <c r="D2">
        <v>101</v>
      </c>
      <c r="E2" s="1">
        <v>1</v>
      </c>
      <c r="F2">
        <v>4</v>
      </c>
      <c r="G2" t="s">
        <v>11</v>
      </c>
      <c r="H2" t="s">
        <v>12</v>
      </c>
      <c r="I2" t="s">
        <v>13</v>
      </c>
      <c r="J2">
        <v>0</v>
      </c>
      <c r="K2">
        <v>0</v>
      </c>
      <c r="L2" s="4">
        <f>(J2*K2)/250</f>
        <v>0</v>
      </c>
      <c r="M2" s="5">
        <f>L2/0.092903</f>
        <v>0</v>
      </c>
      <c r="U2" s="5">
        <v>0</v>
      </c>
    </row>
    <row r="3" spans="1:21" x14ac:dyDescent="0.25">
      <c r="A3" t="s">
        <v>1</v>
      </c>
      <c r="B3">
        <v>2018</v>
      </c>
      <c r="C3" t="s">
        <v>35</v>
      </c>
      <c r="D3">
        <v>102</v>
      </c>
      <c r="E3" s="1">
        <v>1</v>
      </c>
      <c r="F3">
        <v>1</v>
      </c>
      <c r="G3" t="s">
        <v>14</v>
      </c>
      <c r="H3" t="s">
        <v>15</v>
      </c>
      <c r="J3">
        <v>186</v>
      </c>
      <c r="K3">
        <v>294</v>
      </c>
      <c r="L3" s="4">
        <f t="shared" ref="L3:L33" si="0">(J3*K3)/250</f>
        <v>218.73599999999999</v>
      </c>
      <c r="M3" s="5">
        <f t="shared" ref="M3:M33" si="1">L3/0.092903</f>
        <v>2354.4557226354368</v>
      </c>
      <c r="N3">
        <v>0.6</v>
      </c>
      <c r="U3" s="5">
        <v>2354.46</v>
      </c>
    </row>
    <row r="4" spans="1:21" x14ac:dyDescent="0.25">
      <c r="A4" t="s">
        <v>1</v>
      </c>
      <c r="B4">
        <v>2018</v>
      </c>
      <c r="C4" t="s">
        <v>35</v>
      </c>
      <c r="D4">
        <v>103</v>
      </c>
      <c r="E4" s="1">
        <v>1</v>
      </c>
      <c r="F4">
        <v>5</v>
      </c>
      <c r="G4" t="s">
        <v>16</v>
      </c>
      <c r="H4" t="s">
        <v>17</v>
      </c>
      <c r="I4" t="s">
        <v>13</v>
      </c>
      <c r="J4">
        <v>0</v>
      </c>
      <c r="K4">
        <v>0</v>
      </c>
      <c r="L4" s="4">
        <f t="shared" si="0"/>
        <v>0</v>
      </c>
      <c r="M4" s="5">
        <f t="shared" si="1"/>
        <v>0</v>
      </c>
      <c r="U4" s="5">
        <v>0</v>
      </c>
    </row>
    <row r="5" spans="1:21" x14ac:dyDescent="0.25">
      <c r="A5" t="s">
        <v>1</v>
      </c>
      <c r="B5">
        <v>2018</v>
      </c>
      <c r="C5" t="s">
        <v>35</v>
      </c>
      <c r="D5">
        <v>104</v>
      </c>
      <c r="E5" s="1">
        <v>1</v>
      </c>
      <c r="F5">
        <v>6</v>
      </c>
      <c r="G5" t="s">
        <v>18</v>
      </c>
      <c r="H5" t="s">
        <v>19</v>
      </c>
      <c r="I5" t="s">
        <v>20</v>
      </c>
      <c r="J5">
        <v>1</v>
      </c>
      <c r="K5">
        <v>186</v>
      </c>
      <c r="L5" s="4">
        <f t="shared" si="0"/>
        <v>0.74399999999999999</v>
      </c>
      <c r="M5" s="5">
        <f t="shared" si="1"/>
        <v>8.0083527980797182</v>
      </c>
      <c r="N5">
        <v>0.63329999999999997</v>
      </c>
      <c r="U5" s="5">
        <v>8.01</v>
      </c>
    </row>
    <row r="6" spans="1:21" x14ac:dyDescent="0.25">
      <c r="A6" t="s">
        <v>1</v>
      </c>
      <c r="B6">
        <v>2018</v>
      </c>
      <c r="C6" t="s">
        <v>35</v>
      </c>
      <c r="D6">
        <v>105</v>
      </c>
      <c r="E6" s="1">
        <v>1</v>
      </c>
      <c r="F6">
        <v>3</v>
      </c>
      <c r="G6" t="s">
        <v>21</v>
      </c>
      <c r="H6" t="s">
        <v>19</v>
      </c>
      <c r="I6" t="s">
        <v>13</v>
      </c>
      <c r="J6">
        <v>2</v>
      </c>
      <c r="K6">
        <v>170</v>
      </c>
      <c r="L6" s="4">
        <f t="shared" si="0"/>
        <v>1.36</v>
      </c>
      <c r="M6" s="5">
        <f t="shared" si="1"/>
        <v>14.638924469608087</v>
      </c>
      <c r="N6">
        <v>0.93330000000000002</v>
      </c>
      <c r="U6" s="5">
        <v>14.64</v>
      </c>
    </row>
    <row r="7" spans="1:21" x14ac:dyDescent="0.25">
      <c r="A7" t="s">
        <v>1</v>
      </c>
      <c r="B7">
        <v>2018</v>
      </c>
      <c r="C7" t="s">
        <v>35</v>
      </c>
      <c r="D7">
        <v>107</v>
      </c>
      <c r="E7" s="1">
        <v>1</v>
      </c>
      <c r="F7">
        <v>8</v>
      </c>
      <c r="G7" t="s">
        <v>22</v>
      </c>
      <c r="H7" t="s">
        <v>17</v>
      </c>
      <c r="I7" t="s">
        <v>20</v>
      </c>
      <c r="J7">
        <v>0</v>
      </c>
      <c r="K7">
        <v>0</v>
      </c>
      <c r="L7" s="4">
        <f t="shared" si="0"/>
        <v>0</v>
      </c>
      <c r="M7" s="5">
        <f t="shared" si="1"/>
        <v>0</v>
      </c>
      <c r="U7" s="5">
        <v>0</v>
      </c>
    </row>
    <row r="8" spans="1:21" x14ac:dyDescent="0.25">
      <c r="A8" t="s">
        <v>1</v>
      </c>
      <c r="B8">
        <v>2018</v>
      </c>
      <c r="C8" t="s">
        <v>35</v>
      </c>
      <c r="D8">
        <v>108</v>
      </c>
      <c r="E8" s="1">
        <v>1</v>
      </c>
      <c r="F8">
        <v>2</v>
      </c>
      <c r="G8" t="s">
        <v>3</v>
      </c>
      <c r="H8" t="s">
        <v>15</v>
      </c>
      <c r="J8">
        <v>70</v>
      </c>
      <c r="K8">
        <v>137</v>
      </c>
      <c r="L8" s="4">
        <f t="shared" si="0"/>
        <v>38.36</v>
      </c>
      <c r="M8" s="5">
        <f t="shared" si="1"/>
        <v>412.9037813633575</v>
      </c>
      <c r="N8">
        <v>0.7</v>
      </c>
      <c r="U8" s="5">
        <v>412.9</v>
      </c>
    </row>
    <row r="9" spans="1:21" x14ac:dyDescent="0.25">
      <c r="A9" t="s">
        <v>1</v>
      </c>
      <c r="B9">
        <v>2018</v>
      </c>
      <c r="C9" t="s">
        <v>35</v>
      </c>
      <c r="D9">
        <v>110</v>
      </c>
      <c r="E9" s="1">
        <v>1</v>
      </c>
      <c r="F9">
        <v>7</v>
      </c>
      <c r="G9" t="s">
        <v>23</v>
      </c>
      <c r="H9" t="s">
        <v>12</v>
      </c>
      <c r="I9" t="s">
        <v>20</v>
      </c>
      <c r="J9">
        <v>0</v>
      </c>
      <c r="K9">
        <v>0</v>
      </c>
      <c r="L9" s="4">
        <f t="shared" si="0"/>
        <v>0</v>
      </c>
      <c r="M9" s="5">
        <f t="shared" si="1"/>
        <v>0</v>
      </c>
      <c r="U9" s="5">
        <v>0</v>
      </c>
    </row>
    <row r="10" spans="1:21" x14ac:dyDescent="0.25">
      <c r="A10" t="s">
        <v>1</v>
      </c>
      <c r="B10">
        <v>2018</v>
      </c>
      <c r="C10" t="s">
        <v>35</v>
      </c>
      <c r="D10">
        <v>201</v>
      </c>
      <c r="E10" s="1">
        <v>2</v>
      </c>
      <c r="F10">
        <v>5</v>
      </c>
      <c r="G10" t="s">
        <v>16</v>
      </c>
      <c r="H10" t="s">
        <v>17</v>
      </c>
      <c r="I10" t="s">
        <v>13</v>
      </c>
      <c r="J10">
        <v>0</v>
      </c>
      <c r="K10">
        <v>0</v>
      </c>
      <c r="L10" s="4">
        <f t="shared" si="0"/>
        <v>0</v>
      </c>
      <c r="M10" s="5">
        <f t="shared" si="1"/>
        <v>0</v>
      </c>
      <c r="U10" s="5">
        <v>0</v>
      </c>
    </row>
    <row r="11" spans="1:21" x14ac:dyDescent="0.25">
      <c r="A11" t="s">
        <v>1</v>
      </c>
      <c r="B11">
        <v>2018</v>
      </c>
      <c r="C11" t="s">
        <v>35</v>
      </c>
      <c r="D11">
        <v>203</v>
      </c>
      <c r="E11" s="1">
        <v>2</v>
      </c>
      <c r="F11">
        <v>3</v>
      </c>
      <c r="G11" t="s">
        <v>21</v>
      </c>
      <c r="H11" t="s">
        <v>19</v>
      </c>
      <c r="I11" t="s">
        <v>13</v>
      </c>
      <c r="J11">
        <v>0</v>
      </c>
      <c r="K11">
        <v>0</v>
      </c>
      <c r="L11" s="4">
        <f t="shared" si="0"/>
        <v>0</v>
      </c>
      <c r="M11" s="5">
        <f t="shared" si="1"/>
        <v>0</v>
      </c>
      <c r="U11" s="5">
        <v>0</v>
      </c>
    </row>
    <row r="12" spans="1:21" x14ac:dyDescent="0.25">
      <c r="A12" t="s">
        <v>1</v>
      </c>
      <c r="B12">
        <v>2018</v>
      </c>
      <c r="C12" t="s">
        <v>35</v>
      </c>
      <c r="D12">
        <v>204</v>
      </c>
      <c r="E12" s="1">
        <v>2</v>
      </c>
      <c r="F12">
        <v>8</v>
      </c>
      <c r="G12" t="s">
        <v>22</v>
      </c>
      <c r="H12" t="s">
        <v>17</v>
      </c>
      <c r="I12" t="s">
        <v>20</v>
      </c>
      <c r="J12">
        <v>0</v>
      </c>
      <c r="K12">
        <v>0</v>
      </c>
      <c r="L12" s="4">
        <f t="shared" si="0"/>
        <v>0</v>
      </c>
      <c r="M12" s="5">
        <f t="shared" si="1"/>
        <v>0</v>
      </c>
      <c r="U12" s="5">
        <v>0</v>
      </c>
    </row>
    <row r="13" spans="1:21" x14ac:dyDescent="0.25">
      <c r="A13" t="s">
        <v>1</v>
      </c>
      <c r="B13">
        <v>2018</v>
      </c>
      <c r="C13" t="s">
        <v>35</v>
      </c>
      <c r="D13">
        <v>206</v>
      </c>
      <c r="E13" s="1">
        <v>2</v>
      </c>
      <c r="F13">
        <v>1</v>
      </c>
      <c r="G13" t="s">
        <v>14</v>
      </c>
      <c r="H13" t="s">
        <v>15</v>
      </c>
      <c r="J13">
        <v>93</v>
      </c>
      <c r="K13">
        <v>307.5</v>
      </c>
      <c r="L13" s="4">
        <f t="shared" si="0"/>
        <v>114.39</v>
      </c>
      <c r="M13" s="5">
        <f t="shared" si="1"/>
        <v>1231.2842427047565</v>
      </c>
      <c r="N13">
        <v>0.6</v>
      </c>
      <c r="U13" s="5">
        <v>1231.28</v>
      </c>
    </row>
    <row r="14" spans="1:21" x14ac:dyDescent="0.25">
      <c r="A14" t="s">
        <v>1</v>
      </c>
      <c r="B14">
        <v>2018</v>
      </c>
      <c r="C14" t="s">
        <v>35</v>
      </c>
      <c r="D14">
        <v>207</v>
      </c>
      <c r="E14" s="1">
        <v>2</v>
      </c>
      <c r="F14">
        <v>4</v>
      </c>
      <c r="G14" t="s">
        <v>11</v>
      </c>
      <c r="H14" t="s">
        <v>12</v>
      </c>
      <c r="I14" t="s">
        <v>13</v>
      </c>
      <c r="J14">
        <v>0</v>
      </c>
      <c r="K14">
        <v>0</v>
      </c>
      <c r="L14" s="4">
        <f t="shared" si="0"/>
        <v>0</v>
      </c>
      <c r="M14" s="5">
        <f t="shared" si="1"/>
        <v>0</v>
      </c>
      <c r="U14" s="5">
        <v>0</v>
      </c>
    </row>
    <row r="15" spans="1:21" x14ac:dyDescent="0.25">
      <c r="A15" t="s">
        <v>1</v>
      </c>
      <c r="B15">
        <v>2018</v>
      </c>
      <c r="C15" t="s">
        <v>35</v>
      </c>
      <c r="D15">
        <v>208</v>
      </c>
      <c r="E15" s="1">
        <v>2</v>
      </c>
      <c r="F15">
        <v>7</v>
      </c>
      <c r="G15" t="s">
        <v>23</v>
      </c>
      <c r="H15" t="s">
        <v>12</v>
      </c>
      <c r="I15" t="s">
        <v>20</v>
      </c>
      <c r="J15">
        <v>0</v>
      </c>
      <c r="K15">
        <v>0</v>
      </c>
      <c r="L15" s="4">
        <f t="shared" si="0"/>
        <v>0</v>
      </c>
      <c r="M15" s="5">
        <f t="shared" si="1"/>
        <v>0</v>
      </c>
      <c r="U15" s="5">
        <v>0</v>
      </c>
    </row>
    <row r="16" spans="1:21" x14ac:dyDescent="0.25">
      <c r="A16" t="s">
        <v>1</v>
      </c>
      <c r="B16">
        <v>2018</v>
      </c>
      <c r="C16" t="s">
        <v>35</v>
      </c>
      <c r="D16">
        <v>209</v>
      </c>
      <c r="E16" s="1">
        <v>2</v>
      </c>
      <c r="F16">
        <v>6</v>
      </c>
      <c r="G16" t="s">
        <v>18</v>
      </c>
      <c r="H16" t="s">
        <v>19</v>
      </c>
      <c r="I16" t="s">
        <v>20</v>
      </c>
      <c r="J16">
        <v>0</v>
      </c>
      <c r="K16">
        <v>0</v>
      </c>
      <c r="L16" s="4">
        <f t="shared" si="0"/>
        <v>0</v>
      </c>
      <c r="M16" s="5">
        <f t="shared" si="1"/>
        <v>0</v>
      </c>
      <c r="U16" s="5">
        <v>0</v>
      </c>
    </row>
    <row r="17" spans="1:21" x14ac:dyDescent="0.25">
      <c r="A17" t="s">
        <v>1</v>
      </c>
      <c r="B17">
        <v>2018</v>
      </c>
      <c r="C17" t="s">
        <v>35</v>
      </c>
      <c r="D17">
        <v>210</v>
      </c>
      <c r="E17" s="1">
        <v>2</v>
      </c>
      <c r="F17">
        <v>2</v>
      </c>
      <c r="G17" t="s">
        <v>3</v>
      </c>
      <c r="H17" t="s">
        <v>15</v>
      </c>
      <c r="J17">
        <v>116</v>
      </c>
      <c r="K17">
        <v>412</v>
      </c>
      <c r="L17" s="4">
        <f t="shared" si="0"/>
        <v>191.16800000000001</v>
      </c>
      <c r="M17" s="5">
        <f t="shared" si="1"/>
        <v>2057.7161125044404</v>
      </c>
      <c r="N17">
        <v>0.86670000000000003</v>
      </c>
      <c r="U17" s="5">
        <v>2057.7199999999998</v>
      </c>
    </row>
    <row r="18" spans="1:21" x14ac:dyDescent="0.25">
      <c r="A18" t="s">
        <v>1</v>
      </c>
      <c r="B18">
        <v>2018</v>
      </c>
      <c r="C18" t="s">
        <v>35</v>
      </c>
      <c r="D18">
        <v>301</v>
      </c>
      <c r="E18" s="1">
        <v>3</v>
      </c>
      <c r="F18">
        <v>2</v>
      </c>
      <c r="G18" t="s">
        <v>3</v>
      </c>
      <c r="H18" t="s">
        <v>15</v>
      </c>
      <c r="J18">
        <v>116</v>
      </c>
      <c r="K18">
        <v>256</v>
      </c>
      <c r="L18" s="4">
        <f t="shared" si="0"/>
        <v>118.78400000000001</v>
      </c>
      <c r="M18" s="5">
        <f t="shared" si="1"/>
        <v>1278.5808854396521</v>
      </c>
      <c r="N18">
        <v>0.4</v>
      </c>
      <c r="U18" s="5">
        <v>1278.58</v>
      </c>
    </row>
    <row r="19" spans="1:21" x14ac:dyDescent="0.25">
      <c r="A19" t="s">
        <v>1</v>
      </c>
      <c r="B19">
        <v>2018</v>
      </c>
      <c r="C19" t="s">
        <v>35</v>
      </c>
      <c r="D19">
        <v>302</v>
      </c>
      <c r="E19" s="1">
        <v>3</v>
      </c>
      <c r="F19">
        <v>7</v>
      </c>
      <c r="G19" t="s">
        <v>23</v>
      </c>
      <c r="H19" t="s">
        <v>12</v>
      </c>
      <c r="I19" t="s">
        <v>20</v>
      </c>
      <c r="J19">
        <v>0</v>
      </c>
      <c r="K19">
        <v>0</v>
      </c>
      <c r="L19" s="4">
        <f t="shared" si="0"/>
        <v>0</v>
      </c>
      <c r="M19" s="5">
        <f t="shared" si="1"/>
        <v>0</v>
      </c>
      <c r="U19" s="5">
        <v>0</v>
      </c>
    </row>
    <row r="20" spans="1:21" x14ac:dyDescent="0.25">
      <c r="A20" t="s">
        <v>1</v>
      </c>
      <c r="B20">
        <v>2018</v>
      </c>
      <c r="C20" t="s">
        <v>35</v>
      </c>
      <c r="D20">
        <v>305</v>
      </c>
      <c r="E20" s="1">
        <v>3</v>
      </c>
      <c r="F20">
        <v>5</v>
      </c>
      <c r="G20" t="s">
        <v>16</v>
      </c>
      <c r="H20" t="s">
        <v>17</v>
      </c>
      <c r="I20" t="s">
        <v>13</v>
      </c>
      <c r="J20">
        <v>0</v>
      </c>
      <c r="K20">
        <v>0</v>
      </c>
      <c r="L20" s="4">
        <f t="shared" si="0"/>
        <v>0</v>
      </c>
      <c r="M20" s="5">
        <f t="shared" si="1"/>
        <v>0</v>
      </c>
      <c r="U20" s="5">
        <v>0</v>
      </c>
    </row>
    <row r="21" spans="1:21" x14ac:dyDescent="0.25">
      <c r="A21" t="s">
        <v>1</v>
      </c>
      <c r="B21">
        <v>2018</v>
      </c>
      <c r="C21" t="s">
        <v>35</v>
      </c>
      <c r="D21">
        <v>306</v>
      </c>
      <c r="E21" s="1">
        <v>3</v>
      </c>
      <c r="F21">
        <v>8</v>
      </c>
      <c r="G21" t="s">
        <v>22</v>
      </c>
      <c r="H21" t="s">
        <v>17</v>
      </c>
      <c r="I21" t="s">
        <v>20</v>
      </c>
      <c r="J21">
        <v>1</v>
      </c>
      <c r="K21">
        <v>3</v>
      </c>
      <c r="L21" s="4">
        <f t="shared" si="0"/>
        <v>1.2E-2</v>
      </c>
      <c r="M21" s="5">
        <f t="shared" si="1"/>
        <v>0.12916698061418899</v>
      </c>
      <c r="N21">
        <v>0.33329999999999999</v>
      </c>
      <c r="U21" s="5">
        <v>0.13</v>
      </c>
    </row>
    <row r="22" spans="1:21" x14ac:dyDescent="0.25">
      <c r="A22" t="s">
        <v>1</v>
      </c>
      <c r="B22">
        <v>2018</v>
      </c>
      <c r="C22" t="s">
        <v>35</v>
      </c>
      <c r="D22">
        <v>307</v>
      </c>
      <c r="E22" s="1">
        <v>3</v>
      </c>
      <c r="F22">
        <v>6</v>
      </c>
      <c r="G22" t="s">
        <v>18</v>
      </c>
      <c r="H22" t="s">
        <v>19</v>
      </c>
      <c r="I22" t="s">
        <v>20</v>
      </c>
      <c r="J22">
        <v>2</v>
      </c>
      <c r="K22">
        <v>562</v>
      </c>
      <c r="L22" s="4">
        <f t="shared" si="0"/>
        <v>4.4960000000000004</v>
      </c>
      <c r="M22" s="5">
        <f t="shared" si="1"/>
        <v>48.394562070116145</v>
      </c>
      <c r="N22">
        <v>0.33329999999999999</v>
      </c>
      <c r="U22" s="5">
        <v>48.39</v>
      </c>
    </row>
    <row r="23" spans="1:21" x14ac:dyDescent="0.25">
      <c r="A23" t="s">
        <v>1</v>
      </c>
      <c r="B23">
        <v>2018</v>
      </c>
      <c r="C23" t="s">
        <v>35</v>
      </c>
      <c r="D23">
        <v>308</v>
      </c>
      <c r="E23" s="1">
        <v>3</v>
      </c>
      <c r="F23">
        <v>1</v>
      </c>
      <c r="G23" t="s">
        <v>14</v>
      </c>
      <c r="H23" t="s">
        <v>15</v>
      </c>
      <c r="J23">
        <v>209</v>
      </c>
      <c r="K23">
        <v>281</v>
      </c>
      <c r="L23" s="4">
        <f t="shared" si="0"/>
        <v>234.916</v>
      </c>
      <c r="M23" s="5">
        <f t="shared" si="1"/>
        <v>2528.6158681635684</v>
      </c>
      <c r="N23">
        <v>0.66669999999999996</v>
      </c>
      <c r="U23" s="5">
        <v>2528.62</v>
      </c>
    </row>
    <row r="24" spans="1:21" x14ac:dyDescent="0.25">
      <c r="A24" t="s">
        <v>1</v>
      </c>
      <c r="B24">
        <v>2018</v>
      </c>
      <c r="C24" t="s">
        <v>35</v>
      </c>
      <c r="D24">
        <v>309</v>
      </c>
      <c r="E24" s="1">
        <v>3</v>
      </c>
      <c r="F24">
        <v>3</v>
      </c>
      <c r="G24" t="s">
        <v>21</v>
      </c>
      <c r="H24" t="s">
        <v>19</v>
      </c>
      <c r="I24" t="s">
        <v>13</v>
      </c>
      <c r="J24">
        <v>0</v>
      </c>
      <c r="K24">
        <v>0</v>
      </c>
      <c r="L24" s="4">
        <f t="shared" si="0"/>
        <v>0</v>
      </c>
      <c r="M24" s="5">
        <f t="shared" si="1"/>
        <v>0</v>
      </c>
      <c r="U24" s="5">
        <v>0</v>
      </c>
    </row>
    <row r="25" spans="1:21" x14ac:dyDescent="0.25">
      <c r="A25" t="s">
        <v>1</v>
      </c>
      <c r="B25">
        <v>2018</v>
      </c>
      <c r="C25" t="s">
        <v>35</v>
      </c>
      <c r="D25">
        <v>310</v>
      </c>
      <c r="E25" s="1">
        <v>3</v>
      </c>
      <c r="F25">
        <v>4</v>
      </c>
      <c r="G25" t="s">
        <v>11</v>
      </c>
      <c r="H25" t="s">
        <v>12</v>
      </c>
      <c r="I25" t="s">
        <v>13</v>
      </c>
      <c r="J25">
        <v>0</v>
      </c>
      <c r="K25">
        <v>0</v>
      </c>
      <c r="L25" s="4">
        <f t="shared" si="0"/>
        <v>0</v>
      </c>
      <c r="M25" s="5">
        <f t="shared" si="1"/>
        <v>0</v>
      </c>
      <c r="U25" s="5">
        <v>0</v>
      </c>
    </row>
    <row r="26" spans="1:21" x14ac:dyDescent="0.25">
      <c r="A26" t="s">
        <v>1</v>
      </c>
      <c r="B26">
        <v>2018</v>
      </c>
      <c r="C26" t="s">
        <v>35</v>
      </c>
      <c r="D26">
        <v>401</v>
      </c>
      <c r="E26" s="1">
        <v>4</v>
      </c>
      <c r="F26">
        <v>1</v>
      </c>
      <c r="G26" t="s">
        <v>14</v>
      </c>
      <c r="H26" t="s">
        <v>15</v>
      </c>
      <c r="J26">
        <v>465</v>
      </c>
      <c r="K26">
        <v>343</v>
      </c>
      <c r="L26" s="4">
        <f t="shared" si="0"/>
        <v>637.98</v>
      </c>
      <c r="M26" s="5">
        <f t="shared" si="1"/>
        <v>6867.1625243533581</v>
      </c>
      <c r="N26">
        <v>0.8</v>
      </c>
      <c r="U26" s="5">
        <v>6867.16</v>
      </c>
    </row>
    <row r="27" spans="1:21" x14ac:dyDescent="0.25">
      <c r="A27" t="s">
        <v>1</v>
      </c>
      <c r="B27">
        <v>2018</v>
      </c>
      <c r="C27" t="s">
        <v>35</v>
      </c>
      <c r="D27">
        <v>402</v>
      </c>
      <c r="E27" s="1">
        <v>4</v>
      </c>
      <c r="F27">
        <v>8</v>
      </c>
      <c r="G27" t="s">
        <v>22</v>
      </c>
      <c r="H27" t="s">
        <v>17</v>
      </c>
      <c r="I27" t="s">
        <v>20</v>
      </c>
      <c r="J27">
        <v>0</v>
      </c>
      <c r="K27">
        <v>0</v>
      </c>
      <c r="L27" s="4">
        <f t="shared" si="0"/>
        <v>0</v>
      </c>
      <c r="M27" s="5">
        <f t="shared" si="1"/>
        <v>0</v>
      </c>
      <c r="U27" s="5">
        <v>0</v>
      </c>
    </row>
    <row r="28" spans="1:21" x14ac:dyDescent="0.25">
      <c r="A28" t="s">
        <v>1</v>
      </c>
      <c r="B28">
        <v>2018</v>
      </c>
      <c r="C28" t="s">
        <v>35</v>
      </c>
      <c r="D28">
        <v>403</v>
      </c>
      <c r="E28" s="1">
        <v>4</v>
      </c>
      <c r="F28">
        <v>6</v>
      </c>
      <c r="G28" t="s">
        <v>18</v>
      </c>
      <c r="H28" t="s">
        <v>19</v>
      </c>
      <c r="I28" t="s">
        <v>20</v>
      </c>
      <c r="J28">
        <v>0</v>
      </c>
      <c r="K28">
        <v>0</v>
      </c>
      <c r="L28" s="4">
        <f t="shared" si="0"/>
        <v>0</v>
      </c>
      <c r="M28" s="5">
        <f t="shared" si="1"/>
        <v>0</v>
      </c>
      <c r="U28" s="5">
        <v>0</v>
      </c>
    </row>
    <row r="29" spans="1:21" x14ac:dyDescent="0.25">
      <c r="A29" t="s">
        <v>1</v>
      </c>
      <c r="B29">
        <v>2018</v>
      </c>
      <c r="C29" t="s">
        <v>35</v>
      </c>
      <c r="D29">
        <v>404</v>
      </c>
      <c r="E29" s="1">
        <v>4</v>
      </c>
      <c r="F29">
        <v>4</v>
      </c>
      <c r="G29" t="s">
        <v>11</v>
      </c>
      <c r="H29" t="s">
        <v>12</v>
      </c>
      <c r="I29" t="s">
        <v>13</v>
      </c>
      <c r="J29">
        <v>0</v>
      </c>
      <c r="K29">
        <v>0</v>
      </c>
      <c r="L29" s="4">
        <f t="shared" si="0"/>
        <v>0</v>
      </c>
      <c r="M29" s="5">
        <f t="shared" si="1"/>
        <v>0</v>
      </c>
      <c r="U29" s="5">
        <v>0</v>
      </c>
    </row>
    <row r="30" spans="1:21" x14ac:dyDescent="0.25">
      <c r="A30" t="s">
        <v>1</v>
      </c>
      <c r="B30">
        <v>2018</v>
      </c>
      <c r="C30" t="s">
        <v>35</v>
      </c>
      <c r="D30">
        <v>405</v>
      </c>
      <c r="E30" s="1">
        <v>4</v>
      </c>
      <c r="F30">
        <v>2</v>
      </c>
      <c r="G30" t="s">
        <v>3</v>
      </c>
      <c r="H30" t="s">
        <v>15</v>
      </c>
      <c r="J30">
        <v>465</v>
      </c>
      <c r="K30">
        <v>263</v>
      </c>
      <c r="L30" s="4">
        <f t="shared" si="0"/>
        <v>489.18</v>
      </c>
      <c r="M30" s="5">
        <f t="shared" si="1"/>
        <v>5265.4919647374145</v>
      </c>
      <c r="N30">
        <v>0.73329999999999995</v>
      </c>
      <c r="U30" s="5">
        <v>5265.49</v>
      </c>
    </row>
    <row r="31" spans="1:21" x14ac:dyDescent="0.25">
      <c r="A31" t="s">
        <v>1</v>
      </c>
      <c r="B31">
        <v>2018</v>
      </c>
      <c r="C31" t="s">
        <v>35</v>
      </c>
      <c r="D31">
        <v>406</v>
      </c>
      <c r="E31" s="1">
        <v>4</v>
      </c>
      <c r="F31">
        <v>3</v>
      </c>
      <c r="G31" t="s">
        <v>21</v>
      </c>
      <c r="H31" t="s">
        <v>19</v>
      </c>
      <c r="I31" t="s">
        <v>13</v>
      </c>
      <c r="J31">
        <v>0</v>
      </c>
      <c r="K31">
        <v>0</v>
      </c>
      <c r="L31" s="4">
        <f t="shared" si="0"/>
        <v>0</v>
      </c>
      <c r="M31" s="5">
        <f t="shared" si="1"/>
        <v>0</v>
      </c>
      <c r="U31" s="5">
        <v>0</v>
      </c>
    </row>
    <row r="32" spans="1:21" x14ac:dyDescent="0.25">
      <c r="A32" t="s">
        <v>1</v>
      </c>
      <c r="B32">
        <v>2018</v>
      </c>
      <c r="C32" t="s">
        <v>35</v>
      </c>
      <c r="D32">
        <v>407</v>
      </c>
      <c r="E32" s="1">
        <v>4</v>
      </c>
      <c r="F32">
        <v>7</v>
      </c>
      <c r="G32" t="s">
        <v>23</v>
      </c>
      <c r="H32" t="s">
        <v>12</v>
      </c>
      <c r="I32" t="s">
        <v>20</v>
      </c>
      <c r="J32">
        <v>0</v>
      </c>
      <c r="K32">
        <v>0</v>
      </c>
      <c r="L32" s="4">
        <f t="shared" si="0"/>
        <v>0</v>
      </c>
      <c r="M32" s="5">
        <f t="shared" si="1"/>
        <v>0</v>
      </c>
      <c r="U32" s="5">
        <v>0</v>
      </c>
    </row>
    <row r="33" spans="1:21" x14ac:dyDescent="0.25">
      <c r="A33" t="s">
        <v>1</v>
      </c>
      <c r="B33">
        <v>2018</v>
      </c>
      <c r="C33" t="s">
        <v>35</v>
      </c>
      <c r="D33">
        <v>409</v>
      </c>
      <c r="E33" s="1">
        <v>4</v>
      </c>
      <c r="F33">
        <v>5</v>
      </c>
      <c r="G33" t="s">
        <v>16</v>
      </c>
      <c r="H33" t="s">
        <v>17</v>
      </c>
      <c r="I33" t="s">
        <v>13</v>
      </c>
      <c r="J33">
        <v>0</v>
      </c>
      <c r="K33">
        <v>0</v>
      </c>
      <c r="L33" s="4">
        <f t="shared" si="0"/>
        <v>0</v>
      </c>
      <c r="M33" s="5">
        <f t="shared" si="1"/>
        <v>0</v>
      </c>
      <c r="U33" s="5">
        <v>0</v>
      </c>
    </row>
    <row r="34" spans="1:21" x14ac:dyDescent="0.25">
      <c r="A34" t="s">
        <v>0</v>
      </c>
      <c r="B34">
        <v>2019</v>
      </c>
      <c r="C34" t="s">
        <v>37</v>
      </c>
      <c r="D34">
        <v>101</v>
      </c>
      <c r="E34">
        <v>1</v>
      </c>
      <c r="F34">
        <v>1</v>
      </c>
      <c r="G34" t="s">
        <v>14</v>
      </c>
      <c r="H34" t="s">
        <v>15</v>
      </c>
      <c r="K34" s="6">
        <f>((47.6531/((0.4225+0.3713+0.4356+0.4344+0.4121)/5))*100)/2</f>
        <v>5738.8482104147588</v>
      </c>
      <c r="O34" s="6">
        <f>K34*1</f>
        <v>5738.8482104147588</v>
      </c>
      <c r="P34" s="6">
        <f>O34/0.092903</f>
        <v>61772.474628534699</v>
      </c>
      <c r="Q34" s="4">
        <v>0.86</v>
      </c>
      <c r="U34" s="5">
        <v>61772</v>
      </c>
    </row>
    <row r="35" spans="1:21" x14ac:dyDescent="0.25">
      <c r="A35" t="s">
        <v>0</v>
      </c>
      <c r="B35">
        <v>2019</v>
      </c>
      <c r="C35" t="s">
        <v>37</v>
      </c>
      <c r="D35">
        <v>102</v>
      </c>
      <c r="E35">
        <v>1</v>
      </c>
      <c r="F35">
        <v>2</v>
      </c>
      <c r="G35" t="s">
        <v>3</v>
      </c>
      <c r="H35" t="s">
        <v>15</v>
      </c>
      <c r="K35" s="6">
        <f>((13.237/((0.3843+0.355+0.3797+0.3816+0.3362)/5))*100)/2</f>
        <v>1801.6387195121952</v>
      </c>
      <c r="O35" s="6">
        <f>K35*0.5</f>
        <v>900.81935975609758</v>
      </c>
      <c r="P35" s="6">
        <f t="shared" ref="P35:P65" si="2">O35/0.092903</f>
        <v>9696.3430648751673</v>
      </c>
      <c r="Q35" s="4">
        <v>0.87</v>
      </c>
      <c r="U35" s="5">
        <v>9696</v>
      </c>
    </row>
    <row r="36" spans="1:21" x14ac:dyDescent="0.25">
      <c r="A36" t="s">
        <v>0</v>
      </c>
      <c r="B36">
        <v>2019</v>
      </c>
      <c r="C36" t="s">
        <v>37</v>
      </c>
      <c r="D36">
        <v>103</v>
      </c>
      <c r="E36">
        <v>1</v>
      </c>
      <c r="F36">
        <v>3</v>
      </c>
      <c r="G36" t="s">
        <v>21</v>
      </c>
      <c r="H36" t="s">
        <v>19</v>
      </c>
      <c r="I36" t="s">
        <v>13</v>
      </c>
      <c r="K36">
        <v>0</v>
      </c>
      <c r="O36">
        <v>0</v>
      </c>
      <c r="P36" s="6">
        <f t="shared" si="2"/>
        <v>0</v>
      </c>
      <c r="Q36" s="6"/>
      <c r="U36" s="5">
        <v>0</v>
      </c>
    </row>
    <row r="37" spans="1:21" x14ac:dyDescent="0.25">
      <c r="A37" t="s">
        <v>0</v>
      </c>
      <c r="B37">
        <v>2019</v>
      </c>
      <c r="C37" t="s">
        <v>37</v>
      </c>
      <c r="D37">
        <v>104</v>
      </c>
      <c r="E37">
        <v>1</v>
      </c>
      <c r="F37">
        <v>4</v>
      </c>
      <c r="G37" t="s">
        <v>11</v>
      </c>
      <c r="H37" t="s">
        <v>12</v>
      </c>
      <c r="I37" t="s">
        <v>13</v>
      </c>
      <c r="K37">
        <v>0</v>
      </c>
      <c r="O37">
        <v>0</v>
      </c>
      <c r="P37" s="6">
        <f t="shared" si="2"/>
        <v>0</v>
      </c>
      <c r="Q37" s="6"/>
      <c r="U37" s="5">
        <v>0</v>
      </c>
    </row>
    <row r="38" spans="1:21" x14ac:dyDescent="0.25">
      <c r="A38" t="s">
        <v>0</v>
      </c>
      <c r="B38">
        <v>2019</v>
      </c>
      <c r="C38" t="s">
        <v>37</v>
      </c>
      <c r="D38">
        <v>105</v>
      </c>
      <c r="E38">
        <v>1</v>
      </c>
      <c r="F38">
        <v>5</v>
      </c>
      <c r="G38" t="s">
        <v>16</v>
      </c>
      <c r="H38" t="s">
        <v>17</v>
      </c>
      <c r="I38" t="s">
        <v>13</v>
      </c>
      <c r="K38">
        <v>0</v>
      </c>
      <c r="O38">
        <v>0</v>
      </c>
      <c r="P38" s="6">
        <f t="shared" si="2"/>
        <v>0</v>
      </c>
      <c r="Q38" s="6"/>
      <c r="U38" s="5">
        <v>0</v>
      </c>
    </row>
    <row r="39" spans="1:21" x14ac:dyDescent="0.25">
      <c r="A39" t="s">
        <v>0</v>
      </c>
      <c r="B39">
        <v>2019</v>
      </c>
      <c r="C39" t="s">
        <v>37</v>
      </c>
      <c r="D39">
        <v>106</v>
      </c>
      <c r="E39">
        <v>1</v>
      </c>
      <c r="F39">
        <v>6</v>
      </c>
      <c r="G39" t="s">
        <v>18</v>
      </c>
      <c r="H39" t="s">
        <v>19</v>
      </c>
      <c r="I39" t="s">
        <v>20</v>
      </c>
      <c r="K39">
        <v>0</v>
      </c>
      <c r="O39">
        <v>0</v>
      </c>
      <c r="P39" s="6">
        <f t="shared" si="2"/>
        <v>0</v>
      </c>
      <c r="Q39" s="6"/>
      <c r="U39" s="5">
        <v>0</v>
      </c>
    </row>
    <row r="40" spans="1:21" x14ac:dyDescent="0.25">
      <c r="A40" t="s">
        <v>0</v>
      </c>
      <c r="B40">
        <v>2019</v>
      </c>
      <c r="C40" t="s">
        <v>37</v>
      </c>
      <c r="D40">
        <v>107</v>
      </c>
      <c r="E40">
        <v>1</v>
      </c>
      <c r="F40">
        <v>7</v>
      </c>
      <c r="G40" t="s">
        <v>23</v>
      </c>
      <c r="H40" t="s">
        <v>12</v>
      </c>
      <c r="I40" t="s">
        <v>20</v>
      </c>
      <c r="K40">
        <v>0</v>
      </c>
      <c r="O40">
        <v>0</v>
      </c>
      <c r="P40" s="6">
        <f t="shared" si="2"/>
        <v>0</v>
      </c>
      <c r="Q40" s="6"/>
      <c r="U40" s="5">
        <v>0</v>
      </c>
    </row>
    <row r="41" spans="1:21" x14ac:dyDescent="0.25">
      <c r="A41" t="s">
        <v>0</v>
      </c>
      <c r="B41">
        <v>2019</v>
      </c>
      <c r="C41" t="s">
        <v>37</v>
      </c>
      <c r="D41">
        <v>108</v>
      </c>
      <c r="E41">
        <v>1</v>
      </c>
      <c r="F41">
        <v>8</v>
      </c>
      <c r="G41" t="s">
        <v>22</v>
      </c>
      <c r="H41" t="s">
        <v>17</v>
      </c>
      <c r="I41" t="s">
        <v>20</v>
      </c>
      <c r="K41">
        <v>0</v>
      </c>
      <c r="O41">
        <v>0</v>
      </c>
      <c r="P41" s="6">
        <f t="shared" si="2"/>
        <v>0</v>
      </c>
      <c r="Q41" s="6"/>
      <c r="U41" s="5">
        <v>0</v>
      </c>
    </row>
    <row r="42" spans="1:21" x14ac:dyDescent="0.25">
      <c r="A42" t="s">
        <v>0</v>
      </c>
      <c r="B42">
        <v>2019</v>
      </c>
      <c r="C42" t="s">
        <v>37</v>
      </c>
      <c r="D42">
        <v>201</v>
      </c>
      <c r="E42">
        <v>2</v>
      </c>
      <c r="F42">
        <v>8</v>
      </c>
      <c r="G42" t="s">
        <v>22</v>
      </c>
      <c r="H42" t="s">
        <v>17</v>
      </c>
      <c r="I42" t="s">
        <v>20</v>
      </c>
      <c r="K42">
        <v>0</v>
      </c>
      <c r="O42">
        <v>0</v>
      </c>
      <c r="P42" s="6">
        <f t="shared" si="2"/>
        <v>0</v>
      </c>
      <c r="Q42" s="6"/>
      <c r="U42" s="5">
        <v>0</v>
      </c>
    </row>
    <row r="43" spans="1:21" x14ac:dyDescent="0.25">
      <c r="A43" t="s">
        <v>0</v>
      </c>
      <c r="B43">
        <v>2019</v>
      </c>
      <c r="C43" t="s">
        <v>37</v>
      </c>
      <c r="D43">
        <v>202</v>
      </c>
      <c r="E43">
        <v>2</v>
      </c>
      <c r="F43">
        <v>5</v>
      </c>
      <c r="G43" t="s">
        <v>16</v>
      </c>
      <c r="H43" t="s">
        <v>17</v>
      </c>
      <c r="I43" t="s">
        <v>13</v>
      </c>
      <c r="K43">
        <v>0</v>
      </c>
      <c r="O43">
        <v>0</v>
      </c>
      <c r="P43" s="6">
        <f t="shared" si="2"/>
        <v>0</v>
      </c>
      <c r="Q43" s="6"/>
      <c r="U43" s="5">
        <v>0</v>
      </c>
    </row>
    <row r="44" spans="1:21" x14ac:dyDescent="0.25">
      <c r="A44" t="s">
        <v>0</v>
      </c>
      <c r="B44">
        <v>2019</v>
      </c>
      <c r="C44" t="s">
        <v>37</v>
      </c>
      <c r="D44">
        <v>203</v>
      </c>
      <c r="E44">
        <v>2</v>
      </c>
      <c r="F44">
        <v>7</v>
      </c>
      <c r="G44" t="s">
        <v>23</v>
      </c>
      <c r="H44" t="s">
        <v>12</v>
      </c>
      <c r="I44" t="s">
        <v>20</v>
      </c>
      <c r="K44">
        <v>0</v>
      </c>
      <c r="O44">
        <v>0</v>
      </c>
      <c r="P44" s="6">
        <f t="shared" si="2"/>
        <v>0</v>
      </c>
      <c r="Q44" s="6"/>
      <c r="U44" s="5">
        <v>0</v>
      </c>
    </row>
    <row r="45" spans="1:21" x14ac:dyDescent="0.25">
      <c r="A45" t="s">
        <v>0</v>
      </c>
      <c r="B45">
        <v>2019</v>
      </c>
      <c r="C45" t="s">
        <v>37</v>
      </c>
      <c r="D45">
        <v>204</v>
      </c>
      <c r="E45">
        <v>2</v>
      </c>
      <c r="F45">
        <v>1</v>
      </c>
      <c r="G45" t="s">
        <v>14</v>
      </c>
      <c r="H45" t="s">
        <v>15</v>
      </c>
      <c r="K45" s="6">
        <f>((50.4403/((0.4378+0.4364+0.3503+0.3321+0.3386)/5))*100)/2</f>
        <v>6653.6909033347401</v>
      </c>
      <c r="O45" s="6">
        <f>1.5*K45</f>
        <v>9980.5363550021102</v>
      </c>
      <c r="P45" s="6">
        <f t="shared" si="2"/>
        <v>107429.6454904805</v>
      </c>
      <c r="Q45" s="4">
        <v>0.76</v>
      </c>
      <c r="U45" s="5">
        <v>107430</v>
      </c>
    </row>
    <row r="46" spans="1:21" x14ac:dyDescent="0.25">
      <c r="A46" t="s">
        <v>0</v>
      </c>
      <c r="B46">
        <v>2019</v>
      </c>
      <c r="C46" t="s">
        <v>37</v>
      </c>
      <c r="D46">
        <v>205</v>
      </c>
      <c r="E46">
        <v>2</v>
      </c>
      <c r="F46">
        <v>2</v>
      </c>
      <c r="G46" t="s">
        <v>3</v>
      </c>
      <c r="H46" t="s">
        <v>15</v>
      </c>
      <c r="K46" s="6">
        <f>((37.7954/((0.4868+0.461+0.3903+0.4395+0.4679)/5))*100)/2</f>
        <v>4207.9046982854607</v>
      </c>
      <c r="O46" s="6">
        <f>K46*0.5</f>
        <v>2103.9523491427303</v>
      </c>
      <c r="P46" s="6">
        <f t="shared" si="2"/>
        <v>22646.764357908036</v>
      </c>
      <c r="Q46" s="4">
        <v>0.79</v>
      </c>
      <c r="U46" s="5">
        <v>22647</v>
      </c>
    </row>
    <row r="47" spans="1:21" x14ac:dyDescent="0.25">
      <c r="A47" t="s">
        <v>0</v>
      </c>
      <c r="B47">
        <v>2019</v>
      </c>
      <c r="C47" t="s">
        <v>37</v>
      </c>
      <c r="D47">
        <v>206</v>
      </c>
      <c r="E47">
        <v>2</v>
      </c>
      <c r="F47">
        <v>4</v>
      </c>
      <c r="G47" t="s">
        <v>11</v>
      </c>
      <c r="H47" t="s">
        <v>12</v>
      </c>
      <c r="I47" t="s">
        <v>13</v>
      </c>
      <c r="K47">
        <v>0</v>
      </c>
      <c r="O47">
        <v>0</v>
      </c>
      <c r="P47" s="6">
        <f t="shared" si="2"/>
        <v>0</v>
      </c>
      <c r="Q47" s="6"/>
      <c r="U47" s="5">
        <v>0</v>
      </c>
    </row>
    <row r="48" spans="1:21" x14ac:dyDescent="0.25">
      <c r="A48" t="s">
        <v>0</v>
      </c>
      <c r="B48">
        <v>2019</v>
      </c>
      <c r="C48" t="s">
        <v>37</v>
      </c>
      <c r="D48">
        <v>207</v>
      </c>
      <c r="E48">
        <v>2</v>
      </c>
      <c r="F48">
        <v>3</v>
      </c>
      <c r="G48" t="s">
        <v>21</v>
      </c>
      <c r="H48" t="s">
        <v>19</v>
      </c>
      <c r="I48" t="s">
        <v>13</v>
      </c>
      <c r="K48">
        <v>0</v>
      </c>
      <c r="O48">
        <v>0</v>
      </c>
      <c r="P48" s="6">
        <f t="shared" si="2"/>
        <v>0</v>
      </c>
      <c r="Q48" s="6"/>
      <c r="U48" s="5">
        <v>0</v>
      </c>
    </row>
    <row r="49" spans="1:21" x14ac:dyDescent="0.25">
      <c r="A49" t="s">
        <v>0</v>
      </c>
      <c r="B49">
        <v>2019</v>
      </c>
      <c r="C49" t="s">
        <v>37</v>
      </c>
      <c r="D49">
        <v>208</v>
      </c>
      <c r="E49">
        <v>2</v>
      </c>
      <c r="F49">
        <v>6</v>
      </c>
      <c r="G49" t="s">
        <v>18</v>
      </c>
      <c r="H49" t="s">
        <v>19</v>
      </c>
      <c r="I49" t="s">
        <v>20</v>
      </c>
      <c r="K49">
        <v>0</v>
      </c>
      <c r="O49">
        <v>0</v>
      </c>
      <c r="P49" s="6">
        <f t="shared" si="2"/>
        <v>0</v>
      </c>
      <c r="Q49" s="6"/>
      <c r="U49" s="5">
        <v>0</v>
      </c>
    </row>
    <row r="50" spans="1:21" x14ac:dyDescent="0.25">
      <c r="A50" t="s">
        <v>0</v>
      </c>
      <c r="B50">
        <v>2019</v>
      </c>
      <c r="C50" t="s">
        <v>37</v>
      </c>
      <c r="D50">
        <v>301</v>
      </c>
      <c r="E50">
        <v>3</v>
      </c>
      <c r="F50">
        <v>6</v>
      </c>
      <c r="G50" t="s">
        <v>18</v>
      </c>
      <c r="H50" t="s">
        <v>19</v>
      </c>
      <c r="I50" t="s">
        <v>20</v>
      </c>
      <c r="K50">
        <v>0</v>
      </c>
      <c r="O50">
        <v>0</v>
      </c>
      <c r="P50" s="6">
        <f t="shared" si="2"/>
        <v>0</v>
      </c>
      <c r="Q50" s="6"/>
      <c r="U50" s="5">
        <v>0</v>
      </c>
    </row>
    <row r="51" spans="1:21" x14ac:dyDescent="0.25">
      <c r="A51" t="s">
        <v>0</v>
      </c>
      <c r="B51">
        <v>2019</v>
      </c>
      <c r="C51" t="s">
        <v>37</v>
      </c>
      <c r="D51">
        <v>302</v>
      </c>
      <c r="E51">
        <v>3</v>
      </c>
      <c r="F51">
        <v>1</v>
      </c>
      <c r="G51" t="s">
        <v>14</v>
      </c>
      <c r="H51" t="s">
        <v>15</v>
      </c>
      <c r="K51" s="6">
        <f>((72.9638/((0.4812+0.4907+0.4538+0.4697+0.5144)/5))*100)/2</f>
        <v>7569.4870943646793</v>
      </c>
      <c r="O51" s="6">
        <f>2*K51</f>
        <v>15138.974188729359</v>
      </c>
      <c r="P51" s="6">
        <f t="shared" si="2"/>
        <v>162954.63212952606</v>
      </c>
      <c r="Q51" s="4">
        <v>0.94</v>
      </c>
      <c r="U51" s="5">
        <v>162955</v>
      </c>
    </row>
    <row r="52" spans="1:21" x14ac:dyDescent="0.25">
      <c r="A52" t="s">
        <v>0</v>
      </c>
      <c r="B52">
        <v>2019</v>
      </c>
      <c r="C52" t="s">
        <v>37</v>
      </c>
      <c r="D52">
        <v>303</v>
      </c>
      <c r="E52">
        <v>3</v>
      </c>
      <c r="F52">
        <v>4</v>
      </c>
      <c r="G52" t="s">
        <v>11</v>
      </c>
      <c r="H52" t="s">
        <v>12</v>
      </c>
      <c r="I52" t="s">
        <v>13</v>
      </c>
      <c r="K52">
        <v>0</v>
      </c>
      <c r="O52" s="6">
        <v>0</v>
      </c>
      <c r="P52" s="6">
        <f t="shared" si="2"/>
        <v>0</v>
      </c>
      <c r="Q52" s="6"/>
      <c r="U52" s="5">
        <v>0</v>
      </c>
    </row>
    <row r="53" spans="1:21" x14ac:dyDescent="0.25">
      <c r="A53" t="s">
        <v>0</v>
      </c>
      <c r="B53">
        <v>2019</v>
      </c>
      <c r="C53" t="s">
        <v>37</v>
      </c>
      <c r="D53">
        <v>304</v>
      </c>
      <c r="E53">
        <v>3</v>
      </c>
      <c r="F53">
        <v>5</v>
      </c>
      <c r="G53" t="s">
        <v>16</v>
      </c>
      <c r="H53" t="s">
        <v>17</v>
      </c>
      <c r="I53" t="s">
        <v>13</v>
      </c>
      <c r="K53">
        <v>0</v>
      </c>
      <c r="O53" s="6">
        <v>0</v>
      </c>
      <c r="P53" s="6">
        <f t="shared" si="2"/>
        <v>0</v>
      </c>
      <c r="Q53" s="6"/>
      <c r="U53" s="5">
        <v>0</v>
      </c>
    </row>
    <row r="54" spans="1:21" x14ac:dyDescent="0.25">
      <c r="A54" t="s">
        <v>0</v>
      </c>
      <c r="B54">
        <v>2019</v>
      </c>
      <c r="C54" t="s">
        <v>37</v>
      </c>
      <c r="D54">
        <v>305</v>
      </c>
      <c r="E54">
        <v>3</v>
      </c>
      <c r="F54">
        <v>3</v>
      </c>
      <c r="G54" t="s">
        <v>21</v>
      </c>
      <c r="H54" t="s">
        <v>19</v>
      </c>
      <c r="I54" t="s">
        <v>13</v>
      </c>
      <c r="K54">
        <v>0</v>
      </c>
      <c r="O54" s="6">
        <v>0</v>
      </c>
      <c r="P54" s="6">
        <f t="shared" si="2"/>
        <v>0</v>
      </c>
      <c r="Q54" s="6"/>
      <c r="U54" s="5">
        <v>0</v>
      </c>
    </row>
    <row r="55" spans="1:21" x14ac:dyDescent="0.25">
      <c r="A55" t="s">
        <v>0</v>
      </c>
      <c r="B55">
        <v>2019</v>
      </c>
      <c r="C55" t="s">
        <v>37</v>
      </c>
      <c r="D55">
        <v>306</v>
      </c>
      <c r="E55">
        <v>3</v>
      </c>
      <c r="F55">
        <v>8</v>
      </c>
      <c r="G55" t="s">
        <v>22</v>
      </c>
      <c r="H55" t="s">
        <v>17</v>
      </c>
      <c r="I55" t="s">
        <v>20</v>
      </c>
      <c r="K55">
        <v>0</v>
      </c>
      <c r="O55" s="6">
        <v>0</v>
      </c>
      <c r="P55" s="6">
        <f t="shared" si="2"/>
        <v>0</v>
      </c>
      <c r="Q55" s="6"/>
      <c r="U55" s="5">
        <v>0</v>
      </c>
    </row>
    <row r="56" spans="1:21" x14ac:dyDescent="0.25">
      <c r="A56" t="s">
        <v>0</v>
      </c>
      <c r="B56">
        <v>2019</v>
      </c>
      <c r="C56" t="s">
        <v>37</v>
      </c>
      <c r="D56">
        <v>307</v>
      </c>
      <c r="E56">
        <v>3</v>
      </c>
      <c r="F56">
        <v>7</v>
      </c>
      <c r="G56" t="s">
        <v>23</v>
      </c>
      <c r="H56" t="s">
        <v>12</v>
      </c>
      <c r="I56" t="s">
        <v>20</v>
      </c>
      <c r="K56">
        <v>0</v>
      </c>
      <c r="O56" s="6">
        <v>0</v>
      </c>
      <c r="P56" s="6">
        <f t="shared" si="2"/>
        <v>0</v>
      </c>
      <c r="Q56" s="6"/>
      <c r="U56" s="5">
        <v>0</v>
      </c>
    </row>
    <row r="57" spans="1:21" x14ac:dyDescent="0.25">
      <c r="A57" t="s">
        <v>0</v>
      </c>
      <c r="B57">
        <v>2019</v>
      </c>
      <c r="C57" t="s">
        <v>37</v>
      </c>
      <c r="D57">
        <v>308</v>
      </c>
      <c r="E57">
        <v>3</v>
      </c>
      <c r="F57">
        <v>2</v>
      </c>
      <c r="G57" t="s">
        <v>3</v>
      </c>
      <c r="H57" t="s">
        <v>15</v>
      </c>
      <c r="K57" s="6">
        <f>((20.3931/((0.3508+0.3607+0.3955+0.356+0.3474)/5))*100)/2</f>
        <v>2816.1041758727356</v>
      </c>
      <c r="O57" s="6">
        <f>1*K57</f>
        <v>2816.1041758727356</v>
      </c>
      <c r="P57" s="6">
        <f t="shared" si="2"/>
        <v>30312.306124374194</v>
      </c>
      <c r="Q57" s="4">
        <v>0.86</v>
      </c>
      <c r="U57" s="5">
        <v>30312</v>
      </c>
    </row>
    <row r="58" spans="1:21" x14ac:dyDescent="0.25">
      <c r="A58" t="s">
        <v>0</v>
      </c>
      <c r="B58">
        <v>2019</v>
      </c>
      <c r="C58" t="s">
        <v>37</v>
      </c>
      <c r="D58">
        <v>401</v>
      </c>
      <c r="E58">
        <v>4</v>
      </c>
      <c r="F58">
        <v>4</v>
      </c>
      <c r="G58" t="s">
        <v>11</v>
      </c>
      <c r="H58" t="s">
        <v>12</v>
      </c>
      <c r="I58" t="s">
        <v>13</v>
      </c>
      <c r="K58">
        <v>0</v>
      </c>
      <c r="O58" s="6">
        <v>0</v>
      </c>
      <c r="P58" s="6">
        <f t="shared" si="2"/>
        <v>0</v>
      </c>
      <c r="Q58" s="6"/>
      <c r="U58" s="5">
        <v>0</v>
      </c>
    </row>
    <row r="59" spans="1:21" x14ac:dyDescent="0.25">
      <c r="A59" t="s">
        <v>0</v>
      </c>
      <c r="B59">
        <v>2019</v>
      </c>
      <c r="C59" t="s">
        <v>37</v>
      </c>
      <c r="D59">
        <v>402</v>
      </c>
      <c r="E59">
        <v>4</v>
      </c>
      <c r="F59">
        <v>3</v>
      </c>
      <c r="G59" t="s">
        <v>21</v>
      </c>
      <c r="H59" t="s">
        <v>19</v>
      </c>
      <c r="I59" t="s">
        <v>13</v>
      </c>
      <c r="K59">
        <v>0</v>
      </c>
      <c r="O59" s="6">
        <v>0</v>
      </c>
      <c r="P59" s="6">
        <f t="shared" si="2"/>
        <v>0</v>
      </c>
      <c r="Q59" s="6"/>
      <c r="U59" s="5">
        <v>0</v>
      </c>
    </row>
    <row r="60" spans="1:21" x14ac:dyDescent="0.25">
      <c r="A60" t="s">
        <v>0</v>
      </c>
      <c r="B60">
        <v>2019</v>
      </c>
      <c r="C60" t="s">
        <v>37</v>
      </c>
      <c r="D60">
        <v>403</v>
      </c>
      <c r="E60">
        <v>4</v>
      </c>
      <c r="F60">
        <v>7</v>
      </c>
      <c r="G60" t="s">
        <v>23</v>
      </c>
      <c r="H60" t="s">
        <v>12</v>
      </c>
      <c r="I60" t="s">
        <v>20</v>
      </c>
      <c r="K60">
        <v>0</v>
      </c>
      <c r="O60" s="6">
        <v>0</v>
      </c>
      <c r="P60" s="6">
        <f t="shared" si="2"/>
        <v>0</v>
      </c>
      <c r="Q60" s="6"/>
      <c r="U60" s="5">
        <v>0</v>
      </c>
    </row>
    <row r="61" spans="1:21" x14ac:dyDescent="0.25">
      <c r="A61" t="s">
        <v>0</v>
      </c>
      <c r="B61">
        <v>2019</v>
      </c>
      <c r="C61" t="s">
        <v>37</v>
      </c>
      <c r="D61">
        <v>404</v>
      </c>
      <c r="E61">
        <v>4</v>
      </c>
      <c r="F61">
        <v>8</v>
      </c>
      <c r="G61" t="s">
        <v>22</v>
      </c>
      <c r="H61" t="s">
        <v>17</v>
      </c>
      <c r="I61" t="s">
        <v>20</v>
      </c>
      <c r="K61">
        <v>0</v>
      </c>
      <c r="O61" s="6">
        <v>0</v>
      </c>
      <c r="P61" s="6">
        <f t="shared" si="2"/>
        <v>0</v>
      </c>
      <c r="Q61" s="6"/>
      <c r="U61" s="5">
        <v>0</v>
      </c>
    </row>
    <row r="62" spans="1:21" x14ac:dyDescent="0.25">
      <c r="A62" t="s">
        <v>0</v>
      </c>
      <c r="B62">
        <v>2019</v>
      </c>
      <c r="C62" t="s">
        <v>37</v>
      </c>
      <c r="D62">
        <v>405</v>
      </c>
      <c r="E62">
        <v>4</v>
      </c>
      <c r="F62">
        <v>2</v>
      </c>
      <c r="G62" t="s">
        <v>3</v>
      </c>
      <c r="H62" t="s">
        <v>15</v>
      </c>
      <c r="K62" s="6">
        <f>((48.8366/((0.3418+0.4151+0.3214+0.3859+0.4431)/5))*100)/2</f>
        <v>6401.274052325276</v>
      </c>
      <c r="O62" s="6">
        <f>1*K62</f>
        <v>6401.274052325276</v>
      </c>
      <c r="P62" s="6">
        <f t="shared" si="2"/>
        <v>68902.770118567496</v>
      </c>
      <c r="Q62" s="4">
        <v>0.93</v>
      </c>
      <c r="U62" s="5">
        <v>68903</v>
      </c>
    </row>
    <row r="63" spans="1:21" x14ac:dyDescent="0.25">
      <c r="A63" t="s">
        <v>0</v>
      </c>
      <c r="B63">
        <v>2019</v>
      </c>
      <c r="C63" t="s">
        <v>37</v>
      </c>
      <c r="D63">
        <v>406</v>
      </c>
      <c r="E63">
        <v>4</v>
      </c>
      <c r="F63">
        <v>5</v>
      </c>
      <c r="G63" t="s">
        <v>16</v>
      </c>
      <c r="H63" t="s">
        <v>17</v>
      </c>
      <c r="I63" t="s">
        <v>13</v>
      </c>
      <c r="K63">
        <v>0</v>
      </c>
      <c r="O63" s="6">
        <v>0</v>
      </c>
      <c r="P63" s="6">
        <f t="shared" si="2"/>
        <v>0</v>
      </c>
      <c r="Q63" s="6"/>
      <c r="U63" s="5">
        <v>0</v>
      </c>
    </row>
    <row r="64" spans="1:21" x14ac:dyDescent="0.25">
      <c r="A64" t="s">
        <v>0</v>
      </c>
      <c r="B64">
        <v>2019</v>
      </c>
      <c r="C64" t="s">
        <v>37</v>
      </c>
      <c r="D64">
        <v>407</v>
      </c>
      <c r="E64">
        <v>4</v>
      </c>
      <c r="F64">
        <v>1</v>
      </c>
      <c r="G64" t="s">
        <v>14</v>
      </c>
      <c r="H64" t="s">
        <v>15</v>
      </c>
      <c r="K64" s="6">
        <f>((34.0307/((0.4219+0.331+0.3522+0.3833+0.3927)/5))*100)/2</f>
        <v>4522.7127744404879</v>
      </c>
      <c r="O64" s="6">
        <f>2.5*K64</f>
        <v>11306.781936101219</v>
      </c>
      <c r="P64" s="6">
        <f t="shared" si="2"/>
        <v>121705.24026243736</v>
      </c>
      <c r="Q64" s="4">
        <v>0.93</v>
      </c>
      <c r="U64" s="5">
        <v>121705</v>
      </c>
    </row>
    <row r="65" spans="1:21" x14ac:dyDescent="0.25">
      <c r="A65" t="s">
        <v>0</v>
      </c>
      <c r="B65">
        <v>2019</v>
      </c>
      <c r="C65" t="s">
        <v>37</v>
      </c>
      <c r="D65">
        <v>408</v>
      </c>
      <c r="E65">
        <v>4</v>
      </c>
      <c r="F65">
        <v>6</v>
      </c>
      <c r="G65" t="s">
        <v>18</v>
      </c>
      <c r="H65" t="s">
        <v>19</v>
      </c>
      <c r="I65" t="s">
        <v>20</v>
      </c>
      <c r="K65">
        <v>0</v>
      </c>
      <c r="O65" s="6">
        <v>0</v>
      </c>
      <c r="P65" s="6">
        <f t="shared" si="2"/>
        <v>0</v>
      </c>
      <c r="Q65" s="6"/>
      <c r="U65" s="5">
        <v>0</v>
      </c>
    </row>
    <row r="66" spans="1:21" x14ac:dyDescent="0.25">
      <c r="A66" t="s">
        <v>1</v>
      </c>
      <c r="B66">
        <v>2019</v>
      </c>
      <c r="C66" t="s">
        <v>36</v>
      </c>
      <c r="D66">
        <v>101</v>
      </c>
      <c r="E66">
        <v>1</v>
      </c>
      <c r="F66">
        <v>1</v>
      </c>
      <c r="G66" t="s">
        <v>14</v>
      </c>
      <c r="H66" t="s">
        <v>15</v>
      </c>
      <c r="K66" s="6">
        <f>669/2</f>
        <v>334.5</v>
      </c>
      <c r="L66" s="6">
        <f>5.5*K66</f>
        <v>1839.75</v>
      </c>
      <c r="M66" s="7">
        <f>L66/0.092903</f>
        <v>19802.912715412851</v>
      </c>
      <c r="N66">
        <v>0.33329999999999999</v>
      </c>
      <c r="U66" s="5">
        <v>19803</v>
      </c>
    </row>
    <row r="67" spans="1:21" x14ac:dyDescent="0.25">
      <c r="A67" t="s">
        <v>1</v>
      </c>
      <c r="B67">
        <v>2019</v>
      </c>
      <c r="C67" t="s">
        <v>36</v>
      </c>
      <c r="D67">
        <v>102</v>
      </c>
      <c r="E67">
        <v>1</v>
      </c>
      <c r="F67">
        <v>2</v>
      </c>
      <c r="G67" t="s">
        <v>3</v>
      </c>
      <c r="H67" t="s">
        <v>15</v>
      </c>
      <c r="K67" s="6">
        <f>263/2</f>
        <v>131.5</v>
      </c>
      <c r="L67" s="6">
        <f>4*K67</f>
        <v>526</v>
      </c>
      <c r="M67" s="7">
        <f t="shared" ref="M67:M96" si="3">L67/0.092903</f>
        <v>5661.8193169219512</v>
      </c>
      <c r="N67">
        <v>0.43330000000000002</v>
      </c>
      <c r="U67" s="5">
        <v>5662</v>
      </c>
    </row>
    <row r="68" spans="1:21" x14ac:dyDescent="0.25">
      <c r="A68" t="s">
        <v>1</v>
      </c>
      <c r="B68">
        <v>2019</v>
      </c>
      <c r="C68" t="s">
        <v>36</v>
      </c>
      <c r="D68">
        <v>103</v>
      </c>
      <c r="E68">
        <v>1</v>
      </c>
      <c r="F68">
        <v>3</v>
      </c>
      <c r="G68" t="s">
        <v>21</v>
      </c>
      <c r="H68" t="s">
        <v>19</v>
      </c>
      <c r="I68" t="s">
        <v>13</v>
      </c>
      <c r="K68" s="6">
        <f>698/2</f>
        <v>349</v>
      </c>
      <c r="L68" s="6">
        <f>2*K68</f>
        <v>698</v>
      </c>
      <c r="M68" s="7">
        <f t="shared" si="3"/>
        <v>7513.2127057253265</v>
      </c>
      <c r="N68">
        <v>0.7</v>
      </c>
      <c r="U68" s="5">
        <v>7513</v>
      </c>
    </row>
    <row r="69" spans="1:21" x14ac:dyDescent="0.25">
      <c r="A69" t="s">
        <v>1</v>
      </c>
      <c r="B69">
        <v>2019</v>
      </c>
      <c r="C69" t="s">
        <v>36</v>
      </c>
      <c r="D69">
        <v>104</v>
      </c>
      <c r="E69">
        <v>1</v>
      </c>
      <c r="F69">
        <v>4</v>
      </c>
      <c r="G69" t="s">
        <v>11</v>
      </c>
      <c r="H69" t="s">
        <v>12</v>
      </c>
      <c r="I69" t="s">
        <v>13</v>
      </c>
      <c r="K69" s="6">
        <f>80/1</f>
        <v>80</v>
      </c>
      <c r="L69" s="6">
        <f>0.5*K69</f>
        <v>40</v>
      </c>
      <c r="M69" s="7">
        <f t="shared" si="3"/>
        <v>430.55660204729662</v>
      </c>
      <c r="N69">
        <v>0.2</v>
      </c>
      <c r="U69" s="5">
        <v>431</v>
      </c>
    </row>
    <row r="70" spans="1:21" x14ac:dyDescent="0.25">
      <c r="A70" t="s">
        <v>1</v>
      </c>
      <c r="B70">
        <v>2019</v>
      </c>
      <c r="C70" t="s">
        <v>36</v>
      </c>
      <c r="D70">
        <v>105</v>
      </c>
      <c r="E70">
        <v>1</v>
      </c>
      <c r="F70">
        <v>5</v>
      </c>
      <c r="G70" t="s">
        <v>16</v>
      </c>
      <c r="H70" t="s">
        <v>17</v>
      </c>
      <c r="I70" t="s">
        <v>13</v>
      </c>
      <c r="K70" s="6">
        <v>0</v>
      </c>
      <c r="L70" s="6">
        <v>0</v>
      </c>
      <c r="M70" s="7">
        <f t="shared" si="3"/>
        <v>0</v>
      </c>
      <c r="U70" s="5">
        <v>0</v>
      </c>
    </row>
    <row r="71" spans="1:21" x14ac:dyDescent="0.25">
      <c r="A71" t="s">
        <v>1</v>
      </c>
      <c r="B71">
        <v>2019</v>
      </c>
      <c r="C71" t="s">
        <v>36</v>
      </c>
      <c r="D71">
        <v>106</v>
      </c>
      <c r="E71">
        <v>1</v>
      </c>
      <c r="F71">
        <v>6</v>
      </c>
      <c r="G71" t="s">
        <v>18</v>
      </c>
      <c r="H71" t="s">
        <v>19</v>
      </c>
      <c r="I71" t="s">
        <v>20</v>
      </c>
      <c r="K71" s="6">
        <f>235/2</f>
        <v>117.5</v>
      </c>
      <c r="L71" s="6">
        <f>117.5</f>
        <v>117.5</v>
      </c>
      <c r="M71" s="7">
        <f t="shared" si="3"/>
        <v>1264.7600185139338</v>
      </c>
      <c r="N71">
        <v>0.73329999999999995</v>
      </c>
      <c r="U71" s="5">
        <v>1265</v>
      </c>
    </row>
    <row r="72" spans="1:21" x14ac:dyDescent="0.25">
      <c r="A72" t="s">
        <v>1</v>
      </c>
      <c r="B72">
        <v>2019</v>
      </c>
      <c r="C72" t="s">
        <v>36</v>
      </c>
      <c r="D72">
        <v>107</v>
      </c>
      <c r="E72">
        <v>1</v>
      </c>
      <c r="F72">
        <v>7</v>
      </c>
      <c r="G72" t="s">
        <v>23</v>
      </c>
      <c r="H72" t="s">
        <v>12</v>
      </c>
      <c r="I72" t="s">
        <v>20</v>
      </c>
      <c r="K72" s="6">
        <v>0</v>
      </c>
      <c r="L72" s="6">
        <v>0</v>
      </c>
      <c r="M72" s="7">
        <f t="shared" si="3"/>
        <v>0</v>
      </c>
      <c r="U72" s="5">
        <v>0</v>
      </c>
    </row>
    <row r="73" spans="1:21" x14ac:dyDescent="0.25">
      <c r="A73" t="s">
        <v>1</v>
      </c>
      <c r="B73">
        <v>2019</v>
      </c>
      <c r="C73" t="s">
        <v>36</v>
      </c>
      <c r="D73">
        <v>108</v>
      </c>
      <c r="E73">
        <v>1</v>
      </c>
      <c r="F73">
        <v>8</v>
      </c>
      <c r="G73" t="s">
        <v>22</v>
      </c>
      <c r="H73" t="s">
        <v>17</v>
      </c>
      <c r="I73" t="s">
        <v>20</v>
      </c>
      <c r="K73" s="6">
        <v>0</v>
      </c>
      <c r="L73" s="6">
        <v>0</v>
      </c>
      <c r="M73" s="7">
        <f t="shared" si="3"/>
        <v>0</v>
      </c>
      <c r="U73" s="5">
        <v>0</v>
      </c>
    </row>
    <row r="74" spans="1:21" x14ac:dyDescent="0.25">
      <c r="A74" t="s">
        <v>1</v>
      </c>
      <c r="B74">
        <v>2019</v>
      </c>
      <c r="C74" t="s">
        <v>36</v>
      </c>
      <c r="D74">
        <v>201</v>
      </c>
      <c r="E74">
        <v>2</v>
      </c>
      <c r="F74">
        <v>6</v>
      </c>
      <c r="G74" t="s">
        <v>18</v>
      </c>
      <c r="H74" t="s">
        <v>19</v>
      </c>
      <c r="I74" t="s">
        <v>20</v>
      </c>
      <c r="K74" s="6">
        <f>779/2</f>
        <v>389.5</v>
      </c>
      <c r="L74" s="6">
        <f>2*K74</f>
        <v>779</v>
      </c>
      <c r="M74" s="7">
        <f t="shared" si="3"/>
        <v>8385.0898248711019</v>
      </c>
      <c r="N74">
        <v>0.56669999999999998</v>
      </c>
      <c r="U74" s="5">
        <v>8385</v>
      </c>
    </row>
    <row r="75" spans="1:21" x14ac:dyDescent="0.25">
      <c r="A75" t="s">
        <v>1</v>
      </c>
      <c r="B75">
        <v>2019</v>
      </c>
      <c r="C75" t="s">
        <v>36</v>
      </c>
      <c r="D75">
        <v>202</v>
      </c>
      <c r="E75">
        <v>2</v>
      </c>
      <c r="F75">
        <v>5</v>
      </c>
      <c r="G75" t="s">
        <v>16</v>
      </c>
      <c r="H75" t="s">
        <v>17</v>
      </c>
      <c r="I75" t="s">
        <v>13</v>
      </c>
      <c r="K75" s="6">
        <v>0</v>
      </c>
      <c r="L75" s="6">
        <v>0</v>
      </c>
      <c r="M75" s="7">
        <f t="shared" si="3"/>
        <v>0</v>
      </c>
      <c r="U75" s="5">
        <v>0</v>
      </c>
    </row>
    <row r="76" spans="1:21" x14ac:dyDescent="0.25">
      <c r="A76" t="s">
        <v>1</v>
      </c>
      <c r="B76">
        <v>2019</v>
      </c>
      <c r="C76" t="s">
        <v>36</v>
      </c>
      <c r="D76">
        <v>203</v>
      </c>
      <c r="E76">
        <v>2</v>
      </c>
      <c r="F76">
        <v>7</v>
      </c>
      <c r="G76" t="s">
        <v>23</v>
      </c>
      <c r="H76" t="s">
        <v>12</v>
      </c>
      <c r="I76" t="s">
        <v>20</v>
      </c>
      <c r="K76" s="6">
        <v>0</v>
      </c>
      <c r="L76" s="6">
        <v>0</v>
      </c>
      <c r="M76" s="7">
        <f t="shared" si="3"/>
        <v>0</v>
      </c>
      <c r="U76" s="5">
        <v>0</v>
      </c>
    </row>
    <row r="77" spans="1:21" x14ac:dyDescent="0.25">
      <c r="A77" t="s">
        <v>1</v>
      </c>
      <c r="B77">
        <v>2019</v>
      </c>
      <c r="C77" t="s">
        <v>36</v>
      </c>
      <c r="D77">
        <v>204</v>
      </c>
      <c r="E77">
        <v>2</v>
      </c>
      <c r="F77">
        <v>2</v>
      </c>
      <c r="G77" t="s">
        <v>3</v>
      </c>
      <c r="H77" t="s">
        <v>15</v>
      </c>
      <c r="K77" s="6">
        <f>199/2</f>
        <v>99.5</v>
      </c>
      <c r="L77" s="6">
        <f>1.5*K77</f>
        <v>149.25</v>
      </c>
      <c r="M77" s="7">
        <f t="shared" si="3"/>
        <v>1606.5143213889755</v>
      </c>
      <c r="N77">
        <v>0.5333</v>
      </c>
      <c r="U77" s="5">
        <v>1607</v>
      </c>
    </row>
    <row r="78" spans="1:21" x14ac:dyDescent="0.25">
      <c r="A78" t="s">
        <v>1</v>
      </c>
      <c r="B78">
        <v>2019</v>
      </c>
      <c r="C78" t="s">
        <v>36</v>
      </c>
      <c r="D78">
        <v>205</v>
      </c>
      <c r="E78">
        <v>2</v>
      </c>
      <c r="F78">
        <v>8</v>
      </c>
      <c r="G78" t="s">
        <v>22</v>
      </c>
      <c r="H78" t="s">
        <v>17</v>
      </c>
      <c r="I78" t="s">
        <v>20</v>
      </c>
      <c r="K78" s="6">
        <v>0</v>
      </c>
      <c r="L78" s="6">
        <v>0</v>
      </c>
      <c r="M78" s="7">
        <f t="shared" si="3"/>
        <v>0</v>
      </c>
      <c r="U78" s="5">
        <v>0</v>
      </c>
    </row>
    <row r="79" spans="1:21" x14ac:dyDescent="0.25">
      <c r="A79" t="s">
        <v>1</v>
      </c>
      <c r="B79">
        <v>2019</v>
      </c>
      <c r="C79" t="s">
        <v>36</v>
      </c>
      <c r="D79">
        <v>206</v>
      </c>
      <c r="E79">
        <v>2</v>
      </c>
      <c r="F79">
        <v>1</v>
      </c>
      <c r="G79" t="s">
        <v>14</v>
      </c>
      <c r="H79" t="s">
        <v>15</v>
      </c>
      <c r="K79" s="6">
        <f>861/2</f>
        <v>430.5</v>
      </c>
      <c r="L79" s="6">
        <f>2.5*K79</f>
        <v>1076.25</v>
      </c>
      <c r="M79" s="7">
        <f t="shared" si="3"/>
        <v>11584.663573835076</v>
      </c>
      <c r="N79">
        <v>0.66669999999999996</v>
      </c>
      <c r="U79" s="5">
        <v>11585</v>
      </c>
    </row>
    <row r="80" spans="1:21" x14ac:dyDescent="0.25">
      <c r="A80" t="s">
        <v>1</v>
      </c>
      <c r="B80">
        <v>2019</v>
      </c>
      <c r="C80" t="s">
        <v>36</v>
      </c>
      <c r="D80">
        <v>207</v>
      </c>
      <c r="E80">
        <v>2</v>
      </c>
      <c r="F80">
        <v>3</v>
      </c>
      <c r="G80" t="s">
        <v>21</v>
      </c>
      <c r="H80" t="s">
        <v>19</v>
      </c>
      <c r="I80" t="s">
        <v>13</v>
      </c>
      <c r="K80" s="6">
        <f>572/2</f>
        <v>286</v>
      </c>
      <c r="L80" s="6">
        <f>2*K80</f>
        <v>572</v>
      </c>
      <c r="M80" s="7">
        <f t="shared" si="3"/>
        <v>6156.9594092763418</v>
      </c>
      <c r="N80">
        <v>0.43330000000000002</v>
      </c>
      <c r="U80" s="5">
        <v>6157</v>
      </c>
    </row>
    <row r="81" spans="1:21" x14ac:dyDescent="0.25">
      <c r="A81" t="s">
        <v>1</v>
      </c>
      <c r="B81">
        <v>2019</v>
      </c>
      <c r="C81" t="s">
        <v>36</v>
      </c>
      <c r="D81">
        <v>208</v>
      </c>
      <c r="E81">
        <v>2</v>
      </c>
      <c r="F81">
        <v>4</v>
      </c>
      <c r="G81" t="s">
        <v>11</v>
      </c>
      <c r="H81" t="s">
        <v>12</v>
      </c>
      <c r="I81" t="s">
        <v>13</v>
      </c>
      <c r="K81" s="6">
        <v>0</v>
      </c>
      <c r="L81" s="6">
        <v>0</v>
      </c>
      <c r="M81" s="7">
        <f t="shared" si="3"/>
        <v>0</v>
      </c>
      <c r="U81" s="5">
        <v>0</v>
      </c>
    </row>
    <row r="82" spans="1:21" x14ac:dyDescent="0.25">
      <c r="A82" t="s">
        <v>1</v>
      </c>
      <c r="B82">
        <v>2019</v>
      </c>
      <c r="C82" t="s">
        <v>36</v>
      </c>
      <c r="D82">
        <v>301</v>
      </c>
      <c r="E82">
        <v>3</v>
      </c>
      <c r="F82">
        <v>7</v>
      </c>
      <c r="G82" t="s">
        <v>23</v>
      </c>
      <c r="H82" t="s">
        <v>12</v>
      </c>
      <c r="I82" t="s">
        <v>20</v>
      </c>
      <c r="K82" s="6">
        <v>0</v>
      </c>
      <c r="L82" s="6">
        <v>0</v>
      </c>
      <c r="M82" s="7">
        <f t="shared" si="3"/>
        <v>0</v>
      </c>
      <c r="U82" s="5">
        <v>0</v>
      </c>
    </row>
    <row r="83" spans="1:21" x14ac:dyDescent="0.25">
      <c r="A83" t="s">
        <v>1</v>
      </c>
      <c r="B83">
        <v>2019</v>
      </c>
      <c r="C83" t="s">
        <v>36</v>
      </c>
      <c r="D83">
        <v>302</v>
      </c>
      <c r="E83">
        <v>3</v>
      </c>
      <c r="F83">
        <v>1</v>
      </c>
      <c r="G83" t="s">
        <v>14</v>
      </c>
      <c r="H83" t="s">
        <v>15</v>
      </c>
      <c r="K83" s="6">
        <f>488/2</f>
        <v>244</v>
      </c>
      <c r="L83" s="6">
        <f>4*K83</f>
        <v>976</v>
      </c>
      <c r="M83" s="7">
        <f t="shared" si="3"/>
        <v>10505.581089954037</v>
      </c>
      <c r="N83">
        <v>0.66669999999999996</v>
      </c>
      <c r="U83" s="5">
        <v>10506</v>
      </c>
    </row>
    <row r="84" spans="1:21" x14ac:dyDescent="0.25">
      <c r="A84" t="s">
        <v>1</v>
      </c>
      <c r="B84">
        <v>2019</v>
      </c>
      <c r="C84" t="s">
        <v>36</v>
      </c>
      <c r="D84">
        <v>303</v>
      </c>
      <c r="E84">
        <v>3</v>
      </c>
      <c r="F84">
        <v>4</v>
      </c>
      <c r="G84" t="s">
        <v>11</v>
      </c>
      <c r="H84" t="s">
        <v>12</v>
      </c>
      <c r="I84" t="s">
        <v>13</v>
      </c>
      <c r="K84" s="6">
        <f>124/1</f>
        <v>124</v>
      </c>
      <c r="L84" s="6">
        <f>0.5*K84</f>
        <v>62</v>
      </c>
      <c r="M84" s="7">
        <f t="shared" si="3"/>
        <v>667.36273317330983</v>
      </c>
      <c r="N84">
        <v>0.4</v>
      </c>
      <c r="U84" s="5">
        <v>667</v>
      </c>
    </row>
    <row r="85" spans="1:21" x14ac:dyDescent="0.25">
      <c r="A85" t="s">
        <v>1</v>
      </c>
      <c r="B85">
        <v>2019</v>
      </c>
      <c r="C85" t="s">
        <v>36</v>
      </c>
      <c r="D85">
        <v>304</v>
      </c>
      <c r="E85">
        <v>3</v>
      </c>
      <c r="F85">
        <v>6</v>
      </c>
      <c r="G85" t="s">
        <v>18</v>
      </c>
      <c r="H85" t="s">
        <v>19</v>
      </c>
      <c r="I85" t="s">
        <v>20</v>
      </c>
      <c r="K85" s="6">
        <f>348/2</f>
        <v>174</v>
      </c>
      <c r="L85" s="6">
        <f>1.5*K85</f>
        <v>261</v>
      </c>
      <c r="M85" s="7">
        <f t="shared" si="3"/>
        <v>2809.3818283586106</v>
      </c>
      <c r="N85">
        <v>0.43330000000000002</v>
      </c>
      <c r="U85" s="5">
        <v>2809</v>
      </c>
    </row>
    <row r="86" spans="1:21" x14ac:dyDescent="0.25">
      <c r="A86" t="s">
        <v>1</v>
      </c>
      <c r="B86">
        <v>2019</v>
      </c>
      <c r="C86" t="s">
        <v>36</v>
      </c>
      <c r="D86">
        <v>305</v>
      </c>
      <c r="E86">
        <v>3</v>
      </c>
      <c r="F86">
        <v>3</v>
      </c>
      <c r="G86" t="s">
        <v>21</v>
      </c>
      <c r="H86" t="s">
        <v>19</v>
      </c>
      <c r="I86" t="s">
        <v>13</v>
      </c>
      <c r="K86" s="6">
        <f>913/2</f>
        <v>456.5</v>
      </c>
      <c r="L86" s="6">
        <f>2*K86</f>
        <v>913</v>
      </c>
      <c r="M86" s="7">
        <f t="shared" si="3"/>
        <v>9827.4544417295456</v>
      </c>
      <c r="N86">
        <v>0.4</v>
      </c>
      <c r="U86" s="5">
        <v>9827</v>
      </c>
    </row>
    <row r="87" spans="1:21" x14ac:dyDescent="0.25">
      <c r="A87" t="s">
        <v>1</v>
      </c>
      <c r="B87">
        <v>2019</v>
      </c>
      <c r="C87" t="s">
        <v>36</v>
      </c>
      <c r="D87">
        <v>306</v>
      </c>
      <c r="E87">
        <v>3</v>
      </c>
      <c r="F87">
        <v>8</v>
      </c>
      <c r="G87" t="s">
        <v>22</v>
      </c>
      <c r="H87" t="s">
        <v>17</v>
      </c>
      <c r="I87" t="s">
        <v>20</v>
      </c>
      <c r="K87" s="6">
        <f>19/1</f>
        <v>19</v>
      </c>
      <c r="L87" s="6">
        <v>19</v>
      </c>
      <c r="M87" s="7">
        <f t="shared" si="3"/>
        <v>204.5143859724659</v>
      </c>
      <c r="N87">
        <v>0.35</v>
      </c>
      <c r="U87" s="5">
        <v>205</v>
      </c>
    </row>
    <row r="88" spans="1:21" x14ac:dyDescent="0.25">
      <c r="A88" t="s">
        <v>1</v>
      </c>
      <c r="B88">
        <v>2019</v>
      </c>
      <c r="C88" t="s">
        <v>36</v>
      </c>
      <c r="D88">
        <v>307</v>
      </c>
      <c r="E88">
        <v>3</v>
      </c>
      <c r="F88">
        <v>5</v>
      </c>
      <c r="G88" t="s">
        <v>16</v>
      </c>
      <c r="H88" t="s">
        <v>17</v>
      </c>
      <c r="I88" t="s">
        <v>13</v>
      </c>
      <c r="K88" s="6">
        <v>0</v>
      </c>
      <c r="L88" s="6">
        <v>0</v>
      </c>
      <c r="M88" s="7">
        <f t="shared" si="3"/>
        <v>0</v>
      </c>
      <c r="U88" s="5">
        <v>0</v>
      </c>
    </row>
    <row r="89" spans="1:21" x14ac:dyDescent="0.25">
      <c r="A89" t="s">
        <v>1</v>
      </c>
      <c r="B89">
        <v>2019</v>
      </c>
      <c r="C89" t="s">
        <v>36</v>
      </c>
      <c r="D89">
        <v>308</v>
      </c>
      <c r="E89">
        <v>3</v>
      </c>
      <c r="F89">
        <v>2</v>
      </c>
      <c r="G89" t="s">
        <v>3</v>
      </c>
      <c r="H89" t="s">
        <v>15</v>
      </c>
      <c r="K89" s="6">
        <f>521/2</f>
        <v>260.5</v>
      </c>
      <c r="L89" s="6">
        <f>3.5*K89</f>
        <v>911.75</v>
      </c>
      <c r="M89" s="7">
        <f t="shared" si="3"/>
        <v>9813.9995479155677</v>
      </c>
      <c r="N89">
        <v>0.43330000000000002</v>
      </c>
      <c r="U89" s="5">
        <v>9814</v>
      </c>
    </row>
    <row r="90" spans="1:21" x14ac:dyDescent="0.25">
      <c r="A90" t="s">
        <v>1</v>
      </c>
      <c r="B90">
        <v>2019</v>
      </c>
      <c r="C90" t="s">
        <v>36</v>
      </c>
      <c r="D90">
        <v>401</v>
      </c>
      <c r="E90">
        <v>4</v>
      </c>
      <c r="F90">
        <v>8</v>
      </c>
      <c r="G90" t="s">
        <v>22</v>
      </c>
      <c r="H90" t="s">
        <v>17</v>
      </c>
      <c r="I90" t="s">
        <v>20</v>
      </c>
      <c r="K90" s="6">
        <f>318/2</f>
        <v>159</v>
      </c>
      <c r="L90" s="6">
        <f>0.5*K90</f>
        <v>79.5</v>
      </c>
      <c r="M90" s="7">
        <f t="shared" si="3"/>
        <v>855.73124656900211</v>
      </c>
      <c r="N90">
        <v>401</v>
      </c>
      <c r="U90" s="5">
        <v>856</v>
      </c>
    </row>
    <row r="91" spans="1:21" x14ac:dyDescent="0.25">
      <c r="A91" t="s">
        <v>1</v>
      </c>
      <c r="B91">
        <v>2019</v>
      </c>
      <c r="C91" t="s">
        <v>36</v>
      </c>
      <c r="D91">
        <v>402</v>
      </c>
      <c r="E91">
        <v>4</v>
      </c>
      <c r="F91">
        <v>3</v>
      </c>
      <c r="G91" t="s">
        <v>21</v>
      </c>
      <c r="H91" t="s">
        <v>19</v>
      </c>
      <c r="I91" t="s">
        <v>13</v>
      </c>
      <c r="K91" s="6">
        <f>1293/2</f>
        <v>646.5</v>
      </c>
      <c r="L91" s="6">
        <v>646.5</v>
      </c>
      <c r="M91" s="7">
        <f t="shared" si="3"/>
        <v>6958.8710805894316</v>
      </c>
      <c r="N91">
        <v>0.6</v>
      </c>
      <c r="U91" s="5">
        <v>6959</v>
      </c>
    </row>
    <row r="92" spans="1:21" x14ac:dyDescent="0.25">
      <c r="A92" t="s">
        <v>1</v>
      </c>
      <c r="B92">
        <v>2019</v>
      </c>
      <c r="C92" t="s">
        <v>36</v>
      </c>
      <c r="D92">
        <v>403</v>
      </c>
      <c r="E92">
        <v>4</v>
      </c>
      <c r="F92">
        <v>6</v>
      </c>
      <c r="G92" t="s">
        <v>18</v>
      </c>
      <c r="H92" t="s">
        <v>19</v>
      </c>
      <c r="I92" t="s">
        <v>20</v>
      </c>
      <c r="K92" s="6">
        <f>409/2</f>
        <v>204.5</v>
      </c>
      <c r="L92" s="6">
        <f>2*K92</f>
        <v>409</v>
      </c>
      <c r="M92" s="7">
        <f t="shared" si="3"/>
        <v>4402.4412559336079</v>
      </c>
      <c r="N92">
        <v>0.5</v>
      </c>
      <c r="U92" s="5">
        <v>4402</v>
      </c>
    </row>
    <row r="93" spans="1:21" x14ac:dyDescent="0.25">
      <c r="A93" t="s">
        <v>1</v>
      </c>
      <c r="B93">
        <v>2019</v>
      </c>
      <c r="C93" t="s">
        <v>36</v>
      </c>
      <c r="D93">
        <v>404</v>
      </c>
      <c r="E93">
        <v>4</v>
      </c>
      <c r="F93">
        <v>7</v>
      </c>
      <c r="G93" t="s">
        <v>23</v>
      </c>
      <c r="H93" t="s">
        <v>12</v>
      </c>
      <c r="I93" t="s">
        <v>20</v>
      </c>
      <c r="K93" s="6">
        <f>127/2</f>
        <v>63.5</v>
      </c>
      <c r="L93" s="6">
        <f>0.5*K93</f>
        <v>31.75</v>
      </c>
      <c r="M93" s="7">
        <f t="shared" si="3"/>
        <v>341.75430287504173</v>
      </c>
      <c r="N93">
        <v>0.76670000000000005</v>
      </c>
      <c r="U93" s="5">
        <v>342</v>
      </c>
    </row>
    <row r="94" spans="1:21" x14ac:dyDescent="0.25">
      <c r="A94" t="s">
        <v>1</v>
      </c>
      <c r="B94">
        <v>2019</v>
      </c>
      <c r="C94" t="s">
        <v>36</v>
      </c>
      <c r="D94">
        <v>405</v>
      </c>
      <c r="E94">
        <v>4</v>
      </c>
      <c r="F94">
        <v>5</v>
      </c>
      <c r="G94" t="s">
        <v>16</v>
      </c>
      <c r="H94" t="s">
        <v>17</v>
      </c>
      <c r="I94" t="s">
        <v>13</v>
      </c>
      <c r="K94" s="6">
        <v>0</v>
      </c>
      <c r="L94" s="6">
        <v>0</v>
      </c>
      <c r="M94" s="7">
        <f t="shared" si="3"/>
        <v>0</v>
      </c>
      <c r="U94" s="5">
        <v>0</v>
      </c>
    </row>
    <row r="95" spans="1:21" x14ac:dyDescent="0.25">
      <c r="A95" t="s">
        <v>1</v>
      </c>
      <c r="B95">
        <v>2019</v>
      </c>
      <c r="C95" t="s">
        <v>36</v>
      </c>
      <c r="D95">
        <v>406</v>
      </c>
      <c r="E95">
        <v>4</v>
      </c>
      <c r="F95">
        <v>2</v>
      </c>
      <c r="G95" t="s">
        <v>3</v>
      </c>
      <c r="H95" t="s">
        <v>15</v>
      </c>
      <c r="K95" s="6">
        <f>449/2</f>
        <v>224.5</v>
      </c>
      <c r="L95" s="6">
        <f>2*K95</f>
        <v>449</v>
      </c>
      <c r="M95" s="7">
        <f t="shared" si="3"/>
        <v>4832.9978579809049</v>
      </c>
      <c r="N95">
        <v>0.56659999999999999</v>
      </c>
      <c r="U95" s="5">
        <v>4833</v>
      </c>
    </row>
    <row r="96" spans="1:21" x14ac:dyDescent="0.25">
      <c r="A96" t="s">
        <v>1</v>
      </c>
      <c r="B96">
        <v>2019</v>
      </c>
      <c r="C96" t="s">
        <v>36</v>
      </c>
      <c r="D96">
        <v>407</v>
      </c>
      <c r="E96">
        <v>4</v>
      </c>
      <c r="F96">
        <v>4</v>
      </c>
      <c r="G96" t="s">
        <v>11</v>
      </c>
      <c r="H96" t="s">
        <v>12</v>
      </c>
      <c r="I96" t="s">
        <v>13</v>
      </c>
      <c r="K96" s="6">
        <v>0</v>
      </c>
      <c r="L96" s="6">
        <v>0</v>
      </c>
      <c r="M96" s="7">
        <f t="shared" si="3"/>
        <v>0</v>
      </c>
      <c r="U96" s="5">
        <v>0</v>
      </c>
    </row>
    <row r="97" spans="1:21" x14ac:dyDescent="0.25">
      <c r="A97" t="s">
        <v>1</v>
      </c>
      <c r="B97">
        <v>2019</v>
      </c>
      <c r="C97" t="s">
        <v>36</v>
      </c>
      <c r="D97">
        <v>408</v>
      </c>
      <c r="E97">
        <v>4</v>
      </c>
      <c r="F97">
        <v>1</v>
      </c>
      <c r="G97" t="s">
        <v>14</v>
      </c>
      <c r="H97" t="s">
        <v>15</v>
      </c>
      <c r="K97" s="6">
        <f>372/2</f>
        <v>186</v>
      </c>
      <c r="L97" s="6">
        <f>2.5*K97</f>
        <v>465</v>
      </c>
      <c r="M97" s="7">
        <f>L97/0.092903</f>
        <v>5005.2204987998239</v>
      </c>
      <c r="N97">
        <v>0.63329999999999997</v>
      </c>
      <c r="U97" s="5">
        <v>5005</v>
      </c>
    </row>
    <row r="98" spans="1:21" x14ac:dyDescent="0.25">
      <c r="A98" t="s">
        <v>29</v>
      </c>
      <c r="B98">
        <v>2019</v>
      </c>
      <c r="C98" t="s">
        <v>38</v>
      </c>
      <c r="D98">
        <v>101</v>
      </c>
      <c r="E98">
        <v>1</v>
      </c>
      <c r="F98">
        <v>1</v>
      </c>
      <c r="G98" t="s">
        <v>14</v>
      </c>
      <c r="H98" t="s">
        <v>15</v>
      </c>
      <c r="K98" s="6">
        <f>((0.5684/((0.0203+0.021+0.02+0.0197+0.021)/5))*100)/2</f>
        <v>1393.1372549019609</v>
      </c>
      <c r="R98" s="6">
        <f>(31.5*K98)/2</f>
        <v>21941.911764705885</v>
      </c>
      <c r="S98" s="6">
        <f>R98/0.092903</f>
        <v>236180.87429583419</v>
      </c>
      <c r="T98">
        <v>0.09</v>
      </c>
      <c r="U98" s="5">
        <v>236181</v>
      </c>
    </row>
    <row r="99" spans="1:21" x14ac:dyDescent="0.25">
      <c r="A99" t="s">
        <v>29</v>
      </c>
      <c r="B99">
        <v>2019</v>
      </c>
      <c r="C99" t="s">
        <v>38</v>
      </c>
      <c r="D99">
        <v>102</v>
      </c>
      <c r="E99">
        <v>1</v>
      </c>
      <c r="F99">
        <v>2</v>
      </c>
      <c r="G99" t="s">
        <v>3</v>
      </c>
      <c r="H99" t="s">
        <v>15</v>
      </c>
      <c r="K99" s="6">
        <f>((2.7394/((0.0218+0.0215+0.0209+0.0214+0.0213)/5))*100)/2</f>
        <v>6406.4546304957903</v>
      </c>
      <c r="R99" s="6">
        <f>(6.5*K99)/2</f>
        <v>20820.977549111318</v>
      </c>
      <c r="S99" s="6">
        <f t="shared" ref="S99:S129" si="4">R99/0.092903</f>
        <v>224115.2336212105</v>
      </c>
      <c r="T99">
        <v>0.04</v>
      </c>
      <c r="U99" s="5">
        <v>224115</v>
      </c>
    </row>
    <row r="100" spans="1:21" x14ac:dyDescent="0.25">
      <c r="A100" t="s">
        <v>29</v>
      </c>
      <c r="B100">
        <v>2019</v>
      </c>
      <c r="C100" t="s">
        <v>38</v>
      </c>
      <c r="D100">
        <v>103</v>
      </c>
      <c r="E100">
        <v>1</v>
      </c>
      <c r="F100">
        <v>3</v>
      </c>
      <c r="G100" t="s">
        <v>21</v>
      </c>
      <c r="H100" t="s">
        <v>19</v>
      </c>
      <c r="I100" t="s">
        <v>13</v>
      </c>
      <c r="K100" s="6">
        <f>((3.3639/((0.0191+0.0196+0.0193+0.0193+0.0188)/5))*100)/2</f>
        <v>8751.0405827263276</v>
      </c>
      <c r="R100" s="6">
        <f>(10*K100)/2</f>
        <v>43755.202913631641</v>
      </c>
      <c r="S100" s="6">
        <f t="shared" si="4"/>
        <v>470977.28720958036</v>
      </c>
      <c r="T100">
        <v>0.01</v>
      </c>
      <c r="U100" s="5">
        <v>470977</v>
      </c>
    </row>
    <row r="101" spans="1:21" x14ac:dyDescent="0.25">
      <c r="A101" t="s">
        <v>29</v>
      </c>
      <c r="B101">
        <v>2019</v>
      </c>
      <c r="C101" t="s">
        <v>38</v>
      </c>
      <c r="D101">
        <v>104</v>
      </c>
      <c r="E101">
        <v>1</v>
      </c>
      <c r="F101">
        <v>4</v>
      </c>
      <c r="G101" t="s">
        <v>11</v>
      </c>
      <c r="H101" t="s">
        <v>12</v>
      </c>
      <c r="I101" t="s">
        <v>13</v>
      </c>
      <c r="K101" s="6">
        <v>0</v>
      </c>
      <c r="R101">
        <v>0</v>
      </c>
      <c r="S101" s="6">
        <f t="shared" si="4"/>
        <v>0</v>
      </c>
      <c r="U101" s="5">
        <v>0</v>
      </c>
    </row>
    <row r="102" spans="1:21" x14ac:dyDescent="0.25">
      <c r="A102" t="s">
        <v>29</v>
      </c>
      <c r="B102">
        <v>2019</v>
      </c>
      <c r="C102" t="s">
        <v>38</v>
      </c>
      <c r="D102">
        <v>105</v>
      </c>
      <c r="E102">
        <v>1</v>
      </c>
      <c r="F102">
        <v>5</v>
      </c>
      <c r="G102" t="s">
        <v>16</v>
      </c>
      <c r="H102" t="s">
        <v>17</v>
      </c>
      <c r="I102" t="s">
        <v>13</v>
      </c>
      <c r="K102" s="6">
        <v>0</v>
      </c>
      <c r="R102">
        <v>0</v>
      </c>
      <c r="S102" s="6">
        <f t="shared" si="4"/>
        <v>0</v>
      </c>
      <c r="U102" s="5">
        <v>0</v>
      </c>
    </row>
    <row r="103" spans="1:21" x14ac:dyDescent="0.25">
      <c r="A103" t="s">
        <v>29</v>
      </c>
      <c r="B103">
        <v>2019</v>
      </c>
      <c r="C103" t="s">
        <v>38</v>
      </c>
      <c r="D103">
        <v>106</v>
      </c>
      <c r="E103">
        <v>1</v>
      </c>
      <c r="F103">
        <v>6</v>
      </c>
      <c r="G103" t="s">
        <v>18</v>
      </c>
      <c r="H103" t="s">
        <v>19</v>
      </c>
      <c r="I103" t="s">
        <v>20</v>
      </c>
      <c r="K103" s="6">
        <f>((1.4907/((0.0257+0.0283+0.027+0.0258+0.0263)/5))*100)/2</f>
        <v>2799.962434259955</v>
      </c>
      <c r="R103" s="6">
        <f>(4.5*K103)/2</f>
        <v>6299.9154770848991</v>
      </c>
      <c r="S103" s="6">
        <f t="shared" si="4"/>
        <v>67811.755024971193</v>
      </c>
      <c r="T103">
        <v>0.13</v>
      </c>
      <c r="U103" s="5">
        <v>67812</v>
      </c>
    </row>
    <row r="104" spans="1:21" x14ac:dyDescent="0.25">
      <c r="A104" t="s">
        <v>29</v>
      </c>
      <c r="B104">
        <v>2019</v>
      </c>
      <c r="C104" t="s">
        <v>38</v>
      </c>
      <c r="D104">
        <v>107</v>
      </c>
      <c r="E104">
        <v>1</v>
      </c>
      <c r="F104">
        <v>7</v>
      </c>
      <c r="G104" t="s">
        <v>23</v>
      </c>
      <c r="H104" t="s">
        <v>12</v>
      </c>
      <c r="I104" t="s">
        <v>20</v>
      </c>
      <c r="K104" s="6">
        <f>((1.8002/((0.0211+0.0208+0.0219+0.0214+0.0208)/5))*100)/2</f>
        <v>4245.7547169811323</v>
      </c>
      <c r="R104" s="6">
        <f>(5*K104)/2</f>
        <v>10614.386792452831</v>
      </c>
      <c r="S104" s="6">
        <f t="shared" si="4"/>
        <v>114252.35775435487</v>
      </c>
      <c r="T104">
        <v>0.18</v>
      </c>
      <c r="U104" s="5">
        <v>114252</v>
      </c>
    </row>
    <row r="105" spans="1:21" x14ac:dyDescent="0.25">
      <c r="A105" t="s">
        <v>29</v>
      </c>
      <c r="B105">
        <v>2019</v>
      </c>
      <c r="C105" t="s">
        <v>38</v>
      </c>
      <c r="D105">
        <v>108</v>
      </c>
      <c r="E105">
        <v>1</v>
      </c>
      <c r="F105">
        <v>8</v>
      </c>
      <c r="G105" t="s">
        <v>22</v>
      </c>
      <c r="H105" t="s">
        <v>17</v>
      </c>
      <c r="I105" t="s">
        <v>20</v>
      </c>
      <c r="K105" s="6">
        <f>((6.7753/((0.0304+0.0254+0.0265+0.0284+0.0267)/5))*100)/2</f>
        <v>12327.69286754003</v>
      </c>
      <c r="R105" s="6">
        <f>(3.5*K105)/2</f>
        <v>21573.462518195054</v>
      </c>
      <c r="S105" s="6">
        <f t="shared" si="4"/>
        <v>232214.91790571946</v>
      </c>
      <c r="T105">
        <v>0.06</v>
      </c>
      <c r="U105" s="5">
        <v>232215</v>
      </c>
    </row>
    <row r="106" spans="1:21" x14ac:dyDescent="0.25">
      <c r="A106" t="s">
        <v>29</v>
      </c>
      <c r="B106">
        <v>2019</v>
      </c>
      <c r="C106" t="s">
        <v>38</v>
      </c>
      <c r="D106">
        <v>201</v>
      </c>
      <c r="E106">
        <v>2</v>
      </c>
      <c r="F106">
        <v>4</v>
      </c>
      <c r="G106" t="s">
        <v>11</v>
      </c>
      <c r="H106" t="s">
        <v>12</v>
      </c>
      <c r="I106" t="s">
        <v>13</v>
      </c>
      <c r="K106" s="6">
        <f>((1.9037/((0.00306+0.0341+0.0348+0.0308+0.0255)/5))*100)/2</f>
        <v>3710.6268517074695</v>
      </c>
      <c r="R106" s="6">
        <f>(2*K106)/2</f>
        <v>3710.6268517074695</v>
      </c>
      <c r="S106" s="6">
        <f t="shared" si="4"/>
        <v>39940.872218415658</v>
      </c>
      <c r="T106">
        <v>0.04</v>
      </c>
      <c r="U106" s="5">
        <v>39941</v>
      </c>
    </row>
    <row r="107" spans="1:21" x14ac:dyDescent="0.25">
      <c r="A107" t="s">
        <v>29</v>
      </c>
      <c r="B107">
        <v>2019</v>
      </c>
      <c r="C107" t="s">
        <v>38</v>
      </c>
      <c r="D107">
        <v>202</v>
      </c>
      <c r="E107">
        <v>2</v>
      </c>
      <c r="F107">
        <v>5</v>
      </c>
      <c r="G107" t="s">
        <v>16</v>
      </c>
      <c r="H107" t="s">
        <v>17</v>
      </c>
      <c r="I107" t="s">
        <v>13</v>
      </c>
      <c r="K107" s="6">
        <v>0</v>
      </c>
      <c r="R107">
        <v>0</v>
      </c>
      <c r="S107" s="6">
        <f t="shared" si="4"/>
        <v>0</v>
      </c>
      <c r="U107" s="5">
        <v>0</v>
      </c>
    </row>
    <row r="108" spans="1:21" x14ac:dyDescent="0.25">
      <c r="A108" t="s">
        <v>29</v>
      </c>
      <c r="B108">
        <v>2019</v>
      </c>
      <c r="C108" t="s">
        <v>38</v>
      </c>
      <c r="D108">
        <v>203</v>
      </c>
      <c r="E108">
        <v>2</v>
      </c>
      <c r="F108">
        <v>7</v>
      </c>
      <c r="G108" t="s">
        <v>23</v>
      </c>
      <c r="H108" t="s">
        <v>12</v>
      </c>
      <c r="I108" t="s">
        <v>20</v>
      </c>
      <c r="K108" s="6">
        <f>193</f>
        <v>193</v>
      </c>
      <c r="R108" s="6">
        <f>(1*K108)/2</f>
        <v>96.5</v>
      </c>
      <c r="S108" s="6">
        <f t="shared" si="4"/>
        <v>1038.7178024391033</v>
      </c>
      <c r="T108">
        <v>0.01</v>
      </c>
      <c r="U108" s="5">
        <v>1039</v>
      </c>
    </row>
    <row r="109" spans="1:21" x14ac:dyDescent="0.25">
      <c r="A109" t="s">
        <v>29</v>
      </c>
      <c r="B109">
        <v>2019</v>
      </c>
      <c r="C109" t="s">
        <v>38</v>
      </c>
      <c r="D109">
        <v>204</v>
      </c>
      <c r="E109">
        <v>2</v>
      </c>
      <c r="F109">
        <v>1</v>
      </c>
      <c r="G109" t="s">
        <v>14</v>
      </c>
      <c r="H109" t="s">
        <v>15</v>
      </c>
      <c r="K109" s="6">
        <f>((1.2296/((0.0237+0.0252+0.025+0.0236+0.0241)/5))*100)/2</f>
        <v>2527.9605263157896</v>
      </c>
      <c r="R109" s="6">
        <f>(39.5*K109)/2</f>
        <v>49927.220394736847</v>
      </c>
      <c r="S109" s="6">
        <f t="shared" si="4"/>
        <v>537412.35907060967</v>
      </c>
      <c r="T109">
        <v>0.06</v>
      </c>
      <c r="U109" s="5">
        <v>537412</v>
      </c>
    </row>
    <row r="110" spans="1:21" x14ac:dyDescent="0.25">
      <c r="A110" t="s">
        <v>29</v>
      </c>
      <c r="B110">
        <v>2019</v>
      </c>
      <c r="C110" t="s">
        <v>38</v>
      </c>
      <c r="D110">
        <v>205</v>
      </c>
      <c r="E110">
        <v>2</v>
      </c>
      <c r="F110">
        <v>8</v>
      </c>
      <c r="G110" t="s">
        <v>22</v>
      </c>
      <c r="H110" t="s">
        <v>17</v>
      </c>
      <c r="I110" t="s">
        <v>20</v>
      </c>
      <c r="K110" s="6">
        <f>((0.2233/((0.0227+0.0226+0.023+0.0223+0.0256)/5))*100)</f>
        <v>960.84337349397583</v>
      </c>
      <c r="R110" s="6">
        <f>(1*K110)/2</f>
        <v>480.42168674698792</v>
      </c>
      <c r="S110" s="6">
        <f t="shared" si="4"/>
        <v>5171.2182248903473</v>
      </c>
      <c r="T110">
        <v>0.11</v>
      </c>
      <c r="U110" s="5">
        <v>5171</v>
      </c>
    </row>
    <row r="111" spans="1:21" x14ac:dyDescent="0.25">
      <c r="A111" t="s">
        <v>29</v>
      </c>
      <c r="B111">
        <v>2019</v>
      </c>
      <c r="C111" t="s">
        <v>38</v>
      </c>
      <c r="D111">
        <v>206</v>
      </c>
      <c r="E111">
        <v>2</v>
      </c>
      <c r="F111">
        <v>3</v>
      </c>
      <c r="G111" t="s">
        <v>21</v>
      </c>
      <c r="H111" t="s">
        <v>19</v>
      </c>
      <c r="I111" t="s">
        <v>13</v>
      </c>
      <c r="K111" s="6">
        <f>((1.9672/((0.0256+0.0251+0.0242+0.0246+0.0255)/5))*100)/2</f>
        <v>3934.4</v>
      </c>
      <c r="R111" s="6">
        <f>(6.5*K111)/2</f>
        <v>12786.800000000001</v>
      </c>
      <c r="S111" s="6">
        <f t="shared" si="4"/>
        <v>137636.02897645932</v>
      </c>
      <c r="T111">
        <v>0.02</v>
      </c>
      <c r="U111" s="5">
        <v>137636</v>
      </c>
    </row>
    <row r="112" spans="1:21" x14ac:dyDescent="0.25">
      <c r="A112" t="s">
        <v>29</v>
      </c>
      <c r="B112">
        <v>2019</v>
      </c>
      <c r="C112" t="s">
        <v>38</v>
      </c>
      <c r="D112">
        <v>207</v>
      </c>
      <c r="E112">
        <v>2</v>
      </c>
      <c r="F112">
        <v>2</v>
      </c>
      <c r="G112" t="s">
        <v>3</v>
      </c>
      <c r="H112" t="s">
        <v>15</v>
      </c>
      <c r="K112" s="6">
        <f>((3.7748/((0.0172+0.0157+0.0166+0.0163+0.017)/5))*100)/2</f>
        <v>11397.342995169083</v>
      </c>
      <c r="R112" s="6">
        <f>(2.5*K112)/2</f>
        <v>14246.678743961354</v>
      </c>
      <c r="S112" s="6">
        <f t="shared" si="4"/>
        <v>153350.03976148623</v>
      </c>
      <c r="T112">
        <v>0.11</v>
      </c>
      <c r="U112" s="5">
        <v>153350</v>
      </c>
    </row>
    <row r="113" spans="1:21" x14ac:dyDescent="0.25">
      <c r="A113" t="s">
        <v>29</v>
      </c>
      <c r="B113">
        <v>2019</v>
      </c>
      <c r="C113" t="s">
        <v>38</v>
      </c>
      <c r="D113">
        <v>208</v>
      </c>
      <c r="E113">
        <v>2</v>
      </c>
      <c r="F113">
        <v>6</v>
      </c>
      <c r="G113" t="s">
        <v>18</v>
      </c>
      <c r="H113" t="s">
        <v>19</v>
      </c>
      <c r="I113" t="s">
        <v>20</v>
      </c>
      <c r="K113" s="6">
        <f>((7.2644/((0.0266+0.0263+0.025+0.0263+0.0267)/5))*100)/2</f>
        <v>13873.949579831933</v>
      </c>
      <c r="R113" s="6">
        <f>(3.5*K113)/2</f>
        <v>24279.411764705881</v>
      </c>
      <c r="S113" s="6">
        <f t="shared" si="4"/>
        <v>261341.52572797306</v>
      </c>
      <c r="T113">
        <v>0.02</v>
      </c>
      <c r="U113" s="5">
        <v>261342</v>
      </c>
    </row>
    <row r="114" spans="1:21" x14ac:dyDescent="0.25">
      <c r="A114" t="s">
        <v>29</v>
      </c>
      <c r="B114">
        <v>2019</v>
      </c>
      <c r="C114" t="s">
        <v>38</v>
      </c>
      <c r="D114">
        <v>301</v>
      </c>
      <c r="E114">
        <v>3</v>
      </c>
      <c r="F114">
        <v>6</v>
      </c>
      <c r="G114" t="s">
        <v>18</v>
      </c>
      <c r="H114" t="s">
        <v>19</v>
      </c>
      <c r="I114" t="s">
        <v>20</v>
      </c>
      <c r="K114" s="6">
        <f>((2.1033/((0.0233+0.0217+0.0225+0.024+0.0239)/5))*100)/2</f>
        <v>4556.5424610051996</v>
      </c>
      <c r="R114" s="6">
        <f>(1*K114)/2</f>
        <v>2278.2712305025998</v>
      </c>
      <c r="S114" s="6">
        <f t="shared" si="4"/>
        <v>24523.117988682818</v>
      </c>
      <c r="T114" s="9">
        <v>0</v>
      </c>
      <c r="U114" s="5">
        <v>24523</v>
      </c>
    </row>
    <row r="115" spans="1:21" x14ac:dyDescent="0.25">
      <c r="A115" t="s">
        <v>29</v>
      </c>
      <c r="B115">
        <v>2019</v>
      </c>
      <c r="C115" t="s">
        <v>38</v>
      </c>
      <c r="D115">
        <v>302</v>
      </c>
      <c r="E115">
        <v>3</v>
      </c>
      <c r="F115">
        <v>3</v>
      </c>
      <c r="G115" t="s">
        <v>21</v>
      </c>
      <c r="H115" t="s">
        <v>19</v>
      </c>
      <c r="I115" t="s">
        <v>13</v>
      </c>
      <c r="K115" s="6">
        <f>((0.5218/((0.0226+0.0231+0.0226+0.0228+0.0231)/5))*100)/2</f>
        <v>1142.2942206654993</v>
      </c>
      <c r="R115" s="6">
        <f>(5.5*K115)/2</f>
        <v>3141.3091068301233</v>
      </c>
      <c r="S115" s="6">
        <f t="shared" si="4"/>
        <v>33812.784375425159</v>
      </c>
      <c r="T115">
        <v>7.0000000000000007E-2</v>
      </c>
      <c r="U115" s="5">
        <v>33813</v>
      </c>
    </row>
    <row r="116" spans="1:21" x14ac:dyDescent="0.25">
      <c r="A116" t="s">
        <v>29</v>
      </c>
      <c r="B116">
        <v>2019</v>
      </c>
      <c r="C116" t="s">
        <v>38</v>
      </c>
      <c r="D116">
        <v>303</v>
      </c>
      <c r="E116">
        <v>3</v>
      </c>
      <c r="F116">
        <v>8</v>
      </c>
      <c r="G116" t="s">
        <v>22</v>
      </c>
      <c r="H116" t="s">
        <v>17</v>
      </c>
      <c r="I116" t="s">
        <v>20</v>
      </c>
      <c r="K116" s="6">
        <v>0</v>
      </c>
      <c r="R116">
        <v>0</v>
      </c>
      <c r="S116" s="6">
        <f t="shared" si="4"/>
        <v>0</v>
      </c>
      <c r="U116" s="5">
        <v>0</v>
      </c>
    </row>
    <row r="117" spans="1:21" x14ac:dyDescent="0.25">
      <c r="A117" t="s">
        <v>29</v>
      </c>
      <c r="B117">
        <v>2019</v>
      </c>
      <c r="C117" t="s">
        <v>38</v>
      </c>
      <c r="D117">
        <v>304</v>
      </c>
      <c r="E117">
        <v>3</v>
      </c>
      <c r="F117">
        <v>4</v>
      </c>
      <c r="G117" t="s">
        <v>11</v>
      </c>
      <c r="H117" t="s">
        <v>12</v>
      </c>
      <c r="I117" t="s">
        <v>13</v>
      </c>
      <c r="K117" s="6">
        <v>0</v>
      </c>
      <c r="R117">
        <v>0</v>
      </c>
      <c r="S117" s="6">
        <f t="shared" si="4"/>
        <v>0</v>
      </c>
      <c r="U117" s="5">
        <v>0</v>
      </c>
    </row>
    <row r="118" spans="1:21" x14ac:dyDescent="0.25">
      <c r="A118" t="s">
        <v>29</v>
      </c>
      <c r="B118">
        <v>2019</v>
      </c>
      <c r="C118" t="s">
        <v>38</v>
      </c>
      <c r="D118">
        <v>305</v>
      </c>
      <c r="E118">
        <v>3</v>
      </c>
      <c r="F118">
        <v>2</v>
      </c>
      <c r="G118" t="s">
        <v>3</v>
      </c>
      <c r="H118" t="s">
        <v>15</v>
      </c>
      <c r="K118" s="6">
        <f>((9.0852/((0.0239+0.0229+0.0244+0.0242+0.0237)/5))*100)/2</f>
        <v>19070.528967254406</v>
      </c>
      <c r="R118" s="6">
        <f>(8*K118)/2</f>
        <v>76282.115869017623</v>
      </c>
      <c r="S118" s="6">
        <f t="shared" si="4"/>
        <v>821094.21513855981</v>
      </c>
      <c r="T118">
        <v>0.03</v>
      </c>
      <c r="U118" s="5">
        <v>821094</v>
      </c>
    </row>
    <row r="119" spans="1:21" x14ac:dyDescent="0.25">
      <c r="A119" t="s">
        <v>29</v>
      </c>
      <c r="B119">
        <v>2019</v>
      </c>
      <c r="C119" t="s">
        <v>38</v>
      </c>
      <c r="D119">
        <v>306</v>
      </c>
      <c r="E119">
        <v>3</v>
      </c>
      <c r="F119">
        <v>5</v>
      </c>
      <c r="G119" t="s">
        <v>16</v>
      </c>
      <c r="H119" t="s">
        <v>17</v>
      </c>
      <c r="I119" t="s">
        <v>13</v>
      </c>
      <c r="K119" s="6">
        <v>0</v>
      </c>
      <c r="R119">
        <v>0</v>
      </c>
      <c r="S119" s="6">
        <f t="shared" si="4"/>
        <v>0</v>
      </c>
      <c r="U119" s="5">
        <v>0</v>
      </c>
    </row>
    <row r="120" spans="1:21" x14ac:dyDescent="0.25">
      <c r="A120" t="s">
        <v>29</v>
      </c>
      <c r="B120">
        <v>2019</v>
      </c>
      <c r="C120" t="s">
        <v>38</v>
      </c>
      <c r="D120">
        <v>307</v>
      </c>
      <c r="E120">
        <v>3</v>
      </c>
      <c r="F120">
        <v>7</v>
      </c>
      <c r="G120" t="s">
        <v>23</v>
      </c>
      <c r="H120" t="s">
        <v>12</v>
      </c>
      <c r="I120" t="s">
        <v>20</v>
      </c>
      <c r="K120" s="6">
        <v>0</v>
      </c>
      <c r="R120">
        <v>0</v>
      </c>
      <c r="S120" s="6">
        <f t="shared" si="4"/>
        <v>0</v>
      </c>
      <c r="U120" s="5">
        <v>0</v>
      </c>
    </row>
    <row r="121" spans="1:21" x14ac:dyDescent="0.25">
      <c r="A121" t="s">
        <v>29</v>
      </c>
      <c r="B121">
        <v>2019</v>
      </c>
      <c r="C121" t="s">
        <v>38</v>
      </c>
      <c r="D121">
        <v>308</v>
      </c>
      <c r="E121">
        <v>3</v>
      </c>
      <c r="F121">
        <v>1</v>
      </c>
      <c r="G121" t="s">
        <v>14</v>
      </c>
      <c r="H121" t="s">
        <v>15</v>
      </c>
      <c r="K121" s="6">
        <f>((1.3109/((0.0183+0.0181+0.0167+0.0171+0.0182)/5))*100)/2</f>
        <v>3707.2963800904972</v>
      </c>
      <c r="R121" s="6">
        <f>(43.5*K121)/2</f>
        <v>80633.696266968313</v>
      </c>
      <c r="S121" s="6">
        <f t="shared" si="4"/>
        <v>867934.25688049162</v>
      </c>
      <c r="T121" s="4">
        <v>7.0000000000000007E-2</v>
      </c>
      <c r="U121" s="5">
        <v>867934</v>
      </c>
    </row>
    <row r="122" spans="1:21" x14ac:dyDescent="0.25">
      <c r="A122" t="s">
        <v>29</v>
      </c>
      <c r="B122">
        <v>2019</v>
      </c>
      <c r="C122" t="s">
        <v>38</v>
      </c>
      <c r="D122">
        <v>401</v>
      </c>
      <c r="E122">
        <v>4</v>
      </c>
      <c r="F122">
        <v>2</v>
      </c>
      <c r="G122" t="s">
        <v>3</v>
      </c>
      <c r="H122" t="s">
        <v>15</v>
      </c>
      <c r="K122" s="6">
        <f>((0.7214/((0.0213+0.0218+0.0199+0.0198+0.0201)/5))*100)/2</f>
        <v>1752.6724975704572</v>
      </c>
      <c r="R122" s="6">
        <f>(6*K122)/2</f>
        <v>5258.0174927113712</v>
      </c>
      <c r="S122" s="6">
        <f t="shared" si="4"/>
        <v>56596.853629176359</v>
      </c>
      <c r="T122">
        <v>0.04</v>
      </c>
      <c r="U122" s="5">
        <v>56597</v>
      </c>
    </row>
    <row r="123" spans="1:21" x14ac:dyDescent="0.25">
      <c r="A123" t="s">
        <v>29</v>
      </c>
      <c r="B123">
        <v>2019</v>
      </c>
      <c r="C123" t="s">
        <v>38</v>
      </c>
      <c r="D123">
        <v>402</v>
      </c>
      <c r="E123">
        <v>4</v>
      </c>
      <c r="F123">
        <v>1</v>
      </c>
      <c r="G123" t="s">
        <v>14</v>
      </c>
      <c r="H123" t="s">
        <v>15</v>
      </c>
      <c r="K123" s="8">
        <f t="shared" ref="K123" si="5">((0.5684/((0.0203+0.021+0.02+0.0197+0.021)/5))*100)/2</f>
        <v>1393.1372549019609</v>
      </c>
      <c r="R123" s="11">
        <f>(53.5*K123)/2</f>
        <v>37266.421568627455</v>
      </c>
      <c r="S123" s="11">
        <f t="shared" si="4"/>
        <v>401132.59602625808</v>
      </c>
      <c r="T123" s="10">
        <v>0.06</v>
      </c>
      <c r="U123" s="5">
        <v>401133</v>
      </c>
    </row>
    <row r="124" spans="1:21" x14ac:dyDescent="0.25">
      <c r="A124" t="s">
        <v>29</v>
      </c>
      <c r="B124">
        <v>2019</v>
      </c>
      <c r="C124" t="s">
        <v>38</v>
      </c>
      <c r="D124">
        <v>403</v>
      </c>
      <c r="E124">
        <v>4</v>
      </c>
      <c r="F124">
        <v>5</v>
      </c>
      <c r="G124" t="s">
        <v>16</v>
      </c>
      <c r="H124" t="s">
        <v>17</v>
      </c>
      <c r="I124" t="s">
        <v>13</v>
      </c>
      <c r="K124" s="6">
        <v>0</v>
      </c>
      <c r="R124">
        <v>0</v>
      </c>
      <c r="S124" s="6">
        <f t="shared" si="4"/>
        <v>0</v>
      </c>
      <c r="U124" s="5">
        <v>0</v>
      </c>
    </row>
    <row r="125" spans="1:21" x14ac:dyDescent="0.25">
      <c r="A125" t="s">
        <v>29</v>
      </c>
      <c r="B125">
        <v>2019</v>
      </c>
      <c r="C125" t="s">
        <v>38</v>
      </c>
      <c r="D125">
        <v>404</v>
      </c>
      <c r="E125">
        <v>4</v>
      </c>
      <c r="F125">
        <v>6</v>
      </c>
      <c r="G125" t="s">
        <v>18</v>
      </c>
      <c r="H125" t="s">
        <v>19</v>
      </c>
      <c r="I125" t="s">
        <v>20</v>
      </c>
      <c r="K125" s="6">
        <f>((0.6545/((0.0319+0.0316+0.0335+0.0353+0.033)/5))*100)/2</f>
        <v>989.86690865093772</v>
      </c>
      <c r="R125" s="6">
        <f>(2.5*K125)/2</f>
        <v>1237.3336358136721</v>
      </c>
      <c r="S125" s="6">
        <f t="shared" si="4"/>
        <v>13318.554145869048</v>
      </c>
      <c r="T125">
        <v>0.04</v>
      </c>
      <c r="U125" s="5">
        <v>13319</v>
      </c>
    </row>
    <row r="126" spans="1:21" x14ac:dyDescent="0.25">
      <c r="A126" t="s">
        <v>29</v>
      </c>
      <c r="B126">
        <v>2019</v>
      </c>
      <c r="C126" t="s">
        <v>38</v>
      </c>
      <c r="D126">
        <v>405</v>
      </c>
      <c r="E126">
        <v>4</v>
      </c>
      <c r="F126">
        <v>7</v>
      </c>
      <c r="G126" t="s">
        <v>23</v>
      </c>
      <c r="H126" t="s">
        <v>12</v>
      </c>
      <c r="I126" t="s">
        <v>20</v>
      </c>
      <c r="K126" s="6">
        <v>0</v>
      </c>
      <c r="R126" s="6">
        <v>0</v>
      </c>
      <c r="S126" s="6">
        <f t="shared" si="4"/>
        <v>0</v>
      </c>
      <c r="U126" s="5">
        <v>0</v>
      </c>
    </row>
    <row r="127" spans="1:21" x14ac:dyDescent="0.25">
      <c r="A127" t="s">
        <v>29</v>
      </c>
      <c r="B127">
        <v>2019</v>
      </c>
      <c r="C127" t="s">
        <v>38</v>
      </c>
      <c r="D127">
        <v>406</v>
      </c>
      <c r="E127">
        <v>4</v>
      </c>
      <c r="F127">
        <v>8</v>
      </c>
      <c r="G127" t="s">
        <v>22</v>
      </c>
      <c r="H127" t="s">
        <v>17</v>
      </c>
      <c r="I127" t="s">
        <v>20</v>
      </c>
      <c r="K127" s="6">
        <f>((3.6862/((0.027+0.025+0.0257+0.0264+0.0252)/5))*100)/2</f>
        <v>7127.2235112142298</v>
      </c>
      <c r="R127" s="6">
        <f>(0.5*K127)/2</f>
        <v>1781.8058778035575</v>
      </c>
      <c r="S127" s="6">
        <f t="shared" si="4"/>
        <v>19179.207106375008</v>
      </c>
      <c r="T127" s="4">
        <v>0</v>
      </c>
      <c r="U127" s="5">
        <v>19179</v>
      </c>
    </row>
    <row r="128" spans="1:21" x14ac:dyDescent="0.25">
      <c r="A128" t="s">
        <v>29</v>
      </c>
      <c r="B128">
        <v>2019</v>
      </c>
      <c r="C128" t="s">
        <v>38</v>
      </c>
      <c r="D128">
        <v>407</v>
      </c>
      <c r="E128">
        <v>4</v>
      </c>
      <c r="F128">
        <v>4</v>
      </c>
      <c r="G128" t="s">
        <v>11</v>
      </c>
      <c r="H128" t="s">
        <v>12</v>
      </c>
      <c r="I128" t="s">
        <v>13</v>
      </c>
      <c r="K128" s="6">
        <f>((0.3443/((0.0269+0.0272+0.027+0.029+0.0268)/5))*100)/2</f>
        <v>628.74360847333821</v>
      </c>
      <c r="R128" s="6">
        <f>(1*K128)/2</f>
        <v>314.37180423666911</v>
      </c>
      <c r="S128" s="6">
        <f t="shared" si="4"/>
        <v>3383.8713952904545</v>
      </c>
      <c r="T128">
        <v>0.01</v>
      </c>
      <c r="U128" s="5">
        <v>3384</v>
      </c>
    </row>
    <row r="129" spans="1:21" x14ac:dyDescent="0.25">
      <c r="A129" t="s">
        <v>29</v>
      </c>
      <c r="B129">
        <v>2019</v>
      </c>
      <c r="C129" t="s">
        <v>38</v>
      </c>
      <c r="D129">
        <v>408</v>
      </c>
      <c r="E129">
        <v>4</v>
      </c>
      <c r="F129">
        <v>3</v>
      </c>
      <c r="G129" t="s">
        <v>21</v>
      </c>
      <c r="H129" t="s">
        <v>19</v>
      </c>
      <c r="I129" t="s">
        <v>13</v>
      </c>
      <c r="K129" s="6">
        <f>((0.465/((0.0262+0.0251+0.0261+0.025+0.025)/5))*100)/2</f>
        <v>912.48037676609124</v>
      </c>
      <c r="R129" s="6">
        <f>(8*K129)/2</f>
        <v>3649.921507064365</v>
      </c>
      <c r="S129" s="6">
        <f t="shared" si="4"/>
        <v>39287.445045524524</v>
      </c>
      <c r="T129">
        <v>0.01</v>
      </c>
      <c r="U129" s="5">
        <v>39287</v>
      </c>
    </row>
  </sheetData>
  <autoFilter ref="A1:U129" xr:uid="{C5A1AEFE-024B-4E97-B264-CA49CFBE764C}"/>
  <phoneticPr fontId="1" type="noConversion"/>
  <pageMargins left="0.7" right="0.7" top="0.75" bottom="0.75" header="0.3" footer="0.3"/>
  <pageSetup orientation="portrait" r:id="rId1"/>
  <ignoredErrors>
    <ignoredError sqref="R10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dcterms:created xsi:type="dcterms:W3CDTF">2018-10-05T04:35:00Z</dcterms:created>
  <dcterms:modified xsi:type="dcterms:W3CDTF">2020-09-22T16:52:31Z</dcterms:modified>
</cp:coreProperties>
</file>