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maxwelco/Dropbox/Cover Crop Survey/"/>
    </mc:Choice>
  </mc:AlternateContent>
  <xr:revisionPtr revIDLastSave="0" documentId="13_ncr:1_{CA0C2DAC-053B-F846-B5EB-37DCD19B9354}" xr6:coauthVersionLast="36" xr6:coauthVersionMax="36" xr10:uidLastSave="{00000000-0000-0000-0000-000000000000}"/>
  <bookViews>
    <workbookView xWindow="1820" yWindow="1460" windowWidth="33200" windowHeight="16740" xr2:uid="{00000000-000D-0000-FFFF-FFFF00000000}"/>
  </bookViews>
  <sheets>
    <sheet name="Original Data" sheetId="2" r:id="rId1"/>
  </sheets>
  <definedNames>
    <definedName name="_xlnm._FilterDatabase" localSheetId="0" hidden="1">'Original Data'!$BA$1:$BA$125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87" i="2" l="1"/>
  <c r="BG124" i="2"/>
  <c r="BG120" i="2"/>
  <c r="BG117" i="2"/>
  <c r="BG112" i="2"/>
  <c r="BG108" i="2"/>
  <c r="BG91" i="2"/>
  <c r="BG95" i="2"/>
  <c r="BH120" i="2" l="1"/>
  <c r="BH124" i="2"/>
  <c r="BH117" i="2"/>
  <c r="BH112" i="2"/>
  <c r="BH108" i="2"/>
  <c r="BH87" i="2"/>
  <c r="BG97" i="2"/>
  <c r="BG105" i="2" l="1"/>
  <c r="BA95" i="2" l="1"/>
  <c r="BA107" i="2" s="1"/>
  <c r="BA93" i="2"/>
  <c r="BA105" i="2" s="1"/>
  <c r="BA91" i="2"/>
  <c r="BA103" i="2" s="1"/>
  <c r="BA89" i="2"/>
  <c r="BA101" i="2" s="1"/>
  <c r="BA87" i="2"/>
  <c r="BA99" i="2" s="1"/>
  <c r="AY101" i="2"/>
  <c r="AY119" i="2" s="1"/>
  <c r="AY99" i="2"/>
  <c r="AY117" i="2" s="1"/>
  <c r="AY97" i="2"/>
  <c r="AY115" i="2" s="1"/>
  <c r="AY95" i="2"/>
  <c r="AY113" i="2" s="1"/>
  <c r="AY93" i="2"/>
  <c r="AY111" i="2" s="1"/>
  <c r="AY91" i="2"/>
  <c r="AY109" i="2" s="1"/>
  <c r="AY89" i="2"/>
  <c r="AY107" i="2" s="1"/>
  <c r="AY87" i="2"/>
  <c r="AY105" i="2" s="1"/>
  <c r="BI93" i="2"/>
  <c r="BI91" i="2"/>
  <c r="BI89" i="2"/>
  <c r="BI87" i="2"/>
  <c r="BG93" i="2"/>
  <c r="BG103" i="2" s="1"/>
  <c r="BG101" i="2"/>
  <c r="BG89" i="2"/>
  <c r="BG99" i="2" s="1"/>
  <c r="BE89" i="2"/>
  <c r="BE97" i="2" s="1"/>
  <c r="BE91" i="2"/>
  <c r="BE99" i="2" s="1"/>
  <c r="BE87" i="2"/>
  <c r="BE95" i="2" s="1"/>
  <c r="AT91" i="2"/>
  <c r="AT89" i="2"/>
  <c r="AT87" i="2"/>
  <c r="AV89" i="2"/>
  <c r="AV87" i="2"/>
  <c r="AQ89" i="2"/>
  <c r="AQ87" i="2"/>
  <c r="AO91" i="2"/>
  <c r="AO89" i="2"/>
  <c r="AO87" i="2"/>
  <c r="AJ91" i="2"/>
  <c r="AJ89" i="2"/>
  <c r="AJ87" i="2"/>
  <c r="BI95" i="2" l="1"/>
  <c r="BI103" i="2" s="1"/>
  <c r="AQ91" i="2"/>
  <c r="AQ93" i="2" s="1"/>
  <c r="AJ93" i="2"/>
  <c r="AJ97" i="2" s="1"/>
  <c r="AT93" i="2"/>
  <c r="AT95" i="2" s="1"/>
  <c r="AV91" i="2"/>
  <c r="AV93" i="2" s="1"/>
  <c r="AO93" i="2"/>
  <c r="AO95" i="2" s="1"/>
  <c r="AL89" i="2"/>
  <c r="AL87" i="2"/>
  <c r="BI97" i="2" l="1"/>
  <c r="AQ95" i="2"/>
  <c r="BI101" i="2"/>
  <c r="BI99" i="2"/>
  <c r="AJ99" i="2"/>
  <c r="AJ95" i="2"/>
  <c r="AT99" i="2"/>
  <c r="AL91" i="2"/>
  <c r="AL93" i="2" s="1"/>
  <c r="AV95" i="2"/>
  <c r="AO99" i="2"/>
  <c r="AO97" i="2"/>
  <c r="AT97" i="2"/>
  <c r="BC89" i="2"/>
  <c r="BC87" i="2"/>
  <c r="AG89" i="2"/>
  <c r="AG87" i="2"/>
  <c r="BC91" i="2" l="1"/>
  <c r="BC95" i="2" s="1"/>
  <c r="AG91" i="2"/>
  <c r="AG95" i="2" s="1"/>
  <c r="AL95" i="2"/>
  <c r="AE89" i="2"/>
  <c r="AE87" i="2"/>
  <c r="AC89" i="2"/>
  <c r="AC87" i="2"/>
  <c r="BC93" i="2" l="1"/>
  <c r="AG93" i="2"/>
  <c r="AC91" i="2"/>
  <c r="AC95" i="2" s="1"/>
  <c r="AE91" i="2"/>
  <c r="AE95" i="2" s="1"/>
  <c r="Z89" i="2"/>
  <c r="Z87" i="2"/>
  <c r="X91" i="2"/>
  <c r="X89" i="2"/>
  <c r="X87" i="2"/>
  <c r="V89" i="2"/>
  <c r="V87" i="2"/>
  <c r="S89" i="2"/>
  <c r="S87" i="2"/>
  <c r="Q91" i="2"/>
  <c r="Q89" i="2"/>
  <c r="Q87" i="2"/>
  <c r="O89" i="2"/>
  <c r="O87" i="2"/>
  <c r="H68" i="2"/>
  <c r="J68" i="2"/>
  <c r="K68" i="2" l="1"/>
  <c r="L68" i="2" s="1"/>
  <c r="Z93" i="2"/>
  <c r="S91" i="2"/>
  <c r="S93" i="2" s="1"/>
  <c r="Z91" i="2"/>
  <c r="Z95" i="2" s="1"/>
  <c r="AE93" i="2"/>
  <c r="AC93" i="2"/>
  <c r="O91" i="2"/>
  <c r="O95" i="2" s="1"/>
  <c r="X93" i="2"/>
  <c r="X95" i="2" s="1"/>
  <c r="V91" i="2"/>
  <c r="V93" i="2" s="1"/>
  <c r="Q93" i="2"/>
  <c r="Q95" i="2" s="1"/>
  <c r="S95" i="2" l="1"/>
  <c r="X99" i="2"/>
  <c r="Q99" i="2"/>
  <c r="X97" i="2"/>
  <c r="O93" i="2"/>
  <c r="V95" i="2"/>
  <c r="Q97" i="2"/>
  <c r="H20" i="2" l="1"/>
  <c r="L44" i="2"/>
  <c r="L52" i="2"/>
  <c r="L72" i="2"/>
  <c r="L73" i="2"/>
  <c r="L74" i="2"/>
  <c r="L75" i="2"/>
  <c r="L76" i="2"/>
  <c r="L77" i="2"/>
  <c r="L81" i="2"/>
  <c r="L8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9" i="2"/>
  <c r="J50" i="2"/>
  <c r="J51" i="2"/>
  <c r="J53" i="2"/>
  <c r="J54" i="2"/>
  <c r="J55" i="2"/>
  <c r="J56" i="2"/>
  <c r="J57" i="2"/>
  <c r="J58" i="2"/>
  <c r="J59" i="2"/>
  <c r="J60" i="2"/>
  <c r="J61" i="2"/>
  <c r="J62" i="2"/>
  <c r="J64" i="2"/>
  <c r="J65" i="2"/>
  <c r="J66" i="2"/>
  <c r="J67" i="2"/>
  <c r="J69" i="2"/>
  <c r="J70" i="2"/>
  <c r="J71" i="2"/>
  <c r="J78" i="2"/>
  <c r="J79" i="2"/>
  <c r="J80" i="2"/>
  <c r="J82" i="2"/>
  <c r="J84" i="2"/>
  <c r="J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5" i="2"/>
  <c r="H46" i="2"/>
  <c r="H47" i="2"/>
  <c r="H49" i="2"/>
  <c r="H50" i="2"/>
  <c r="H51" i="2"/>
  <c r="H53" i="2"/>
  <c r="H54" i="2"/>
  <c r="H55" i="2"/>
  <c r="H56" i="2"/>
  <c r="H57" i="2"/>
  <c r="H58" i="2"/>
  <c r="H59" i="2"/>
  <c r="H60" i="2"/>
  <c r="H61" i="2"/>
  <c r="H62" i="2"/>
  <c r="H63" i="2"/>
  <c r="K63" i="2" s="1"/>
  <c r="L63" i="2" s="1"/>
  <c r="H64" i="2"/>
  <c r="H65" i="2"/>
  <c r="H66" i="2"/>
  <c r="H67" i="2"/>
  <c r="H69" i="2"/>
  <c r="H70" i="2"/>
  <c r="H71" i="2"/>
  <c r="H78" i="2"/>
  <c r="H79" i="2"/>
  <c r="H80" i="2"/>
  <c r="H82" i="2"/>
  <c r="H84" i="2"/>
  <c r="H2" i="2"/>
  <c r="K55" i="2" l="1"/>
  <c r="L55" i="2" s="1"/>
  <c r="H87" i="2"/>
  <c r="B100" i="2" s="1"/>
  <c r="J87" i="2"/>
  <c r="B101" i="2" s="1"/>
  <c r="K37" i="2"/>
  <c r="L37" i="2" s="1"/>
  <c r="K29" i="2"/>
  <c r="L29" i="2" s="1"/>
  <c r="K21" i="2"/>
  <c r="L21" i="2" s="1"/>
  <c r="K2" i="2"/>
  <c r="K19" i="2"/>
  <c r="L19" i="2" s="1"/>
  <c r="K11" i="2"/>
  <c r="L11" i="2" s="1"/>
  <c r="K3" i="2"/>
  <c r="L3" i="2" s="1"/>
  <c r="K43" i="2"/>
  <c r="L43" i="2" s="1"/>
  <c r="K35" i="2"/>
  <c r="L35" i="2" s="1"/>
  <c r="K27" i="2"/>
  <c r="L27" i="2" s="1"/>
  <c r="K41" i="2"/>
  <c r="L41" i="2" s="1"/>
  <c r="K33" i="2"/>
  <c r="L33" i="2" s="1"/>
  <c r="K25" i="2"/>
  <c r="L25" i="2" s="1"/>
  <c r="K17" i="2"/>
  <c r="L17" i="2" s="1"/>
  <c r="K9" i="2"/>
  <c r="L9" i="2" s="1"/>
  <c r="K58" i="2"/>
  <c r="L58" i="2" s="1"/>
  <c r="K8" i="2"/>
  <c r="L8" i="2" s="1"/>
  <c r="K57" i="2"/>
  <c r="L57" i="2" s="1"/>
  <c r="K49" i="2"/>
  <c r="L49" i="2" s="1"/>
  <c r="K16" i="2"/>
  <c r="L16" i="2" s="1"/>
  <c r="K59" i="2"/>
  <c r="L59" i="2" s="1"/>
  <c r="K50" i="2"/>
  <c r="L50" i="2" s="1"/>
  <c r="K40" i="2"/>
  <c r="L40" i="2" s="1"/>
  <c r="K32" i="2"/>
  <c r="L32" i="2" s="1"/>
  <c r="K24" i="2"/>
  <c r="L24" i="2" s="1"/>
  <c r="K13" i="2"/>
  <c r="L13" i="2" s="1"/>
  <c r="K5" i="2"/>
  <c r="L5" i="2" s="1"/>
  <c r="K67" i="2"/>
  <c r="L67" i="2" s="1"/>
  <c r="K80" i="2"/>
  <c r="L80" i="2" s="1"/>
  <c r="K65" i="2"/>
  <c r="L65" i="2" s="1"/>
  <c r="K39" i="2"/>
  <c r="L39" i="2" s="1"/>
  <c r="K31" i="2"/>
  <c r="L31" i="2" s="1"/>
  <c r="K15" i="2"/>
  <c r="L15" i="2" s="1"/>
  <c r="K56" i="2"/>
  <c r="L56" i="2" s="1"/>
  <c r="K78" i="2"/>
  <c r="L78" i="2" s="1"/>
  <c r="K46" i="2"/>
  <c r="L46" i="2" s="1"/>
  <c r="K30" i="2"/>
  <c r="L30" i="2" s="1"/>
  <c r="K22" i="2"/>
  <c r="L22" i="2" s="1"/>
  <c r="K6" i="2"/>
  <c r="L6" i="2" s="1"/>
  <c r="K71" i="2"/>
  <c r="L71" i="2" s="1"/>
  <c r="K62" i="2"/>
  <c r="L62" i="2" s="1"/>
  <c r="K54" i="2"/>
  <c r="L54" i="2" s="1"/>
  <c r="K70" i="2"/>
  <c r="L70" i="2" s="1"/>
  <c r="K61" i="2"/>
  <c r="L61" i="2" s="1"/>
  <c r="K53" i="2"/>
  <c r="L53" i="2" s="1"/>
  <c r="K36" i="2"/>
  <c r="L36" i="2" s="1"/>
  <c r="K28" i="2"/>
  <c r="L28" i="2" s="1"/>
  <c r="K20" i="2"/>
  <c r="K12" i="2"/>
  <c r="L12" i="2" s="1"/>
  <c r="K4" i="2"/>
  <c r="L4" i="2" s="1"/>
  <c r="K66" i="2"/>
  <c r="L66" i="2" s="1"/>
  <c r="K79" i="2"/>
  <c r="L79" i="2" s="1"/>
  <c r="K47" i="2"/>
  <c r="L47" i="2" s="1"/>
  <c r="K23" i="2"/>
  <c r="L23" i="2" s="1"/>
  <c r="K7" i="2"/>
  <c r="L7" i="2" s="1"/>
  <c r="K64" i="2"/>
  <c r="L64" i="2" s="1"/>
  <c r="K38" i="2"/>
  <c r="L38" i="2" s="1"/>
  <c r="K14" i="2"/>
  <c r="L14" i="2" s="1"/>
  <c r="K45" i="2"/>
  <c r="L45" i="2" s="1"/>
  <c r="K42" i="2"/>
  <c r="L42" i="2" s="1"/>
  <c r="K34" i="2"/>
  <c r="L34" i="2" s="1"/>
  <c r="K26" i="2"/>
  <c r="L26" i="2" s="1"/>
  <c r="K18" i="2"/>
  <c r="L18" i="2" s="1"/>
  <c r="K10" i="2"/>
  <c r="L10" i="2" s="1"/>
  <c r="K69" i="2"/>
  <c r="L69" i="2" s="1"/>
  <c r="K60" i="2"/>
  <c r="L60" i="2" s="1"/>
  <c r="K51" i="2"/>
  <c r="L51" i="2" s="1"/>
  <c r="K82" i="2"/>
  <c r="L82" i="2" s="1"/>
  <c r="K84" i="2"/>
  <c r="L84" i="2" s="1"/>
  <c r="L2" i="2" l="1"/>
  <c r="K93" i="2"/>
  <c r="K90" i="2"/>
  <c r="L20" i="2"/>
  <c r="K87" i="2"/>
  <c r="B102" i="2" s="1"/>
  <c r="L89" i="2" l="1"/>
  <c r="L87" i="2"/>
  <c r="L91" i="2" l="1"/>
  <c r="L9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Ffaleco</author>
  </authors>
  <commentList>
    <comment ref="AS1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Ffaleco:</t>
        </r>
        <r>
          <rPr>
            <sz val="9"/>
            <color indexed="81"/>
            <rFont val="Segoe UI"/>
            <charset val="1"/>
          </rPr>
          <t xml:space="preserve">
a: Price
b: Multiple effective modes of action
c: Full labeled rate
d: Recommendation from adviser
e: Set up rate</t>
        </r>
      </text>
    </comment>
  </commentList>
</comments>
</file>

<file path=xl/sharedStrings.xml><?xml version="1.0" encoding="utf-8"?>
<sst xmlns="http://schemas.openxmlformats.org/spreadsheetml/2006/main" count="2629" uniqueCount="909">
  <si>
    <t>Contact</t>
  </si>
  <si>
    <t>County</t>
  </si>
  <si>
    <t>Survey ID</t>
  </si>
  <si>
    <t>yes</t>
  </si>
  <si>
    <t>no</t>
  </si>
  <si>
    <t>marestail</t>
  </si>
  <si>
    <t>Madison</t>
  </si>
  <si>
    <t>Cedar</t>
  </si>
  <si>
    <t>Nance</t>
  </si>
  <si>
    <t>Adams</t>
  </si>
  <si>
    <t>Hamilton</t>
  </si>
  <si>
    <t>Merrick</t>
  </si>
  <si>
    <t>Sherman</t>
  </si>
  <si>
    <t>Kearney</t>
  </si>
  <si>
    <t>erosion control</t>
  </si>
  <si>
    <t>Saunders</t>
  </si>
  <si>
    <t>Polk</t>
  </si>
  <si>
    <t>Butler</t>
  </si>
  <si>
    <t>Colfax</t>
  </si>
  <si>
    <t>Clay</t>
  </si>
  <si>
    <t>Saline</t>
  </si>
  <si>
    <t>Lancaster</t>
  </si>
  <si>
    <t>cost</t>
  </si>
  <si>
    <t>Burdette Piening</t>
  </si>
  <si>
    <t>Seward</t>
  </si>
  <si>
    <t>York</t>
  </si>
  <si>
    <t>Dodge</t>
  </si>
  <si>
    <t>Cass</t>
  </si>
  <si>
    <t>Stanton</t>
  </si>
  <si>
    <t>Washington</t>
  </si>
  <si>
    <t>Cuming</t>
  </si>
  <si>
    <t>Marc Hilger</t>
  </si>
  <si>
    <t>402-954-0467</t>
  </si>
  <si>
    <t>Sarpy</t>
  </si>
  <si>
    <t>Platte</t>
  </si>
  <si>
    <t>Region</t>
  </si>
  <si>
    <t>Southeast</t>
  </si>
  <si>
    <t>West Central</t>
  </si>
  <si>
    <t>Total</t>
  </si>
  <si>
    <t>Yes</t>
  </si>
  <si>
    <t>No</t>
  </si>
  <si>
    <t>Marestail</t>
  </si>
  <si>
    <t>402-785-7885</t>
  </si>
  <si>
    <t>Larry Walla</t>
  </si>
  <si>
    <t>Jerry Minchow</t>
  </si>
  <si>
    <t>402-720-3747</t>
  </si>
  <si>
    <t>Jeff Eisenmenger</t>
  </si>
  <si>
    <t>402-750-4257</t>
  </si>
  <si>
    <t>Brad William</t>
  </si>
  <si>
    <t>402-480-1399</t>
  </si>
  <si>
    <t>Russ Gubbels</t>
  </si>
  <si>
    <t>402-337-0783</t>
  </si>
  <si>
    <t>Brent Hopkins</t>
  </si>
  <si>
    <t>402-615-0413</t>
  </si>
  <si>
    <t>Bryon</t>
  </si>
  <si>
    <t>402-719-0436</t>
  </si>
  <si>
    <t>Duane Oten</t>
  </si>
  <si>
    <t>402-270-2343</t>
  </si>
  <si>
    <t>Mark Strand</t>
  </si>
  <si>
    <t>402-314-0230</t>
  </si>
  <si>
    <t>Bill Ramsey</t>
  </si>
  <si>
    <t>308-380-1549</t>
  </si>
  <si>
    <t>Fred Smith</t>
  </si>
  <si>
    <t>402-432-5827</t>
  </si>
  <si>
    <t>Bob Weise</t>
  </si>
  <si>
    <t>hayman@diodecom.net</t>
  </si>
  <si>
    <t>Fred Vrana</t>
  </si>
  <si>
    <t>402-642-5868</t>
  </si>
  <si>
    <t>Seth Feala</t>
  </si>
  <si>
    <t>402-720-5234</t>
  </si>
  <si>
    <t>Niel Sabata</t>
  </si>
  <si>
    <t>neil_sabata@yahoo.com</t>
  </si>
  <si>
    <t>Tom Haase</t>
  </si>
  <si>
    <t>402-241-0557</t>
  </si>
  <si>
    <t>James Wahl</t>
  </si>
  <si>
    <t>307-399-9425</t>
  </si>
  <si>
    <t>Ryan Twogood</t>
  </si>
  <si>
    <t>Randy Zimek</t>
  </si>
  <si>
    <t>308-550-0433</t>
  </si>
  <si>
    <t>Greg Whitmore</t>
  </si>
  <si>
    <t>402-527-5648</t>
  </si>
  <si>
    <t>Don Peregrine</t>
  </si>
  <si>
    <t>308-536-2064</t>
  </si>
  <si>
    <t>Daryl Obermeyer</t>
  </si>
  <si>
    <t>402-274-7692</t>
  </si>
  <si>
    <t>Nemaha</t>
  </si>
  <si>
    <t>Lynn Rogge</t>
  </si>
  <si>
    <t>402-274-5811</t>
  </si>
  <si>
    <t>Mike McDonald</t>
  </si>
  <si>
    <t>402-314-1571</t>
  </si>
  <si>
    <t xml:space="preserve">Otoe </t>
  </si>
  <si>
    <t>Dan Gillespe</t>
  </si>
  <si>
    <t>402-750-2199</t>
  </si>
  <si>
    <t>Sam Hache</t>
  </si>
  <si>
    <t>402-841-7051</t>
  </si>
  <si>
    <t>Larry Hudkins</t>
  </si>
  <si>
    <t>402-796-2254</t>
  </si>
  <si>
    <t>Willis Smith</t>
  </si>
  <si>
    <t>402-641-0439</t>
  </si>
  <si>
    <t>Butler - Polk</t>
  </si>
  <si>
    <t>Madison - Stanton</t>
  </si>
  <si>
    <t>Colfax - Dodge - Saunders</t>
  </si>
  <si>
    <t>Don Fnrosek</t>
  </si>
  <si>
    <t>John Oehleftig</t>
  </si>
  <si>
    <t>402-429-6870</t>
  </si>
  <si>
    <t>Kaleb Sobota</t>
  </si>
  <si>
    <t>402-615-4103</t>
  </si>
  <si>
    <t>Thomas Vogel</t>
  </si>
  <si>
    <t>402-649-2236</t>
  </si>
  <si>
    <t>Paul Kremlacek</t>
  </si>
  <si>
    <t>402-432-4331</t>
  </si>
  <si>
    <t>Bob Riki</t>
  </si>
  <si>
    <t>402-580-1673</t>
  </si>
  <si>
    <t>Greg Greurig</t>
  </si>
  <si>
    <t>308-380-2497</t>
  </si>
  <si>
    <t>Dustin Nunnenkamp</t>
  </si>
  <si>
    <t>402-469-7763</t>
  </si>
  <si>
    <t>Mike Nichols</t>
  </si>
  <si>
    <t>308-660-9657</t>
  </si>
  <si>
    <t>Chase</t>
  </si>
  <si>
    <t>Gregg Fujan</t>
  </si>
  <si>
    <t>402-443-8607</t>
  </si>
  <si>
    <t>Bart Ruth</t>
  </si>
  <si>
    <t>402-641-6692</t>
  </si>
  <si>
    <t>Paul Pearson</t>
  </si>
  <si>
    <t>402-440-3806</t>
  </si>
  <si>
    <t>Mike Dvorak</t>
  </si>
  <si>
    <t>402-910-1045</t>
  </si>
  <si>
    <t>Brian Labenz</t>
  </si>
  <si>
    <t>308-240-0414</t>
  </si>
  <si>
    <t>Ron Kadary</t>
  </si>
  <si>
    <t>402-642-5570</t>
  </si>
  <si>
    <t>Kent Groteluescher</t>
  </si>
  <si>
    <t>402-367-8245</t>
  </si>
  <si>
    <t>Roger Hanke</t>
  </si>
  <si>
    <t>308-894-6551</t>
  </si>
  <si>
    <t>402-625-2025</t>
  </si>
  <si>
    <t>Caleb Wilford</t>
  </si>
  <si>
    <t>402-469-5463</t>
  </si>
  <si>
    <t>John Sahr</t>
  </si>
  <si>
    <t>402-654-2283</t>
  </si>
  <si>
    <t>Les Denning</t>
  </si>
  <si>
    <t>308-940-0632</t>
  </si>
  <si>
    <t>Fred Blasé</t>
  </si>
  <si>
    <t>402-854-2604</t>
  </si>
  <si>
    <t>Randy Jensen</t>
  </si>
  <si>
    <t>402-426-3811</t>
  </si>
  <si>
    <t>John Moore</t>
  </si>
  <si>
    <t>402-366-7293</t>
  </si>
  <si>
    <t>Larry Moore</t>
  </si>
  <si>
    <t>402-366-6231</t>
  </si>
  <si>
    <t>Ben Carlson</t>
  </si>
  <si>
    <t>402-649-1147</t>
  </si>
  <si>
    <t>Ross Janak</t>
  </si>
  <si>
    <t>402-641-5192</t>
  </si>
  <si>
    <t>Harvey Cool</t>
  </si>
  <si>
    <t>402-580-6334</t>
  </si>
  <si>
    <t>James Ingweran</t>
  </si>
  <si>
    <t>402-298-8572</t>
  </si>
  <si>
    <t>Todd Cornwell</t>
  </si>
  <si>
    <t>402-426-5241</t>
  </si>
  <si>
    <t>Ryan Pekarek</t>
  </si>
  <si>
    <t>402-641-3305</t>
  </si>
  <si>
    <t>Chad Christianson</t>
  </si>
  <si>
    <t>402-720-0593</t>
  </si>
  <si>
    <t>Jerry Hickman</t>
  </si>
  <si>
    <t>308-496-4277</t>
  </si>
  <si>
    <t>Greg Freudenburg</t>
  </si>
  <si>
    <t>402-372-5588</t>
  </si>
  <si>
    <t>Chad Schuler</t>
  </si>
  <si>
    <t>402-676-0609</t>
  </si>
  <si>
    <t>Douglas</t>
  </si>
  <si>
    <t>Corey Finnegan</t>
  </si>
  <si>
    <t>402-340-7064</t>
  </si>
  <si>
    <t>Boyd</t>
  </si>
  <si>
    <t>Doug Cast</t>
  </si>
  <si>
    <t>Jason McMahon</t>
  </si>
  <si>
    <t>402-450-8352</t>
  </si>
  <si>
    <t>402-475-0632</t>
  </si>
  <si>
    <t>Paul Steffen</t>
  </si>
  <si>
    <t>402-862-5303</t>
  </si>
  <si>
    <t>Richardson</t>
  </si>
  <si>
    <t>Jim Harder</t>
  </si>
  <si>
    <t>402-421-1448</t>
  </si>
  <si>
    <t>Bruce Kraeger</t>
  </si>
  <si>
    <t>402-291-4375</t>
  </si>
  <si>
    <t>Sherrill Echternkamp</t>
  </si>
  <si>
    <t>402-762-5248</t>
  </si>
  <si>
    <t>Herb Blumendahl</t>
  </si>
  <si>
    <t>402-719-1528</t>
  </si>
  <si>
    <t>Mitch Otto</t>
  </si>
  <si>
    <t>402-525-0257</t>
  </si>
  <si>
    <t>Donald Veskernd</t>
  </si>
  <si>
    <t>402-944-2614</t>
  </si>
  <si>
    <t>402-489-4830</t>
  </si>
  <si>
    <t>Bulter</t>
  </si>
  <si>
    <t>Ryan Adams</t>
  </si>
  <si>
    <t>Grower</t>
  </si>
  <si>
    <t>Consultant</t>
  </si>
  <si>
    <t>Industry</t>
  </si>
  <si>
    <t>Agronomist</t>
  </si>
  <si>
    <t>Grower/NRCS</t>
  </si>
  <si>
    <t>Grower/Consultant</t>
  </si>
  <si>
    <t>Other/Arti</t>
  </si>
  <si>
    <t>Other/Owner</t>
  </si>
  <si>
    <t>Grower/Farmer</t>
  </si>
  <si>
    <t>12 Organic/75 Conventional</t>
  </si>
  <si>
    <t>Victor Bonuslausky</t>
  </si>
  <si>
    <t>402-641-8272</t>
  </si>
  <si>
    <t>500-600</t>
  </si>
  <si>
    <t>50-100</t>
  </si>
  <si>
    <t>15" Planter</t>
  </si>
  <si>
    <t>Inerseeder/Aerial broadcast</t>
  </si>
  <si>
    <t>Aerial</t>
  </si>
  <si>
    <t>Custom made interseeder</t>
  </si>
  <si>
    <t>What is your role:</t>
  </si>
  <si>
    <t>How many acres have cover crops:</t>
  </si>
  <si>
    <t>How many acres do you farm/manage:</t>
  </si>
  <si>
    <t>What major change have you ovserved in your operation since cover crops were introduced:</t>
  </si>
  <si>
    <t>What is the biggest challenge regards having cover crops in your operation:</t>
  </si>
  <si>
    <t>Have cover crops imporved weed control in your operation:</t>
  </si>
  <si>
    <t>If so, what weed species have you observed enhanced control:</t>
  </si>
  <si>
    <t>When do you include soil residual herbicides in the tank-mix:</t>
  </si>
  <si>
    <t>Suggesion for future cover crop research:</t>
  </si>
  <si>
    <t>After soybean harvest &amp; NH3 App.</t>
  </si>
  <si>
    <t>5 - 7 days before corn planting</t>
  </si>
  <si>
    <t>Getting the sprayer guy to get there on time</t>
  </si>
  <si>
    <t>Starting cover crops</t>
  </si>
  <si>
    <t>Harvested Soybean &amp; Corn</t>
  </si>
  <si>
    <t>Right after harvest</t>
  </si>
  <si>
    <t>Ceral rye/winter peas on 36 acres Soybeans stubble rest of soybeans &amp; corn Ceral rye</t>
  </si>
  <si>
    <t>7-10 days prior to planting</t>
  </si>
  <si>
    <t>Going into 2nd year too early to tell other than less wind erosion</t>
  </si>
  <si>
    <t>Male row destruction</t>
  </si>
  <si>
    <t>2 weeks before planting</t>
  </si>
  <si>
    <t>At pre emerge application timing</t>
  </si>
  <si>
    <t>Just changed timing</t>
  </si>
  <si>
    <t>Do not plantahead of seed corn</t>
  </si>
  <si>
    <t>As soon as I can, weather permitting</t>
  </si>
  <si>
    <t>just a little later than corn 6' tall</t>
  </si>
  <si>
    <t>more of a challenge at planting to get even emergence</t>
  </si>
  <si>
    <t>planting cover crop &amp; terminating</t>
  </si>
  <si>
    <t>marestail, russian-thistle</t>
  </si>
  <si>
    <t>how to plant earlier, and more varietys cocktail blends</t>
  </si>
  <si>
    <t>post harvest</t>
  </si>
  <si>
    <t>drill</t>
  </si>
  <si>
    <t>ceral rye, radish</t>
  </si>
  <si>
    <t xml:space="preserve">post harvest </t>
  </si>
  <si>
    <t>ceral rye, rape, crimson clover</t>
  </si>
  <si>
    <t>at planting time 2 days before</t>
  </si>
  <si>
    <t xml:space="preserve">herbicide </t>
  </si>
  <si>
    <t>less erosion, more uniform yield</t>
  </si>
  <si>
    <t>short growing season for cover crops</t>
  </si>
  <si>
    <t>glyphosate/2,4-D</t>
  </si>
  <si>
    <t>Herbicide effect on cover crops and planting covers at V5-7 in corn</t>
  </si>
  <si>
    <t>Before Planting</t>
  </si>
  <si>
    <t>Erosion Control</t>
  </si>
  <si>
    <t>Termination</t>
  </si>
  <si>
    <t>Some yes &amp; Some no</t>
  </si>
  <si>
    <t>Glphosate, Liberty</t>
  </si>
  <si>
    <t>at april 15 or after</t>
  </si>
  <si>
    <t>1st year this spring</t>
  </si>
  <si>
    <t>termination timing</t>
  </si>
  <si>
    <t>Mid-August</t>
  </si>
  <si>
    <t>yellowing, leaf drop</t>
  </si>
  <si>
    <t>turnip/radish</t>
  </si>
  <si>
    <t>early april</t>
  </si>
  <si>
    <t xml:space="preserve">late april </t>
  </si>
  <si>
    <t>Hericides</t>
  </si>
  <si>
    <t>less erosion, better soil tilthe</t>
  </si>
  <si>
    <t>better weed suppression</t>
  </si>
  <si>
    <t>mixed forages</t>
  </si>
  <si>
    <t>Weather</t>
  </si>
  <si>
    <t>Broadleaf</t>
  </si>
  <si>
    <t>Forage Utilization/Soil Health</t>
  </si>
  <si>
    <t>Yellow Leaf</t>
  </si>
  <si>
    <t>Spray</t>
  </si>
  <si>
    <t>Spray on time</t>
  </si>
  <si>
    <t>Black layer</t>
  </si>
  <si>
    <t>Interseeder Homemade unit</t>
  </si>
  <si>
    <t>Male row Distruction</t>
  </si>
  <si>
    <t>Interseeder Homemade uint</t>
  </si>
  <si>
    <t>Undecided</t>
  </si>
  <si>
    <t>Unknown First Year</t>
  </si>
  <si>
    <t>Termination expected</t>
  </si>
  <si>
    <t>Unknown</t>
  </si>
  <si>
    <t>Termination &amp; Planting times</t>
  </si>
  <si>
    <t>14 days prior to planting 0-7 days after planting</t>
  </si>
  <si>
    <t>After Planting</t>
  </si>
  <si>
    <t>Less fall-applied AA</t>
  </si>
  <si>
    <t>Finding time to apply cover crops</t>
  </si>
  <si>
    <t>All</t>
  </si>
  <si>
    <t>Nitrogen Management</t>
  </si>
  <si>
    <t>Preplant</t>
  </si>
  <si>
    <t>Soil moisture improvement</t>
  </si>
  <si>
    <t>time and cost to get farmer on board</t>
  </si>
  <si>
    <t>Tillage</t>
  </si>
  <si>
    <t>Mover, Tillage</t>
  </si>
  <si>
    <t>Only 2 years at weed supppression most noteble and less erosion</t>
  </si>
  <si>
    <t>How to destrroy-partial organic so no herbicides</t>
  </si>
  <si>
    <t>Just learning very good meeting</t>
  </si>
  <si>
    <t>male</t>
  </si>
  <si>
    <t>Broadcast</t>
  </si>
  <si>
    <t>Turnips, Radish</t>
  </si>
  <si>
    <t>Pre-plant</t>
  </si>
  <si>
    <t>When sunlight penetration or drill after harvest is good</t>
  </si>
  <si>
    <t>Plan at leaf drop prefer drill</t>
  </si>
  <si>
    <t>mainly rye, some rasish, turip</t>
  </si>
  <si>
    <t>recommend prior planting up to plantind</t>
  </si>
  <si>
    <t>at planting</t>
  </si>
  <si>
    <t>knowledge to do it right</t>
  </si>
  <si>
    <t>Learning yet</t>
  </si>
  <si>
    <t>Keep bringing experience people with manying thought. Shor term vs long ter cover crop guys</t>
  </si>
  <si>
    <t>Post pollination to post harvest</t>
  </si>
  <si>
    <t>cereal rye, radish, turnips,kale, canola</t>
  </si>
  <si>
    <t>post pollenation to post harvest</t>
  </si>
  <si>
    <t>cereal rye, turnips, radish</t>
  </si>
  <si>
    <t>post harvest, leaf drop</t>
  </si>
  <si>
    <t>dry fert. Spreader</t>
  </si>
  <si>
    <t>cereal rye, radish</t>
  </si>
  <si>
    <t>by April 10</t>
  </si>
  <si>
    <t>less erosion, lower weed pressure, redution in nenitodes</t>
  </si>
  <si>
    <t>Stand establishment and termination</t>
  </si>
  <si>
    <t>marstail, grasses</t>
  </si>
  <si>
    <t>Less compaction more moisture retension.  Great grazing</t>
  </si>
  <si>
    <t>Maretail some waterhemp, come winter annuals</t>
  </si>
  <si>
    <t>Post spraying corn Pre spraying Soybeans</t>
  </si>
  <si>
    <t>Touch more on Haney Soil Test. Great Meeting. Same stuff again</t>
  </si>
  <si>
    <t>Beging dropping leaves</t>
  </si>
  <si>
    <t>April 1st</t>
  </si>
  <si>
    <t>cattle in better shape in the spring</t>
  </si>
  <si>
    <t>getting a stand on a dry year</t>
  </si>
  <si>
    <t>herbit</t>
  </si>
  <si>
    <t>cover crop termination</t>
  </si>
  <si>
    <t>September 15 leaf drop after harvest</t>
  </si>
  <si>
    <t>cereal rye radish</t>
  </si>
  <si>
    <t>before planting, April 1</t>
  </si>
  <si>
    <t>before planting April 25</t>
  </si>
  <si>
    <t>less soil erosion, better soil tilth</t>
  </si>
  <si>
    <t>Depends but visually when leaves are yellowing</t>
  </si>
  <si>
    <t>Same as corn</t>
  </si>
  <si>
    <t>Depends prefer 2 weeks prior to planting</t>
  </si>
  <si>
    <t>Depends after planting as long as I can go w/out violating crop insurance</t>
  </si>
  <si>
    <t>Brasscas, WSG, Cs6, legumes are reduced</t>
  </si>
  <si>
    <t>same as corn increased particularly hard seeds</t>
  </si>
  <si>
    <t xml:space="preserve">Less weeds, softer seed bed </t>
  </si>
  <si>
    <t>every year is different post harvest &amp; pre-plant spring - fall</t>
  </si>
  <si>
    <t>marestail, henbit</t>
  </si>
  <si>
    <t>Comparing the different types of carbon in Ccu.  Examining peas, clover &amp; beans to determine how &amp; which produces nitrogen to better impact intentional diversities</t>
  </si>
  <si>
    <t>cereal rye, hairy vetch, clovers</t>
  </si>
  <si>
    <t>plant green, 7-10 days before or after</t>
  </si>
  <si>
    <t xml:space="preserve"> Herbicide</t>
  </si>
  <si>
    <t>plant green, terminate 7-10 days before or after</t>
  </si>
  <si>
    <t xml:space="preserve">some increase erosion </t>
  </si>
  <si>
    <t>figuring out how to get more diversity</t>
  </si>
  <si>
    <t>Marestail, waterhemp</t>
  </si>
  <si>
    <t>companion crops</t>
  </si>
  <si>
    <t>after silage</t>
  </si>
  <si>
    <t>no till drill</t>
  </si>
  <si>
    <t>rye, oats, radishes</t>
  </si>
  <si>
    <t>Grazing/tillage/hervicide</t>
  </si>
  <si>
    <t>Terminating in a timely matter</t>
  </si>
  <si>
    <t>winter annuals</t>
  </si>
  <si>
    <t>after harvest</t>
  </si>
  <si>
    <t>cereal rye</t>
  </si>
  <si>
    <t>Still learning how to manage</t>
  </si>
  <si>
    <t>killing the cener crops</t>
  </si>
  <si>
    <t>Aerial application to terminate coner crop</t>
  </si>
  <si>
    <t>after male distraction</t>
  </si>
  <si>
    <t>rye &amp; radish sometimes turnips</t>
  </si>
  <si>
    <t>R5</t>
  </si>
  <si>
    <t>rye &amp; radish</t>
  </si>
  <si>
    <t>Late march early april</t>
  </si>
  <si>
    <t>late march early april</t>
  </si>
  <si>
    <t>Increased organic matter readings on soil tests</t>
  </si>
  <si>
    <t>Role of covercrops in a high yield environment</t>
  </si>
  <si>
    <t>na</t>
  </si>
  <si>
    <t xml:space="preserve">April  </t>
  </si>
  <si>
    <t xml:space="preserve">April   </t>
  </si>
  <si>
    <t>timely seeding</t>
  </si>
  <si>
    <t>broadleaf weeds</t>
  </si>
  <si>
    <t>fall-after harves</t>
  </si>
  <si>
    <t>after corn for spring</t>
  </si>
  <si>
    <t>rye</t>
  </si>
  <si>
    <t>8-10 " tall once</t>
  </si>
  <si>
    <t>at this meeting to determine when</t>
  </si>
  <si>
    <t>reduced erosion better weed control firmer seed bed</t>
  </si>
  <si>
    <t>crop planting</t>
  </si>
  <si>
    <t>Specific: hervicide programs that work with cover crops, using covers with livestock</t>
  </si>
  <si>
    <t>clover, cereal rye</t>
  </si>
  <si>
    <t>cereal rye, clover</t>
  </si>
  <si>
    <t>before boot stage and plantings</t>
  </si>
  <si>
    <t>before boot stage and planting</t>
  </si>
  <si>
    <t>less weed little harder soild to plant to</t>
  </si>
  <si>
    <t>getting to narrow 7.4" grazing affects on soil competion</t>
  </si>
  <si>
    <t>Roundup</t>
  </si>
  <si>
    <t>Grazing and rates to use affets of compactions</t>
  </si>
  <si>
    <t>after harest</t>
  </si>
  <si>
    <t>cereal rye, rape, clover</t>
  </si>
  <si>
    <t>as soon as it works</t>
  </si>
  <si>
    <t>as as it works</t>
  </si>
  <si>
    <t>less erosion</t>
  </si>
  <si>
    <t>getting in ground, getting terminate in time</t>
  </si>
  <si>
    <t>glyphosate</t>
  </si>
  <si>
    <t>Other/Tubro till with air seeder</t>
  </si>
  <si>
    <t>Last week of August</t>
  </si>
  <si>
    <t>at Sept. 10, when leaves turn yellow</t>
  </si>
  <si>
    <t>2 weeks pre-plant</t>
  </si>
  <si>
    <t>pre-plant 1-2 weeks</t>
  </si>
  <si>
    <t>muh less weed competition, no erosion</t>
  </si>
  <si>
    <t>money, money</t>
  </si>
  <si>
    <t>marstail, H2O temp, herbit</t>
  </si>
  <si>
    <t>Pies in brochures would be more meaninful/easier to follow, if in color.  More $$ to do I know, but pictures in black/grey blend to much to show good date</t>
  </si>
  <si>
    <t>Before planting</t>
  </si>
  <si>
    <t>increase in organic matter</t>
  </si>
  <si>
    <t>time</t>
  </si>
  <si>
    <t>air us ground machine results</t>
  </si>
  <si>
    <t>pre plant</t>
  </si>
  <si>
    <t>herbicides</t>
  </si>
  <si>
    <t>weather dependent</t>
  </si>
  <si>
    <t>more equipment and management</t>
  </si>
  <si>
    <t>how to work them into the operation</t>
  </si>
  <si>
    <t>corn/cult and sandy box</t>
  </si>
  <si>
    <t>aerial seeding</t>
  </si>
  <si>
    <t>varis</t>
  </si>
  <si>
    <t>v-6,7 + R-5,6</t>
  </si>
  <si>
    <t>pending weather</t>
  </si>
  <si>
    <t>norm</t>
  </si>
  <si>
    <t>hemp-palmer, etc</t>
  </si>
  <si>
    <t>glyphosate/2,4-D OtherDicamba</t>
  </si>
  <si>
    <t>15" kinze 3500</t>
  </si>
  <si>
    <t>Increased insect pressure a problem</t>
  </si>
  <si>
    <t>after silage removal early sept</t>
  </si>
  <si>
    <t>broadcast &amp; light tillage</t>
  </si>
  <si>
    <t>rye - radishes</t>
  </si>
  <si>
    <t>Late March early April</t>
  </si>
  <si>
    <t>Improved om - reduced wind erosion</t>
  </si>
  <si>
    <t>week before planting</t>
  </si>
  <si>
    <t>Yield drag 7-12 bushels</t>
  </si>
  <si>
    <t>starting and stopping yes</t>
  </si>
  <si>
    <t>Wheat</t>
  </si>
  <si>
    <t>Just before planting</t>
  </si>
  <si>
    <t>marstail, small seeded broadleaves</t>
  </si>
  <si>
    <t>Better soil filter, much more erosion control, healing of minor ditches</t>
  </si>
  <si>
    <t>getting planted as timely as possible</t>
  </si>
  <si>
    <t>1st Year</t>
  </si>
  <si>
    <t>How all this works with Ridge-till</t>
  </si>
  <si>
    <t>After corn harvest</t>
  </si>
  <si>
    <t>Foot tall</t>
  </si>
  <si>
    <t>Need a drill (now rent)</t>
  </si>
  <si>
    <t>Aerial vs no till drill vs regular drill</t>
  </si>
  <si>
    <t xml:space="preserve">1st Year  </t>
  </si>
  <si>
    <t>Knowing how to manage</t>
  </si>
  <si>
    <t>Extension work at local coopertives</t>
  </si>
  <si>
    <t>Male destroying</t>
  </si>
  <si>
    <t>Turnip, Radish &amp; Blend</t>
  </si>
  <si>
    <t>Winter kill, Herbicide</t>
  </si>
  <si>
    <t>More Organic matter, more mellow ground</t>
  </si>
  <si>
    <t>water hemp</t>
  </si>
  <si>
    <t>Hushie</t>
  </si>
  <si>
    <t>RU</t>
  </si>
  <si>
    <t>I have never used cover crop but am looking to try them and on trying to learn more about them</t>
  </si>
  <si>
    <t>Planting in corn</t>
  </si>
  <si>
    <t>Part interest in implementing this practice</t>
  </si>
  <si>
    <t>Primarily cereal rye</t>
  </si>
  <si>
    <t>spring</t>
  </si>
  <si>
    <t>Erosion control, tilth, weed control, organic matter</t>
  </si>
  <si>
    <t>Seeding in the fall</t>
  </si>
  <si>
    <t>Marestail, pigweed</t>
  </si>
  <si>
    <t>Yields</t>
  </si>
  <si>
    <t>2 weeks prior</t>
  </si>
  <si>
    <t>Aerial seed in standing corn</t>
  </si>
  <si>
    <t>Planting in the fall</t>
  </si>
  <si>
    <t xml:space="preserve">Late </t>
  </si>
  <si>
    <t>Planing to start this in 2017</t>
  </si>
  <si>
    <t>Beginning leaf senescence</t>
  </si>
  <si>
    <t>glyphosate 1 week prior to planting</t>
  </si>
  <si>
    <t>Weed suppression, organic matter</t>
  </si>
  <si>
    <t>Getting a good stand broadcasting and fall seeding legumes</t>
  </si>
  <si>
    <t>Glant ragweed</t>
  </si>
  <si>
    <t>Timely planting of fall cover crop during harvest</t>
  </si>
  <si>
    <t>Waterhemp hembit</t>
  </si>
  <si>
    <t>9-1 to 9-15</t>
  </si>
  <si>
    <t>4-5 to 4-10</t>
  </si>
  <si>
    <t>4-10 to 4-15</t>
  </si>
  <si>
    <t>upward change of organic matter from 2.5% to 3.5%</t>
  </si>
  <si>
    <t>no big challenge just get it done</t>
  </si>
  <si>
    <t>By September 1</t>
  </si>
  <si>
    <t>6-12 inch tall</t>
  </si>
  <si>
    <t xml:space="preserve">Seeder </t>
  </si>
  <si>
    <t>Red Clover &amp; Crimson Clover</t>
  </si>
  <si>
    <t>When leaves yellow and fall</t>
  </si>
  <si>
    <t>Soil tilt</t>
  </si>
  <si>
    <t>Getting a established stand</t>
  </si>
  <si>
    <t>Button weed &amp; Water Hemp</t>
  </si>
  <si>
    <t>Brian Steinkruger</t>
  </si>
  <si>
    <t>Blacklayer &amp; post harvest</t>
  </si>
  <si>
    <t>Oats, rape, rye, sorghum, peas</t>
  </si>
  <si>
    <t>at 18"</t>
  </si>
  <si>
    <t>End of April or 18"</t>
  </si>
  <si>
    <t>Less fertilizer &amp; herbicide use</t>
  </si>
  <si>
    <t>Early spring &amp; after harvest</t>
  </si>
  <si>
    <t>Early or mid April</t>
  </si>
  <si>
    <t>Water hemp</t>
  </si>
  <si>
    <t>Getting them planted soon after harvest</t>
  </si>
  <si>
    <t>3 weeks before planting</t>
  </si>
  <si>
    <t>1 - 2 weeks before planting</t>
  </si>
  <si>
    <t>yield drag on corn</t>
  </si>
  <si>
    <t>mairstail, water hemp</t>
  </si>
  <si>
    <t>by hand 2-3 weeks &amp; before harvest drill 1-2 weeks after harvest</t>
  </si>
  <si>
    <t>Have not been in position long enough</t>
  </si>
  <si>
    <t>Finding the right balance, the right tool for the job</t>
  </si>
  <si>
    <t>Goal is knee high</t>
  </si>
  <si>
    <t>rye, oats, buck wheat, radish, other stuff</t>
  </si>
  <si>
    <t>in fall</t>
  </si>
  <si>
    <t>rye, oats</t>
  </si>
  <si>
    <t>Getting them started</t>
  </si>
  <si>
    <t>Combination of all listed</t>
  </si>
  <si>
    <t>Don't use residual products</t>
  </si>
  <si>
    <t>effects of removing corn stalks how cover crops can help</t>
  </si>
  <si>
    <t xml:space="preserve"> Leaf turning</t>
  </si>
  <si>
    <t>April 5-10</t>
  </si>
  <si>
    <t>Putting cover cap</t>
  </si>
  <si>
    <t>Marestail, Hembit</t>
  </si>
  <si>
    <t>Plan on trying a hoemade in row standing bean inner seeding</t>
  </si>
  <si>
    <t>Plan on drilling some oats very soon into last years bean stuff</t>
  </si>
  <si>
    <t>round up may be mised with some area to help burn down and starter for corn</t>
  </si>
  <si>
    <t>Just get going and do it</t>
  </si>
  <si>
    <t>Hagie</t>
  </si>
  <si>
    <t>Turnip rapeseed collards</t>
  </si>
  <si>
    <t>6" growth</t>
  </si>
  <si>
    <t>Herbicide</t>
  </si>
  <si>
    <t>6" growth or less</t>
  </si>
  <si>
    <t>Knee high growth</t>
  </si>
  <si>
    <t>Soil quality, water infiltration increased</t>
  </si>
  <si>
    <t>Timing is everthing</t>
  </si>
  <si>
    <t>Hembit, marestail</t>
  </si>
  <si>
    <t>As conditions dictate</t>
  </si>
  <si>
    <t>at male distruction</t>
  </si>
  <si>
    <t>Radish, turnip, rape</t>
  </si>
  <si>
    <t>After Harevest</t>
  </si>
  <si>
    <t>Just before or just after planting</t>
  </si>
  <si>
    <t>Less winter annuals, better water use</t>
  </si>
  <si>
    <t xml:space="preserve">Interseed </t>
  </si>
  <si>
    <t>Herbicdes</t>
  </si>
  <si>
    <t>After Havest</t>
  </si>
  <si>
    <t>Cereal rey &amp; somecereal rye rapeseed mix</t>
  </si>
  <si>
    <t>12"-19" tall</t>
  </si>
  <si>
    <t>Right before heading out on most after beans are 2-4" tall</t>
  </si>
  <si>
    <t>Decreased erosion &amp; better yields in solybeans after rye, one farm have increased organic matter by 2%</t>
  </si>
  <si>
    <t>Finding time to seed then and get the ditches fixed before hand</t>
  </si>
  <si>
    <t>All of them</t>
  </si>
  <si>
    <t xml:space="preserve">When we post spray so early on corn 6"-12" tall </t>
  </si>
  <si>
    <t>How cereal rye controls volunteer corn</t>
  </si>
  <si>
    <t>aerial seeding/drill</t>
  </si>
  <si>
    <t>After corn harvest ahead of planting soybean</t>
  </si>
  <si>
    <t>12" tall rye</t>
  </si>
  <si>
    <t>Timing to plant in fall after row crop harvest</t>
  </si>
  <si>
    <t>Annual broadleaves</t>
  </si>
  <si>
    <t>Timing to supply N to Corn</t>
  </si>
  <si>
    <t>When they destroy male rows in seed corn</t>
  </si>
  <si>
    <t>50% yellow leaf</t>
  </si>
  <si>
    <t>3-4 weeks prior to planting gbut depends on cover crop</t>
  </si>
  <si>
    <t>3-4 weeks prior to planting</t>
  </si>
  <si>
    <t xml:space="preserve">Depends on cover crop - before planting </t>
  </si>
  <si>
    <t>Variety options</t>
  </si>
  <si>
    <t>Cost, bringing a return on investment</t>
  </si>
  <si>
    <t>marestail &amp; waterhemp</t>
  </si>
  <si>
    <t>Glyposate, 2,4-D</t>
  </si>
  <si>
    <t>Interseeding cover crops in corn at V4-V8</t>
  </si>
  <si>
    <t>September</t>
  </si>
  <si>
    <t>Wheat or rye</t>
  </si>
  <si>
    <t>varies pre plant to after plant</t>
  </si>
  <si>
    <t>pre plant or after plant</t>
  </si>
  <si>
    <t>less erosion better graxing</t>
  </si>
  <si>
    <t>dodging chemical carry over</t>
  </si>
  <si>
    <t>Palmer ameranth</t>
  </si>
  <si>
    <t>information on herbicides choces and carryover</t>
  </si>
  <si>
    <t>After chopping silage</t>
  </si>
  <si>
    <t>Winter wheat, cereal rye</t>
  </si>
  <si>
    <t>Seeding, drill</t>
  </si>
  <si>
    <t>Better weed control, higher organic matter</t>
  </si>
  <si>
    <t>marestail, kochia</t>
  </si>
  <si>
    <t xml:space="preserve">before planting </t>
  </si>
  <si>
    <t>Killing in spring</t>
  </si>
  <si>
    <t>male destruction</t>
  </si>
  <si>
    <t>Salford air seeder</t>
  </si>
  <si>
    <t>End of march-weather permitting</t>
  </si>
  <si>
    <t>End of March/First of April</t>
  </si>
  <si>
    <t>Improved fertility in soil/spending less on commercial fertilizers</t>
  </si>
  <si>
    <t>lLabor &amp; time for seeding while haresting</t>
  </si>
  <si>
    <t>Winter annuals/waterhemp</t>
  </si>
  <si>
    <t>Economic trend data (Analysis)</t>
  </si>
  <si>
    <t>label ristriction</t>
  </si>
  <si>
    <t>glyphosate, gramoxone, 2,4-D</t>
  </si>
  <si>
    <t>R3</t>
  </si>
  <si>
    <t xml:space="preserve"> </t>
  </si>
  <si>
    <t>male row destruction</t>
  </si>
  <si>
    <t>male row spreader</t>
  </si>
  <si>
    <t>turnips, radish, rape, mustard, ethiopian cabbage</t>
  </si>
  <si>
    <t>oats, clover, lentil radish</t>
  </si>
  <si>
    <t>8" of growth</t>
  </si>
  <si>
    <t>6" of growth</t>
  </si>
  <si>
    <t>weht to terminate rye ahead of corn</t>
  </si>
  <si>
    <t>henbit marestail</t>
  </si>
  <si>
    <t>glyphosate, 2,4-D</t>
  </si>
  <si>
    <t>both</t>
  </si>
  <si>
    <t>determining the nitrodgen benefits and requirements with the use of clover crop</t>
  </si>
  <si>
    <t>do not grow</t>
  </si>
  <si>
    <t>10-14 days pre plant</t>
  </si>
  <si>
    <t>herbicide</t>
  </si>
  <si>
    <t>7-10 days pre plant</t>
  </si>
  <si>
    <t>timing</t>
  </si>
  <si>
    <t>velvet leaf, winter hemp</t>
  </si>
  <si>
    <t xml:space="preserve">crop planting </t>
  </si>
  <si>
    <t>comparsion of starter rates whe plannting green</t>
  </si>
  <si>
    <t>cereal rye, oats</t>
  </si>
  <si>
    <t>early spring</t>
  </si>
  <si>
    <t xml:space="preserve">henbit  </t>
  </si>
  <si>
    <t>9-1 or after harvest</t>
  </si>
  <si>
    <t>cereal rye, radish, canola, buckwheat, bean, winter pea, wither lentils, sunflowers</t>
  </si>
  <si>
    <t>cereal rye, canola</t>
  </si>
  <si>
    <t>1-2 weeks before planting usually around 4-1</t>
  </si>
  <si>
    <t>herbicides roundup powermax, 2,4-D</t>
  </si>
  <si>
    <t>2-4 weeks before plantin from 4-1 to 5-1</t>
  </si>
  <si>
    <t>tilth of soil have virtually eliminated fall annual weed pressure</t>
  </si>
  <si>
    <t>henbit, marestail</t>
  </si>
  <si>
    <t xml:space="preserve">after harvest </t>
  </si>
  <si>
    <t>JD no till drill</t>
  </si>
  <si>
    <t xml:space="preserve">drill </t>
  </si>
  <si>
    <t>drill/Spreader</t>
  </si>
  <si>
    <t>drill/Hand Broadcast</t>
  </si>
  <si>
    <t>drill Hand Broadcast</t>
  </si>
  <si>
    <t>Hagie/drill</t>
  </si>
  <si>
    <t>drill 15' rows</t>
  </si>
  <si>
    <t>hagie interseeder/drill</t>
  </si>
  <si>
    <t>winter rye</t>
  </si>
  <si>
    <t>cereal rye, rape, crimson clover</t>
  </si>
  <si>
    <t xml:space="preserve">cereal rye </t>
  </si>
  <si>
    <t>Turnip, Radish, cereal rye, Crimpson Clover</t>
  </si>
  <si>
    <t>cereal rye, radishes or turnips, rape</t>
  </si>
  <si>
    <t>cereal rye &amp; Radish</t>
  </si>
  <si>
    <t>cereal rye, radishes, buckwheat, African cabbage</t>
  </si>
  <si>
    <t>cereal rye, Dwarf essex rape</t>
  </si>
  <si>
    <t>name</t>
  </si>
  <si>
    <t>Going into a Corn Season: When do you terminate cove crops:</t>
  </si>
  <si>
    <t>Going into a Corn Season: How do you terminate cover crops:</t>
  </si>
  <si>
    <t>Going into a Seed Corn Season: When do you terminate cover crops:</t>
  </si>
  <si>
    <t>Going into a Seed Corn Season: How to you terminate cover crops:</t>
  </si>
  <si>
    <t>Going into a Soybean Season: When do you terminate cover crops:</t>
  </si>
  <si>
    <t>Going into a Soybean Season: How do you terminate cover crops:</t>
  </si>
  <si>
    <t>nance</t>
  </si>
  <si>
    <t>hagie interseeder</t>
  </si>
  <si>
    <t>hagie interseeder, dry ferterlizer spreader</t>
  </si>
  <si>
    <t>aerial seeding, drill</t>
  </si>
  <si>
    <t xml:space="preserve">aerial seeding </t>
  </si>
  <si>
    <t>aerial seeding drill</t>
  </si>
  <si>
    <t>Hagie Inerseeder/aerial seeding</t>
  </si>
  <si>
    <t>aerial seeding , drill</t>
  </si>
  <si>
    <t>hagie interseeder/aerial seeding</t>
  </si>
  <si>
    <t>herbicides/roller/crimper</t>
  </si>
  <si>
    <t>herbicides, roller/crimper</t>
  </si>
  <si>
    <t>Less herbicides</t>
  </si>
  <si>
    <t>herbicides usuall 4 acre roundup powermax</t>
  </si>
  <si>
    <t>herbicides round up power max 40-80 acre</t>
  </si>
  <si>
    <t>When using herbicides for cover crop termination, what herbicide do you use:</t>
  </si>
  <si>
    <t>Crop Termination, Planting, both</t>
  </si>
  <si>
    <t>both and residue but depends on the weather mositure &amp; family</t>
  </si>
  <si>
    <t>time to seed cost</t>
  </si>
  <si>
    <t>glyphosate/2,4-D other: maybe a pre that has burn down activity</t>
  </si>
  <si>
    <t>glyphosate, Liverty</t>
  </si>
  <si>
    <t>glyphosate, Gramoxone, 2,4-D</t>
  </si>
  <si>
    <t>glyphosate, 2-4D Sharpen others dependent upon the weather</t>
  </si>
  <si>
    <t>glyphosate/ 2,4D</t>
  </si>
  <si>
    <t>glyphosate/2,4D</t>
  </si>
  <si>
    <t>glyphosate Other: Select</t>
  </si>
  <si>
    <t>glyphosate 2,4-D</t>
  </si>
  <si>
    <t>glyphosate, 2,4-D Aim</t>
  </si>
  <si>
    <t>glyphosate, Sharpen</t>
  </si>
  <si>
    <t>cover crop termination &amp; post emerge</t>
  </si>
  <si>
    <t>cover crop termination &amp; crop planting</t>
  </si>
  <si>
    <t>cover crop termination, crop planting, both</t>
  </si>
  <si>
    <t>cover crop termination on Beans, crop planting on corn</t>
  </si>
  <si>
    <t>cover crop termination/crop planting</t>
  </si>
  <si>
    <t xml:space="preserve">cover crop termination, crop planting </t>
  </si>
  <si>
    <t>carry over Herbicide yes</t>
  </si>
  <si>
    <t>no experience on termination yet</t>
  </si>
  <si>
    <t>northeast</t>
  </si>
  <si>
    <t>none</t>
  </si>
  <si>
    <t>rye, Radishes</t>
  </si>
  <si>
    <t>On soybean shubble - Ceral rye &amp; 7lbs/acre winter peas (36 acres) rest of acres-all ceral rye</t>
  </si>
  <si>
    <t>rye, Radishes, Turnups</t>
  </si>
  <si>
    <t>Cereal, rye, Rapeseed</t>
  </si>
  <si>
    <t>Ceral rye, Crimson clover, radishes</t>
  </si>
  <si>
    <t>rye, rupeseed, Crimson Clover</t>
  </si>
  <si>
    <t>12-18 rye Planted after harvest</t>
  </si>
  <si>
    <t>12-18" rye Planted after harvest</t>
  </si>
  <si>
    <t>Mainly rye, some radish &amp; Turnip</t>
  </si>
  <si>
    <t>rye &amp; Vetch (Hairy)</t>
  </si>
  <si>
    <t>rye, Radish, turnips</t>
  </si>
  <si>
    <t>rye, radishes, canola, turnips</t>
  </si>
  <si>
    <t>Turnip Radish rye</t>
  </si>
  <si>
    <t>rye rape, turnips, cowpeas</t>
  </si>
  <si>
    <t>rye, peas, vetch, radish</t>
  </si>
  <si>
    <t>Turnip, rye</t>
  </si>
  <si>
    <t>rye, Turnips, Rapeseed</t>
  </si>
  <si>
    <t>Oats, rye</t>
  </si>
  <si>
    <t>Annual ryegrass, Radish, Hary Vetch, Crimson Clover</t>
  </si>
  <si>
    <t>Annual ryegrass, Radish, Oats, Hairy Vetch, Crimson Clover</t>
  </si>
  <si>
    <t>Wheat or rye mix Turnips, collards, annual rye</t>
  </si>
  <si>
    <t>rye, oats, turnips</t>
  </si>
  <si>
    <t>rye/Oats</t>
  </si>
  <si>
    <t>rye, Canola, Sweet Clover</t>
  </si>
  <si>
    <t>rye, Canola, Sweet clover</t>
  </si>
  <si>
    <t>primarily rye</t>
  </si>
  <si>
    <t>herbicides, roller</t>
  </si>
  <si>
    <t>leaf drop</t>
  </si>
  <si>
    <t>immediately following harvest</t>
  </si>
  <si>
    <t>pre leaf drops after harvest</t>
  </si>
  <si>
    <t>plan to start drilling rye</t>
  </si>
  <si>
    <t>pauls Interseeder/Salford Air Seeder</t>
  </si>
  <si>
    <t>dry ferterlizer Spreader</t>
  </si>
  <si>
    <t>Cereal rye, oats</t>
  </si>
  <si>
    <t>Grower Consultant</t>
  </si>
  <si>
    <r>
      <t xml:space="preserve">During Corn Growing Season: </t>
    </r>
    <r>
      <rPr>
        <sz val="10"/>
        <color theme="1"/>
        <rFont val="Calibri"/>
        <family val="2"/>
        <scheme val="minor"/>
      </rPr>
      <t>At what crop stage do you plant cover crops:</t>
    </r>
  </si>
  <si>
    <r>
      <t xml:space="preserve">During Corn Growing Season: </t>
    </r>
    <r>
      <rPr>
        <sz val="10"/>
        <color theme="1"/>
        <rFont val="Calibri"/>
        <family val="2"/>
        <scheme val="minor"/>
      </rPr>
      <t>How do you plant cover crops:</t>
    </r>
  </si>
  <si>
    <r>
      <t xml:space="preserve">During Corn Growing Season: </t>
    </r>
    <r>
      <rPr>
        <sz val="10"/>
        <color theme="1"/>
        <rFont val="Calibri"/>
        <family val="2"/>
        <scheme val="minor"/>
      </rPr>
      <t>What cover crop species do you plant:</t>
    </r>
  </si>
  <si>
    <r>
      <t xml:space="preserve">During Seed Corn Growing Season: </t>
    </r>
    <r>
      <rPr>
        <sz val="10"/>
        <color theme="1"/>
        <rFont val="Calibri"/>
        <family val="2"/>
        <scheme val="minor"/>
      </rPr>
      <t>At what crop stage do you plant cover crops:</t>
    </r>
  </si>
  <si>
    <r>
      <t xml:space="preserve">During Seed Corn Growing Season: </t>
    </r>
    <r>
      <rPr>
        <sz val="10"/>
        <color theme="1"/>
        <rFont val="Calibri"/>
        <family val="2"/>
        <scheme val="minor"/>
      </rPr>
      <t>How do you plant cover crops:</t>
    </r>
  </si>
  <si>
    <r>
      <t xml:space="preserve">During Seed Corn Growing Season: </t>
    </r>
    <r>
      <rPr>
        <sz val="10"/>
        <color theme="1"/>
        <rFont val="Calibri"/>
        <family val="2"/>
        <scheme val="minor"/>
      </rPr>
      <t>What cover crop species do you plant:</t>
    </r>
  </si>
  <si>
    <r>
      <t>During Soybean Growing Season:</t>
    </r>
    <r>
      <rPr>
        <sz val="10"/>
        <color theme="1"/>
        <rFont val="Calibri"/>
        <family val="2"/>
        <scheme val="minor"/>
      </rPr>
      <t xml:space="preserve"> At what crop stage do you plant cover crops:</t>
    </r>
  </si>
  <si>
    <r>
      <t xml:space="preserve">During Soybean Growing Season: </t>
    </r>
    <r>
      <rPr>
        <sz val="10"/>
        <color theme="1"/>
        <rFont val="Calibri"/>
        <family val="2"/>
        <scheme val="minor"/>
      </rPr>
      <t>How do you plant cover crops:</t>
    </r>
  </si>
  <si>
    <r>
      <t>During Soybean Growing Season:</t>
    </r>
    <r>
      <rPr>
        <sz val="10"/>
        <color theme="1"/>
        <rFont val="Calibri"/>
        <family val="2"/>
        <scheme val="minor"/>
      </rPr>
      <t xml:space="preserve"> What cover crop species do you plant:</t>
    </r>
  </si>
  <si>
    <t>Gly</t>
  </si>
  <si>
    <t xml:space="preserve">Gly </t>
  </si>
  <si>
    <t>No name</t>
  </si>
  <si>
    <t>ORGANIZED How many acres do you farm/manage:</t>
  </si>
  <si>
    <t>ORGANIZEDHow many acres have cover crops:</t>
  </si>
  <si>
    <t>% area under Cover Crop</t>
  </si>
  <si>
    <t>Yes/No Cover Crop</t>
  </si>
  <si>
    <t>ORGANIZED                During Corn Growing Season: At what crop stage do you plant cover crops:</t>
  </si>
  <si>
    <t>SUM</t>
  </si>
  <si>
    <t>Average %</t>
  </si>
  <si>
    <t>% Yes</t>
  </si>
  <si>
    <t>Minimum %</t>
  </si>
  <si>
    <t>Maximum %</t>
  </si>
  <si>
    <t>Summary:</t>
  </si>
  <si>
    <t>Total acres farmed/managed by survey participants</t>
  </si>
  <si>
    <t>Total acres farmed/managed planted to cover crops</t>
  </si>
  <si>
    <t>% area planted to cover crops by farmers who adopt cover crops as part of their cropping systems</t>
  </si>
  <si>
    <t>Corn, rye in Sept.</t>
  </si>
  <si>
    <t>After harvest</t>
  </si>
  <si>
    <t>prior to harvest</t>
  </si>
  <si>
    <t>% after harvest</t>
  </si>
  <si>
    <t>% prior to harvest</t>
  </si>
  <si>
    <t>ORGANIZED                      During Corn Growing Season: How do you plant cover crops:</t>
  </si>
  <si>
    <t>interseed</t>
  </si>
  <si>
    <t>Drill</t>
  </si>
  <si>
    <t>Aerial Seeding</t>
  </si>
  <si>
    <t>Interseed</t>
  </si>
  <si>
    <t>% Drill</t>
  </si>
  <si>
    <t>% Aerial Seeding</t>
  </si>
  <si>
    <t>% Interseed</t>
  </si>
  <si>
    <t>ORGANIZED                  During Corn Growing Season: What cover crop species do you plant:</t>
  </si>
  <si>
    <t>mix</t>
  </si>
  <si>
    <t>clover</t>
  </si>
  <si>
    <t>turnips</t>
  </si>
  <si>
    <t>wheat</t>
  </si>
  <si>
    <t>Cereal Rye</t>
  </si>
  <si>
    <t>Mix</t>
  </si>
  <si>
    <t>% Cereal Rye</t>
  </si>
  <si>
    <t>% Mix</t>
  </si>
  <si>
    <t>ORGANIZED            During Seed Corn Growing Season: At what crop stage do you plant cover crops:</t>
  </si>
  <si>
    <t>After Male Row Destruction</t>
  </si>
  <si>
    <t>After Harvest</t>
  </si>
  <si>
    <t>% After Male Row Destruction</t>
  </si>
  <si>
    <t>% After Harvest</t>
  </si>
  <si>
    <t>ORGANIZED     During Seed Corn Growing Season: How do you plant cover crops:</t>
  </si>
  <si>
    <t>spread</t>
  </si>
  <si>
    <t>ORGANIZED                  During Seed Corn Growing Season: What cover crop species do you plant:</t>
  </si>
  <si>
    <t>check the most common mixture</t>
  </si>
  <si>
    <t>ORGANIZED              During Soybean Growing Season: At what crop stage do you plant cover crops:</t>
  </si>
  <si>
    <t>Prior to Harvest</t>
  </si>
  <si>
    <t>% Prior to Harvest</t>
  </si>
  <si>
    <t>ORGANIZED         During Soybean Growing Season: How do you plant cover crops:</t>
  </si>
  <si>
    <t>ORGANIZED          During Soybean Growing Season: What cover crop species do you plant:</t>
  </si>
  <si>
    <t>ORGANIZED           Have cover crops imporved weed control in your operation:</t>
  </si>
  <si>
    <t>% No</t>
  </si>
  <si>
    <t>ORGANIZED      Going into a Corn Season: When do you terminate cove crops:</t>
  </si>
  <si>
    <t>ORGANIZED       Going into a Corn Season: How do you terminate cover crops:</t>
  </si>
  <si>
    <t>non-herbicides</t>
  </si>
  <si>
    <t>Herbicides</t>
  </si>
  <si>
    <t>Non-Herbicides</t>
  </si>
  <si>
    <t>% Herbicides</t>
  </si>
  <si>
    <t>% Non-Herbicides</t>
  </si>
  <si>
    <t>ORGANIZED       Going into a Seed Corn Season: How to you terminate cover crops:</t>
  </si>
  <si>
    <t>ORGANIZED                           Going into a Seed Corn Season: When do you terminate cover crops:</t>
  </si>
  <si>
    <t>1 week</t>
  </si>
  <si>
    <t>2 weeks</t>
  </si>
  <si>
    <t>1 weed</t>
  </si>
  <si>
    <t>% 1 week</t>
  </si>
  <si>
    <t>% 2 weeks</t>
  </si>
  <si>
    <t xml:space="preserve">at planting </t>
  </si>
  <si>
    <t>ORGANIZED              Going into a Soybean Season: When do you terminate cover crops:</t>
  </si>
  <si>
    <t>ORGANIZED                 Going into a Soybean Season: How do you terminate cover crops:</t>
  </si>
  <si>
    <t>2  weeks</t>
  </si>
  <si>
    <t>ORGANIZED                             If so, what weed species have you observed enhanced control:</t>
  </si>
  <si>
    <t>summer</t>
  </si>
  <si>
    <t>winter &amp; summer</t>
  </si>
  <si>
    <t>winter</t>
  </si>
  <si>
    <t xml:space="preserve">Early-Season Summer Annual </t>
  </si>
  <si>
    <t xml:space="preserve">Winter Annual </t>
  </si>
  <si>
    <t>Late-Season Summer Annual</t>
  </si>
  <si>
    <t>winter &amp; earlysum</t>
  </si>
  <si>
    <t>winter earlysum &amp; summer</t>
  </si>
  <si>
    <t>earlysum</t>
  </si>
  <si>
    <t>% Winter Annual</t>
  </si>
  <si>
    <t>% Early-Season Summer Annual</t>
  </si>
  <si>
    <t>% Late-Season Summer Annual</t>
  </si>
  <si>
    <t>glyphosate &amp; 2,4-d</t>
  </si>
  <si>
    <t xml:space="preserve">glyphosate </t>
  </si>
  <si>
    <t>glyphosate &amp; glufosinate</t>
  </si>
  <si>
    <t>glyphosate glufosinate paraquat &amp; 2,4-d</t>
  </si>
  <si>
    <t>glyphosate paraquat &amp; 2,4-d</t>
  </si>
  <si>
    <t>ORGANIZED                  When using herbicides for cover crop termination, what herbicide do you use:</t>
  </si>
  <si>
    <t>Glyphosate</t>
  </si>
  <si>
    <t>2,4-D</t>
  </si>
  <si>
    <t>Glufosinate</t>
  </si>
  <si>
    <t>Paraquat</t>
  </si>
  <si>
    <t>% Glyphosate</t>
  </si>
  <si>
    <t>% 2,4-D</t>
  </si>
  <si>
    <t>% Glufosinate</t>
  </si>
  <si>
    <t>% Paraquat</t>
  </si>
  <si>
    <t>ORGANIZE          When do you include soil residual herbicides in the tank-mix:</t>
  </si>
  <si>
    <t>cc termination</t>
  </si>
  <si>
    <t>Cover Crop Termination</t>
  </si>
  <si>
    <t>Crop Planting</t>
  </si>
  <si>
    <t xml:space="preserve">Both </t>
  </si>
  <si>
    <t>No Residual</t>
  </si>
  <si>
    <t>dont</t>
  </si>
  <si>
    <t>% Cover Crop Termination</t>
  </si>
  <si>
    <t>% Crop Planting</t>
  </si>
  <si>
    <t>% Both</t>
  </si>
  <si>
    <t>% No Residual</t>
  </si>
  <si>
    <t>ORGANIZED                          What major change have you ovserved in your operation since cover crops were introduced:</t>
  </si>
  <si>
    <t>timely termination</t>
  </si>
  <si>
    <t>crop establishment</t>
  </si>
  <si>
    <t>weed suppression</t>
  </si>
  <si>
    <t xml:space="preserve">less chemicals </t>
  </si>
  <si>
    <t>erosion control &amp; weed suppression</t>
  </si>
  <si>
    <t>grazing</t>
  </si>
  <si>
    <t>increased OM</t>
  </si>
  <si>
    <t>increased OM &amp; erosion control</t>
  </si>
  <si>
    <t>yield reduction</t>
  </si>
  <si>
    <t>weed suppression &amp; less chemicals</t>
  </si>
  <si>
    <t>water infiltration</t>
  </si>
  <si>
    <t>increased OM, erosion control</t>
  </si>
  <si>
    <t>weed suppression &amp; increased OM</t>
  </si>
  <si>
    <t>increased OM &amp; weed suppression</t>
  </si>
  <si>
    <t xml:space="preserve">increased OM </t>
  </si>
  <si>
    <t>soil tilth</t>
  </si>
  <si>
    <t>erosion control &amp; increased OM soil tilth</t>
  </si>
  <si>
    <t>weed suppression soil tilth</t>
  </si>
  <si>
    <t>erosion control soil tilth</t>
  </si>
  <si>
    <t>improved fertility</t>
  </si>
  <si>
    <t>soil tilth increased OM</t>
  </si>
  <si>
    <t>labor and equipment</t>
  </si>
  <si>
    <t>less compaction moisture retention &amp; grazing</t>
  </si>
  <si>
    <t>erosion control &amp; weed suppression less chemicals</t>
  </si>
  <si>
    <t>Increased OM</t>
  </si>
  <si>
    <t>Weed Suppression</t>
  </si>
  <si>
    <t>Increased Soil Tilth</t>
  </si>
  <si>
    <t>Water Infiltration</t>
  </si>
  <si>
    <t>Increased Erosion Control</t>
  </si>
  <si>
    <t>Improved Fertility</t>
  </si>
  <si>
    <t>Less Chemicals</t>
  </si>
  <si>
    <t>Grazing</t>
  </si>
  <si>
    <t>% Weed Suppresion</t>
  </si>
  <si>
    <t>% Increased OM</t>
  </si>
  <si>
    <t>% Increased Erosion Control</t>
  </si>
  <si>
    <t>% Increased Soil Tilth</t>
  </si>
  <si>
    <t>% Increased Water Infiltration</t>
  </si>
  <si>
    <t>% Improved Soil Fertility</t>
  </si>
  <si>
    <t>% Less Chemicals</t>
  </si>
  <si>
    <t>% Grazing</t>
  </si>
  <si>
    <t>% Reduced yield</t>
  </si>
  <si>
    <t>% increased erosion</t>
  </si>
  <si>
    <t>ORGANIZED                             What is the biggest challenge regards having cover crops in your operation:</t>
  </si>
  <si>
    <t>planting cc &amp; terminating cc</t>
  </si>
  <si>
    <t>terminating cc</t>
  </si>
  <si>
    <t>herbicide carryover</t>
  </si>
  <si>
    <t>planting cc</t>
  </si>
  <si>
    <t>crop yield reduction</t>
  </si>
  <si>
    <t>Planting Cover Crops/Getting a Stand</t>
  </si>
  <si>
    <t>Terminating Cover Crops</t>
  </si>
  <si>
    <t>Herbicide Carryover</t>
  </si>
  <si>
    <t>Yield Reduction</t>
  </si>
  <si>
    <t>Cost</t>
  </si>
  <si>
    <t>% uniform yields</t>
  </si>
  <si>
    <t>% Planting Cover Crops/Getting a Stand</t>
  </si>
  <si>
    <t>% Cost</t>
  </si>
  <si>
    <t>% Yield Reduction</t>
  </si>
  <si>
    <t>% Herbicide Carryover</t>
  </si>
  <si>
    <t>% Terminating Cover Crops</t>
  </si>
  <si>
    <t>% Others</t>
  </si>
  <si>
    <t>Gly + 2,4</t>
  </si>
  <si>
    <t>glyphosate &amp; other</t>
  </si>
  <si>
    <t>Gly + glufosinate</t>
  </si>
  <si>
    <t>gly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</si>
</sst>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16" fontId="5" fillId="0" borderId="1" xfId="0" applyNumberFormat="1" applyFont="1" applyBorder="1" applyAlignment="1">
      <alignment horizontal="center" wrapText="1"/>
    </xf>
    <xf numFmtId="3" fontId="5" fillId="0" borderId="1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3" fontId="5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wrapText="1"/>
    </xf>
    <xf numFmtId="164" fontId="5" fillId="6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left" indent="2"/>
    </xf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64" fontId="4" fillId="4" borderId="1" xfId="0" applyNumberFormat="1" applyFont="1" applyFill="1" applyBorder="1" applyAlignment="1">
      <alignment horizontal="center" wrapText="1"/>
    </xf>
    <xf numFmtId="164" fontId="5" fillId="4" borderId="1" xfId="0" applyNumberFormat="1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64" fontId="5" fillId="4" borderId="0" xfId="0" applyNumberFormat="1" applyFont="1" applyFill="1" applyAlignment="1">
      <alignment horizontal="left" indent="2"/>
    </xf>
    <xf numFmtId="164" fontId="5" fillId="4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left" indent="2"/>
    </xf>
    <xf numFmtId="16" fontId="5" fillId="6" borderId="1" xfId="0" applyNumberFormat="1" applyFont="1" applyFill="1" applyBorder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5" fillId="5" borderId="0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16" fontId="5" fillId="5" borderId="1" xfId="0" applyNumberFormat="1" applyFont="1" applyFill="1" applyBorder="1" applyAlignment="1">
      <alignment horizontal="center" wrapText="1"/>
    </xf>
    <xf numFmtId="2" fontId="5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eil_sabata@yahoo.com" TargetMode="External"/><Relationship Id="rId1" Type="http://schemas.openxmlformats.org/officeDocument/2006/relationships/hyperlink" Target="mailto:hayman@diodecom.ne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25"/>
  <sheetViews>
    <sheetView tabSelected="1" topLeftCell="AZ1" zoomScale="110" zoomScaleNormal="110" workbookViewId="0">
      <pane ySplit="1" topLeftCell="A99" activePane="bottomLeft" state="frozen"/>
      <selection pane="bottomLeft" activeCell="BH117" sqref="BH117"/>
    </sheetView>
  </sheetViews>
  <sheetFormatPr baseColWidth="10" defaultColWidth="8.83203125" defaultRowHeight="14"/>
  <cols>
    <col min="1" max="1" width="6.33203125" style="9" bestFit="1" customWidth="1"/>
    <col min="2" max="2" width="17.33203125" style="9" bestFit="1" customWidth="1"/>
    <col min="3" max="3" width="21.6640625" style="9" bestFit="1" customWidth="1"/>
    <col min="4" max="4" width="14" style="10" customWidth="1"/>
    <col min="5" max="5" width="17.6640625" style="9" bestFit="1" customWidth="1"/>
    <col min="6" max="8" width="13.33203125" style="10" customWidth="1"/>
    <col min="9" max="10" width="10.33203125" style="9" customWidth="1"/>
    <col min="11" max="12" width="10.33203125" style="22" customWidth="1"/>
    <col min="13" max="13" width="4.33203125" style="38" customWidth="1"/>
    <col min="14" max="15" width="21" style="10" customWidth="1"/>
    <col min="16" max="17" width="23.5" style="10" customWidth="1"/>
    <col min="18" max="19" width="22" style="10" customWidth="1"/>
    <col min="20" max="20" width="4.33203125" style="38" customWidth="1"/>
    <col min="21" max="22" width="19.1640625" style="10" customWidth="1"/>
    <col min="23" max="24" width="16.33203125" style="10" customWidth="1"/>
    <col min="25" max="26" width="21.6640625" style="10" customWidth="1"/>
    <col min="27" max="27" width="4.33203125" style="38" customWidth="1"/>
    <col min="28" max="28" width="16.6640625" style="39" customWidth="1"/>
    <col min="29" max="29" width="19.33203125" style="39" customWidth="1"/>
    <col min="30" max="31" width="18.1640625" style="10" customWidth="1"/>
    <col min="32" max="33" width="18.33203125" style="10" customWidth="1"/>
    <col min="34" max="34" width="4.33203125" style="38" customWidth="1"/>
    <col min="35" max="36" width="15.6640625" style="10" customWidth="1"/>
    <col min="37" max="38" width="16.5" style="10" customWidth="1"/>
    <col min="39" max="39" width="4.33203125" style="38" customWidth="1"/>
    <col min="40" max="41" width="24.83203125" style="10" customWidth="1"/>
    <col min="42" max="43" width="16.33203125" style="10" customWidth="1"/>
    <col min="44" max="44" width="4.33203125" style="38" customWidth="1"/>
    <col min="45" max="46" width="19.33203125" style="10" customWidth="1"/>
    <col min="47" max="48" width="20.6640625" style="10" customWidth="1"/>
    <col min="49" max="49" width="4.33203125" style="38" customWidth="1"/>
    <col min="50" max="51" width="24.1640625" style="10" customWidth="1"/>
    <col min="52" max="53" width="21.83203125" style="10" customWidth="1"/>
    <col min="54" max="55" width="14.83203125" style="10" customWidth="1"/>
    <col min="56" max="57" width="22.5" style="10" customWidth="1"/>
    <col min="58" max="59" width="21.5" style="10" customWidth="1"/>
    <col min="60" max="61" width="16.83203125" style="10" customWidth="1"/>
    <col min="62" max="62" width="18" style="10" customWidth="1"/>
    <col min="63" max="16384" width="8.83203125" style="9"/>
  </cols>
  <sheetData>
    <row r="1" spans="1:62" ht="65" customHeight="1">
      <c r="A1" s="11" t="s">
        <v>2</v>
      </c>
      <c r="B1" s="13" t="s">
        <v>644</v>
      </c>
      <c r="C1" s="13" t="s">
        <v>0</v>
      </c>
      <c r="D1" s="11" t="s">
        <v>1</v>
      </c>
      <c r="E1" s="13" t="s">
        <v>35</v>
      </c>
      <c r="F1" s="11" t="s">
        <v>215</v>
      </c>
      <c r="G1" s="11" t="s">
        <v>217</v>
      </c>
      <c r="H1" s="15" t="s">
        <v>736</v>
      </c>
      <c r="I1" s="11" t="s">
        <v>216</v>
      </c>
      <c r="J1" s="15" t="s">
        <v>737</v>
      </c>
      <c r="K1" s="20" t="s">
        <v>738</v>
      </c>
      <c r="L1" s="20" t="s">
        <v>739</v>
      </c>
      <c r="M1" s="32"/>
      <c r="N1" s="11" t="s">
        <v>724</v>
      </c>
      <c r="O1" s="15" t="s">
        <v>740</v>
      </c>
      <c r="P1" s="11" t="s">
        <v>725</v>
      </c>
      <c r="Q1" s="15" t="s">
        <v>755</v>
      </c>
      <c r="R1" s="11" t="s">
        <v>726</v>
      </c>
      <c r="S1" s="15" t="s">
        <v>763</v>
      </c>
      <c r="T1" s="32"/>
      <c r="U1" s="11" t="s">
        <v>727</v>
      </c>
      <c r="V1" s="15" t="s">
        <v>772</v>
      </c>
      <c r="W1" s="11" t="s">
        <v>728</v>
      </c>
      <c r="X1" s="15" t="s">
        <v>777</v>
      </c>
      <c r="Y1" s="11" t="s">
        <v>729</v>
      </c>
      <c r="Z1" s="15" t="s">
        <v>779</v>
      </c>
      <c r="AA1" s="32"/>
      <c r="AB1" s="11" t="s">
        <v>730</v>
      </c>
      <c r="AC1" s="15" t="s">
        <v>781</v>
      </c>
      <c r="AD1" s="11" t="s">
        <v>731</v>
      </c>
      <c r="AE1" s="15" t="s">
        <v>784</v>
      </c>
      <c r="AF1" s="11" t="s">
        <v>732</v>
      </c>
      <c r="AG1" s="15" t="s">
        <v>785</v>
      </c>
      <c r="AH1" s="32"/>
      <c r="AI1" s="11" t="s">
        <v>645</v>
      </c>
      <c r="AJ1" s="15" t="s">
        <v>788</v>
      </c>
      <c r="AK1" s="11" t="s">
        <v>646</v>
      </c>
      <c r="AL1" s="11" t="s">
        <v>789</v>
      </c>
      <c r="AM1" s="32"/>
      <c r="AN1" s="11" t="s">
        <v>647</v>
      </c>
      <c r="AO1" s="15" t="s">
        <v>796</v>
      </c>
      <c r="AP1" s="11" t="s">
        <v>648</v>
      </c>
      <c r="AQ1" s="15" t="s">
        <v>795</v>
      </c>
      <c r="AR1" s="32"/>
      <c r="AS1" s="11" t="s">
        <v>649</v>
      </c>
      <c r="AT1" s="15" t="s">
        <v>803</v>
      </c>
      <c r="AU1" s="11" t="s">
        <v>650</v>
      </c>
      <c r="AV1" s="15" t="s">
        <v>804</v>
      </c>
      <c r="AW1" s="32"/>
      <c r="AX1" s="11" t="s">
        <v>218</v>
      </c>
      <c r="AY1" s="15" t="s">
        <v>844</v>
      </c>
      <c r="AZ1" s="11" t="s">
        <v>219</v>
      </c>
      <c r="BA1" s="15" t="s">
        <v>887</v>
      </c>
      <c r="BB1" s="11" t="s">
        <v>220</v>
      </c>
      <c r="BC1" s="15" t="s">
        <v>786</v>
      </c>
      <c r="BD1" s="11" t="s">
        <v>221</v>
      </c>
      <c r="BE1" s="15" t="s">
        <v>806</v>
      </c>
      <c r="BF1" s="11" t="s">
        <v>665</v>
      </c>
      <c r="BG1" s="15" t="s">
        <v>824</v>
      </c>
      <c r="BH1" s="11" t="s">
        <v>222</v>
      </c>
      <c r="BI1" s="15" t="s">
        <v>833</v>
      </c>
      <c r="BJ1" s="11" t="s">
        <v>223</v>
      </c>
    </row>
    <row r="2" spans="1:62" ht="30">
      <c r="A2" s="1">
        <v>1</v>
      </c>
      <c r="B2" s="1" t="s">
        <v>44</v>
      </c>
      <c r="C2" s="1" t="s">
        <v>42</v>
      </c>
      <c r="D2" s="2" t="s">
        <v>21</v>
      </c>
      <c r="E2" s="1" t="s">
        <v>36</v>
      </c>
      <c r="F2" s="2" t="s">
        <v>197</v>
      </c>
      <c r="G2" s="2">
        <v>1250</v>
      </c>
      <c r="H2" s="17">
        <f>G2</f>
        <v>1250</v>
      </c>
      <c r="I2" s="8" t="s">
        <v>209</v>
      </c>
      <c r="J2" s="19">
        <v>550</v>
      </c>
      <c r="K2" s="21">
        <f>(J2/H2)*100</f>
        <v>44</v>
      </c>
      <c r="L2" s="21" t="str">
        <f>IF(K2&gt;0,"Yes", "No")</f>
        <v>Yes</v>
      </c>
      <c r="M2" s="33"/>
      <c r="N2" s="2" t="s">
        <v>224</v>
      </c>
      <c r="O2" s="18" t="s">
        <v>363</v>
      </c>
      <c r="P2" s="2" t="s">
        <v>245</v>
      </c>
      <c r="Q2" s="16" t="s">
        <v>245</v>
      </c>
      <c r="R2" s="2" t="s">
        <v>636</v>
      </c>
      <c r="S2" s="17" t="s">
        <v>364</v>
      </c>
      <c r="T2" s="33"/>
      <c r="U2" s="2"/>
      <c r="V2" s="17"/>
      <c r="W2" s="2"/>
      <c r="X2" s="17"/>
      <c r="Y2" s="2"/>
      <c r="Z2" s="16"/>
      <c r="AA2" s="33"/>
      <c r="AB2" s="2"/>
      <c r="AC2" s="17"/>
      <c r="AD2" s="2"/>
      <c r="AE2" s="17"/>
      <c r="AF2" s="2"/>
      <c r="AG2" s="17"/>
      <c r="AH2" s="33"/>
      <c r="AI2" s="2" t="s">
        <v>225</v>
      </c>
      <c r="AJ2" s="17" t="s">
        <v>797</v>
      </c>
      <c r="AK2" s="2" t="s">
        <v>418</v>
      </c>
      <c r="AL2" s="17" t="s">
        <v>418</v>
      </c>
      <c r="AM2" s="33"/>
      <c r="AN2" s="2"/>
      <c r="AO2" s="17"/>
      <c r="AP2" s="2"/>
      <c r="AQ2" s="17"/>
      <c r="AR2" s="33"/>
      <c r="AS2" s="2"/>
      <c r="AT2" s="16"/>
      <c r="AU2" s="2"/>
      <c r="AV2" s="16"/>
      <c r="AW2" s="33"/>
      <c r="AX2" s="2" t="s">
        <v>226</v>
      </c>
      <c r="AY2" s="16" t="s">
        <v>845</v>
      </c>
      <c r="AZ2" s="2" t="s">
        <v>226</v>
      </c>
      <c r="BA2" s="16"/>
      <c r="BB2" s="2" t="s">
        <v>3</v>
      </c>
      <c r="BC2" s="16" t="s">
        <v>3</v>
      </c>
      <c r="BD2" s="2"/>
      <c r="BE2" s="16"/>
      <c r="BF2" s="2" t="s">
        <v>253</v>
      </c>
      <c r="BG2" s="16" t="s">
        <v>819</v>
      </c>
      <c r="BH2" s="2" t="s">
        <v>333</v>
      </c>
      <c r="BI2" s="16" t="s">
        <v>834</v>
      </c>
      <c r="BJ2" s="2"/>
    </row>
    <row r="3" spans="1:62" ht="30">
      <c r="A3" s="1">
        <v>2</v>
      </c>
      <c r="B3" s="1" t="s">
        <v>43</v>
      </c>
      <c r="C3" s="1" t="s">
        <v>45</v>
      </c>
      <c r="D3" s="2" t="s">
        <v>15</v>
      </c>
      <c r="E3" s="1" t="s">
        <v>36</v>
      </c>
      <c r="F3" s="2" t="s">
        <v>197</v>
      </c>
      <c r="G3" s="2">
        <v>1200</v>
      </c>
      <c r="H3" s="17">
        <f t="shared" ref="H3:H66" si="0">G3</f>
        <v>1200</v>
      </c>
      <c r="I3" s="8">
        <v>80</v>
      </c>
      <c r="J3" s="19">
        <f>I3</f>
        <v>80</v>
      </c>
      <c r="K3" s="21">
        <f t="shared" ref="K3:K66" si="1">(J3/H3)*100</f>
        <v>6.666666666666667</v>
      </c>
      <c r="L3" s="21" t="str">
        <f t="shared" ref="L3:L66" si="2">IF(K3&gt;0,"Yes", "No")</f>
        <v>Yes</v>
      </c>
      <c r="M3" s="33"/>
      <c r="N3" s="2" t="s">
        <v>363</v>
      </c>
      <c r="O3" s="18" t="s">
        <v>363</v>
      </c>
      <c r="P3" s="2" t="s">
        <v>628</v>
      </c>
      <c r="Q3" s="16" t="s">
        <v>245</v>
      </c>
      <c r="R3" s="2" t="s">
        <v>689</v>
      </c>
      <c r="S3" s="17" t="s">
        <v>764</v>
      </c>
      <c r="T3" s="33"/>
      <c r="U3" s="2"/>
      <c r="V3" s="17"/>
      <c r="W3" s="2"/>
      <c r="X3" s="17"/>
      <c r="Y3" s="2"/>
      <c r="Z3" s="16"/>
      <c r="AA3" s="33"/>
      <c r="AB3" s="2" t="s">
        <v>363</v>
      </c>
      <c r="AC3" s="17" t="s">
        <v>363</v>
      </c>
      <c r="AD3" s="2" t="s">
        <v>628</v>
      </c>
      <c r="AE3" s="17" t="s">
        <v>245</v>
      </c>
      <c r="AF3" s="2"/>
      <c r="AG3" s="17"/>
      <c r="AH3" s="33"/>
      <c r="AI3" s="2" t="s">
        <v>227</v>
      </c>
      <c r="AJ3" s="17"/>
      <c r="AK3" s="2" t="s">
        <v>686</v>
      </c>
      <c r="AL3" s="17"/>
      <c r="AM3" s="33"/>
      <c r="AN3" s="2"/>
      <c r="AO3" s="17"/>
      <c r="AP3" s="2"/>
      <c r="AQ3" s="17"/>
      <c r="AR3" s="33"/>
      <c r="AS3" s="2"/>
      <c r="AT3" s="16"/>
      <c r="AU3" s="2"/>
      <c r="AV3" s="16"/>
      <c r="AW3" s="33"/>
      <c r="AX3" s="2"/>
      <c r="AY3" s="16"/>
      <c r="AZ3" s="2"/>
      <c r="BA3" s="16"/>
      <c r="BB3" s="2"/>
      <c r="BC3" s="16"/>
      <c r="BD3" s="2"/>
      <c r="BE3" s="16"/>
      <c r="BF3" s="2"/>
      <c r="BG3" s="16"/>
      <c r="BH3" s="2"/>
      <c r="BI3" s="16"/>
      <c r="BJ3" s="2"/>
    </row>
    <row r="4" spans="1:62" ht="70.25" customHeight="1">
      <c r="A4" s="1">
        <v>3</v>
      </c>
      <c r="B4" s="1" t="s">
        <v>46</v>
      </c>
      <c r="C4" s="1" t="s">
        <v>47</v>
      </c>
      <c r="D4" s="2" t="s">
        <v>100</v>
      </c>
      <c r="E4" s="1" t="s">
        <v>687</v>
      </c>
      <c r="F4" s="2" t="s">
        <v>197</v>
      </c>
      <c r="G4" s="2">
        <v>320</v>
      </c>
      <c r="H4" s="17">
        <f t="shared" si="0"/>
        <v>320</v>
      </c>
      <c r="I4" s="8">
        <v>220</v>
      </c>
      <c r="J4" s="19">
        <f t="shared" ref="J4:J67" si="3">I4</f>
        <v>220</v>
      </c>
      <c r="K4" s="21">
        <f t="shared" si="1"/>
        <v>68.75</v>
      </c>
      <c r="L4" s="21" t="str">
        <f t="shared" si="2"/>
        <v>Yes</v>
      </c>
      <c r="M4" s="33"/>
      <c r="N4" s="4" t="s">
        <v>228</v>
      </c>
      <c r="O4" s="18" t="s">
        <v>363</v>
      </c>
      <c r="P4" s="2" t="s">
        <v>245</v>
      </c>
      <c r="Q4" s="16" t="s">
        <v>245</v>
      </c>
      <c r="R4" s="2" t="s">
        <v>690</v>
      </c>
      <c r="S4" s="17" t="s">
        <v>364</v>
      </c>
      <c r="T4" s="33"/>
      <c r="U4" s="2"/>
      <c r="V4" s="17"/>
      <c r="W4" s="2"/>
      <c r="X4" s="17"/>
      <c r="Y4" s="2"/>
      <c r="Z4" s="16"/>
      <c r="AA4" s="33"/>
      <c r="AB4" s="2" t="s">
        <v>229</v>
      </c>
      <c r="AC4" s="17" t="s">
        <v>363</v>
      </c>
      <c r="AD4" s="2" t="s">
        <v>245</v>
      </c>
      <c r="AE4" s="17" t="s">
        <v>245</v>
      </c>
      <c r="AF4" s="2" t="s">
        <v>230</v>
      </c>
      <c r="AG4" s="47"/>
      <c r="AH4" s="33"/>
      <c r="AI4" s="2" t="s">
        <v>231</v>
      </c>
      <c r="AJ4" s="17" t="s">
        <v>797</v>
      </c>
      <c r="AK4" s="2" t="s">
        <v>418</v>
      </c>
      <c r="AL4" s="17" t="s">
        <v>418</v>
      </c>
      <c r="AM4" s="33"/>
      <c r="AN4" s="2"/>
      <c r="AO4" s="17"/>
      <c r="AP4" s="2"/>
      <c r="AQ4" s="17"/>
      <c r="AR4" s="33"/>
      <c r="AS4" s="2" t="s">
        <v>231</v>
      </c>
      <c r="AT4" s="16" t="s">
        <v>797</v>
      </c>
      <c r="AU4" s="2" t="s">
        <v>418</v>
      </c>
      <c r="AV4" s="16" t="s">
        <v>418</v>
      </c>
      <c r="AW4" s="33"/>
      <c r="AX4" s="2"/>
      <c r="AY4" s="16"/>
      <c r="AZ4" s="2" t="s">
        <v>232</v>
      </c>
      <c r="BA4" s="16"/>
      <c r="BB4" s="2"/>
      <c r="BC4" s="16"/>
      <c r="BD4" s="2"/>
      <c r="BE4" s="16"/>
      <c r="BF4" s="2" t="s">
        <v>403</v>
      </c>
      <c r="BG4" s="16" t="s">
        <v>820</v>
      </c>
      <c r="BH4" s="2"/>
      <c r="BI4" s="16"/>
      <c r="BJ4" s="2"/>
    </row>
    <row r="5" spans="1:62" ht="30">
      <c r="A5" s="1">
        <v>4</v>
      </c>
      <c r="B5" s="1" t="s">
        <v>48</v>
      </c>
      <c r="C5" s="1" t="s">
        <v>49</v>
      </c>
      <c r="D5" s="2" t="s">
        <v>15</v>
      </c>
      <c r="E5" s="1" t="s">
        <v>36</v>
      </c>
      <c r="F5" s="2" t="s">
        <v>197</v>
      </c>
      <c r="G5" s="3">
        <v>2500</v>
      </c>
      <c r="H5" s="17">
        <f t="shared" si="0"/>
        <v>2500</v>
      </c>
      <c r="I5" s="8">
        <v>100</v>
      </c>
      <c r="J5" s="19">
        <f t="shared" si="3"/>
        <v>100</v>
      </c>
      <c r="K5" s="21">
        <f t="shared" si="1"/>
        <v>4</v>
      </c>
      <c r="L5" s="21" t="str">
        <f t="shared" si="2"/>
        <v>Yes</v>
      </c>
      <c r="M5" s="33"/>
      <c r="N5" s="2" t="s">
        <v>363</v>
      </c>
      <c r="O5" s="18" t="s">
        <v>363</v>
      </c>
      <c r="P5" s="2" t="s">
        <v>635</v>
      </c>
      <c r="Q5" s="16" t="s">
        <v>245</v>
      </c>
      <c r="R5" s="2" t="s">
        <v>691</v>
      </c>
      <c r="S5" s="17" t="s">
        <v>764</v>
      </c>
      <c r="T5" s="33"/>
      <c r="U5" s="2" t="s">
        <v>233</v>
      </c>
      <c r="V5" s="17" t="s">
        <v>597</v>
      </c>
      <c r="W5" s="2" t="s">
        <v>652</v>
      </c>
      <c r="X5" s="17" t="s">
        <v>756</v>
      </c>
      <c r="Y5" s="2" t="s">
        <v>691</v>
      </c>
      <c r="Z5" s="16" t="s">
        <v>764</v>
      </c>
      <c r="AA5" s="33"/>
      <c r="AB5" s="2" t="s">
        <v>363</v>
      </c>
      <c r="AC5" s="17" t="s">
        <v>363</v>
      </c>
      <c r="AD5" s="2" t="s">
        <v>245</v>
      </c>
      <c r="AE5" s="17" t="s">
        <v>245</v>
      </c>
      <c r="AF5" s="2"/>
      <c r="AG5" s="17"/>
      <c r="AH5" s="33"/>
      <c r="AI5" s="2" t="s">
        <v>234</v>
      </c>
      <c r="AJ5" s="17" t="s">
        <v>798</v>
      </c>
      <c r="AK5" s="2" t="s">
        <v>418</v>
      </c>
      <c r="AL5" s="17" t="s">
        <v>418</v>
      </c>
      <c r="AM5" s="33"/>
      <c r="AN5" s="2" t="s">
        <v>237</v>
      </c>
      <c r="AO5" s="17"/>
      <c r="AP5" s="2"/>
      <c r="AQ5" s="17"/>
      <c r="AR5" s="33"/>
      <c r="AS5" s="2" t="s">
        <v>235</v>
      </c>
      <c r="AT5" s="16" t="s">
        <v>309</v>
      </c>
      <c r="AU5" s="2" t="s">
        <v>418</v>
      </c>
      <c r="AV5" s="16" t="s">
        <v>418</v>
      </c>
      <c r="AW5" s="33"/>
      <c r="AX5" s="2"/>
      <c r="AY5" s="16"/>
      <c r="AZ5" s="2"/>
      <c r="BA5" s="16"/>
      <c r="BB5" s="2" t="s">
        <v>236</v>
      </c>
      <c r="BC5" s="16" t="s">
        <v>4</v>
      </c>
      <c r="BD5" s="2"/>
      <c r="BE5" s="16"/>
      <c r="BF5" s="2" t="s">
        <v>253</v>
      </c>
      <c r="BG5" s="16" t="s">
        <v>819</v>
      </c>
      <c r="BH5" s="2" t="s">
        <v>606</v>
      </c>
      <c r="BI5" s="16" t="s">
        <v>606</v>
      </c>
      <c r="BJ5" s="2"/>
    </row>
    <row r="6" spans="1:62" ht="45">
      <c r="A6" s="1">
        <v>5</v>
      </c>
      <c r="B6" s="1" t="s">
        <v>50</v>
      </c>
      <c r="C6" s="1" t="s">
        <v>51</v>
      </c>
      <c r="D6" s="2" t="s">
        <v>7</v>
      </c>
      <c r="E6" s="1" t="s">
        <v>687</v>
      </c>
      <c r="F6" s="2" t="s">
        <v>197</v>
      </c>
      <c r="G6" s="2">
        <v>700</v>
      </c>
      <c r="H6" s="17">
        <f t="shared" si="0"/>
        <v>700</v>
      </c>
      <c r="I6" s="8">
        <v>625</v>
      </c>
      <c r="J6" s="19">
        <f t="shared" si="3"/>
        <v>625</v>
      </c>
      <c r="K6" s="21">
        <f t="shared" si="1"/>
        <v>89.285714285714292</v>
      </c>
      <c r="L6" s="21" t="str">
        <f t="shared" si="2"/>
        <v>Yes</v>
      </c>
      <c r="M6" s="33"/>
      <c r="N6" s="2" t="s">
        <v>363</v>
      </c>
      <c r="O6" s="18" t="s">
        <v>363</v>
      </c>
      <c r="P6" s="2" t="s">
        <v>245</v>
      </c>
      <c r="Q6" s="16" t="s">
        <v>245</v>
      </c>
      <c r="R6" s="2" t="s">
        <v>692</v>
      </c>
      <c r="S6" s="17" t="s">
        <v>764</v>
      </c>
      <c r="T6" s="33"/>
      <c r="U6" s="2"/>
      <c r="V6" s="17"/>
      <c r="W6" s="2"/>
      <c r="X6" s="17"/>
      <c r="Y6" s="2"/>
      <c r="Z6" s="16"/>
      <c r="AA6" s="33"/>
      <c r="AB6" s="2"/>
      <c r="AC6" s="17"/>
      <c r="AD6" s="2"/>
      <c r="AE6" s="17"/>
      <c r="AF6" s="2"/>
      <c r="AG6" s="17"/>
      <c r="AH6" s="33"/>
      <c r="AI6" s="2" t="s">
        <v>238</v>
      </c>
      <c r="AJ6" s="17" t="s">
        <v>798</v>
      </c>
      <c r="AK6" s="2" t="s">
        <v>418</v>
      </c>
      <c r="AL6" s="17" t="s">
        <v>418</v>
      </c>
      <c r="AM6" s="33"/>
      <c r="AN6" s="2"/>
      <c r="AO6" s="17"/>
      <c r="AP6" s="2"/>
      <c r="AQ6" s="17"/>
      <c r="AR6" s="33"/>
      <c r="AS6" s="2" t="s">
        <v>239</v>
      </c>
      <c r="AT6" s="16"/>
      <c r="AU6" s="2"/>
      <c r="AV6" s="16"/>
      <c r="AW6" s="33"/>
      <c r="AX6" s="2" t="s">
        <v>240</v>
      </c>
      <c r="AY6" s="16" t="s">
        <v>846</v>
      </c>
      <c r="AZ6" s="4" t="s">
        <v>241</v>
      </c>
      <c r="BA6" s="16" t="s">
        <v>888</v>
      </c>
      <c r="BB6" s="2" t="s">
        <v>3</v>
      </c>
      <c r="BC6" s="16" t="s">
        <v>3</v>
      </c>
      <c r="BD6" s="2" t="s">
        <v>242</v>
      </c>
      <c r="BE6" s="16" t="s">
        <v>813</v>
      </c>
      <c r="BF6" s="2" t="s">
        <v>669</v>
      </c>
      <c r="BG6" s="16" t="s">
        <v>819</v>
      </c>
      <c r="BH6" s="2" t="s">
        <v>606</v>
      </c>
      <c r="BI6" s="16" t="s">
        <v>606</v>
      </c>
      <c r="BJ6" s="2" t="s">
        <v>243</v>
      </c>
    </row>
    <row r="7" spans="1:62" ht="45">
      <c r="A7" s="1">
        <v>6</v>
      </c>
      <c r="B7" s="1" t="s">
        <v>52</v>
      </c>
      <c r="C7" s="1" t="s">
        <v>53</v>
      </c>
      <c r="D7" s="2" t="s">
        <v>18</v>
      </c>
      <c r="E7" s="1" t="s">
        <v>687</v>
      </c>
      <c r="F7" s="2" t="s">
        <v>197</v>
      </c>
      <c r="G7" s="2">
        <v>2000</v>
      </c>
      <c r="H7" s="17">
        <f t="shared" si="0"/>
        <v>2000</v>
      </c>
      <c r="I7" s="8">
        <v>600</v>
      </c>
      <c r="J7" s="19">
        <f t="shared" si="3"/>
        <v>600</v>
      </c>
      <c r="K7" s="21">
        <f t="shared" si="1"/>
        <v>30</v>
      </c>
      <c r="L7" s="21" t="str">
        <f t="shared" si="2"/>
        <v>Yes</v>
      </c>
      <c r="M7" s="33"/>
      <c r="N7" s="2" t="s">
        <v>244</v>
      </c>
      <c r="O7" s="18" t="s">
        <v>363</v>
      </c>
      <c r="P7" s="2" t="s">
        <v>245</v>
      </c>
      <c r="Q7" s="16" t="s">
        <v>245</v>
      </c>
      <c r="R7" s="2" t="s">
        <v>637</v>
      </c>
      <c r="S7" s="17" t="s">
        <v>764</v>
      </c>
      <c r="T7" s="33"/>
      <c r="U7" s="2" t="s">
        <v>244</v>
      </c>
      <c r="V7" s="17" t="s">
        <v>363</v>
      </c>
      <c r="W7" s="2" t="s">
        <v>245</v>
      </c>
      <c r="X7" s="17" t="s">
        <v>245</v>
      </c>
      <c r="Y7" s="2" t="s">
        <v>246</v>
      </c>
      <c r="Z7" s="16" t="s">
        <v>764</v>
      </c>
      <c r="AA7" s="33"/>
      <c r="AB7" s="2" t="s">
        <v>247</v>
      </c>
      <c r="AC7" s="17" t="s">
        <v>363</v>
      </c>
      <c r="AD7" s="2" t="s">
        <v>245</v>
      </c>
      <c r="AE7" s="17" t="s">
        <v>245</v>
      </c>
      <c r="AF7" s="2" t="s">
        <v>248</v>
      </c>
      <c r="AG7" s="17" t="s">
        <v>764</v>
      </c>
      <c r="AH7" s="33"/>
      <c r="AI7" s="2" t="s">
        <v>249</v>
      </c>
      <c r="AJ7" s="17" t="s">
        <v>309</v>
      </c>
      <c r="AK7" s="2" t="s">
        <v>418</v>
      </c>
      <c r="AL7" s="17" t="s">
        <v>418</v>
      </c>
      <c r="AM7" s="33"/>
      <c r="AN7" s="2" t="s">
        <v>234</v>
      </c>
      <c r="AO7" s="17" t="s">
        <v>798</v>
      </c>
      <c r="AP7" s="2" t="s">
        <v>250</v>
      </c>
      <c r="AQ7" s="17" t="s">
        <v>418</v>
      </c>
      <c r="AR7" s="33"/>
      <c r="AS7" s="2" t="s">
        <v>234</v>
      </c>
      <c r="AT7" s="16" t="s">
        <v>798</v>
      </c>
      <c r="AU7" s="2" t="s">
        <v>418</v>
      </c>
      <c r="AV7" s="16" t="s">
        <v>418</v>
      </c>
      <c r="AW7" s="33"/>
      <c r="AX7" s="2" t="s">
        <v>251</v>
      </c>
      <c r="AY7" s="16" t="s">
        <v>14</v>
      </c>
      <c r="AZ7" s="4" t="s">
        <v>252</v>
      </c>
      <c r="BA7" s="16" t="s">
        <v>888</v>
      </c>
      <c r="BB7" s="2" t="s">
        <v>3</v>
      </c>
      <c r="BC7" s="16" t="s">
        <v>3</v>
      </c>
      <c r="BD7" s="2" t="s">
        <v>242</v>
      </c>
      <c r="BE7" s="16" t="s">
        <v>813</v>
      </c>
      <c r="BF7" s="2" t="s">
        <v>253</v>
      </c>
      <c r="BG7" s="16" t="s">
        <v>819</v>
      </c>
      <c r="BH7" s="2" t="s">
        <v>679</v>
      </c>
      <c r="BI7" s="16" t="s">
        <v>834</v>
      </c>
      <c r="BJ7" s="2" t="s">
        <v>254</v>
      </c>
    </row>
    <row r="8" spans="1:62" ht="30">
      <c r="A8" s="1">
        <v>7</v>
      </c>
      <c r="B8" s="1" t="s">
        <v>54</v>
      </c>
      <c r="C8" s="1" t="s">
        <v>55</v>
      </c>
      <c r="D8" s="2" t="s">
        <v>15</v>
      </c>
      <c r="E8" s="1" t="s">
        <v>36</v>
      </c>
      <c r="F8" s="2" t="s">
        <v>197</v>
      </c>
      <c r="G8" s="2">
        <v>900</v>
      </c>
      <c r="H8" s="17">
        <f t="shared" si="0"/>
        <v>900</v>
      </c>
      <c r="I8" s="8">
        <v>450</v>
      </c>
      <c r="J8" s="19">
        <f t="shared" si="3"/>
        <v>450</v>
      </c>
      <c r="K8" s="21">
        <f t="shared" si="1"/>
        <v>50</v>
      </c>
      <c r="L8" s="21" t="str">
        <f t="shared" si="2"/>
        <v>Yes</v>
      </c>
      <c r="M8" s="33"/>
      <c r="N8" s="2" t="s">
        <v>363</v>
      </c>
      <c r="O8" s="18" t="s">
        <v>363</v>
      </c>
      <c r="P8" s="2" t="s">
        <v>245</v>
      </c>
      <c r="Q8" s="16" t="s">
        <v>245</v>
      </c>
      <c r="R8" s="2" t="s">
        <v>638</v>
      </c>
      <c r="S8" s="17" t="s">
        <v>364</v>
      </c>
      <c r="T8" s="33"/>
      <c r="U8" s="2" t="s">
        <v>688</v>
      </c>
      <c r="V8" s="17"/>
      <c r="W8" s="2"/>
      <c r="X8" s="17"/>
      <c r="Y8" s="2"/>
      <c r="Z8" s="16"/>
      <c r="AA8" s="33"/>
      <c r="AB8" s="2" t="s">
        <v>363</v>
      </c>
      <c r="AC8" s="17" t="s">
        <v>363</v>
      </c>
      <c r="AD8" s="2" t="s">
        <v>245</v>
      </c>
      <c r="AE8" s="17" t="s">
        <v>245</v>
      </c>
      <c r="AF8" s="2" t="s">
        <v>364</v>
      </c>
      <c r="AG8" s="17" t="s">
        <v>364</v>
      </c>
      <c r="AH8" s="33"/>
      <c r="AI8" s="2" t="s">
        <v>255</v>
      </c>
      <c r="AJ8" s="17"/>
      <c r="AK8" s="2" t="s">
        <v>418</v>
      </c>
      <c r="AL8" s="17" t="s">
        <v>418</v>
      </c>
      <c r="AM8" s="33"/>
      <c r="AN8" s="2" t="s">
        <v>688</v>
      </c>
      <c r="AO8" s="17"/>
      <c r="AP8" s="2"/>
      <c r="AQ8" s="17"/>
      <c r="AR8" s="33"/>
      <c r="AS8" s="2" t="s">
        <v>255</v>
      </c>
      <c r="AT8" s="16"/>
      <c r="AU8" s="2" t="s">
        <v>418</v>
      </c>
      <c r="AV8" s="16" t="s">
        <v>418</v>
      </c>
      <c r="AW8" s="33"/>
      <c r="AX8" s="2" t="s">
        <v>256</v>
      </c>
      <c r="AY8" s="16" t="s">
        <v>14</v>
      </c>
      <c r="AZ8" s="2" t="s">
        <v>257</v>
      </c>
      <c r="BA8" s="16" t="s">
        <v>889</v>
      </c>
      <c r="BB8" s="2" t="s">
        <v>258</v>
      </c>
      <c r="BC8" s="16"/>
      <c r="BD8" s="2"/>
      <c r="BE8" s="16"/>
      <c r="BF8" s="2" t="s">
        <v>259</v>
      </c>
      <c r="BG8" s="16" t="s">
        <v>821</v>
      </c>
      <c r="BH8" s="2" t="s">
        <v>606</v>
      </c>
      <c r="BI8" s="16" t="s">
        <v>606</v>
      </c>
      <c r="BJ8" s="2"/>
    </row>
    <row r="9" spans="1:62" ht="30">
      <c r="A9" s="1">
        <v>8</v>
      </c>
      <c r="B9" s="1" t="s">
        <v>56</v>
      </c>
      <c r="C9" s="1" t="s">
        <v>57</v>
      </c>
      <c r="D9" s="2" t="s">
        <v>34</v>
      </c>
      <c r="E9" s="1" t="s">
        <v>687</v>
      </c>
      <c r="F9" s="2" t="s">
        <v>197</v>
      </c>
      <c r="G9" s="2">
        <v>615</v>
      </c>
      <c r="H9" s="17">
        <f t="shared" si="0"/>
        <v>615</v>
      </c>
      <c r="I9" s="8">
        <v>335</v>
      </c>
      <c r="J9" s="19">
        <f t="shared" si="3"/>
        <v>335</v>
      </c>
      <c r="K9" s="21">
        <f t="shared" si="1"/>
        <v>54.471544715447152</v>
      </c>
      <c r="L9" s="21" t="str">
        <f t="shared" si="2"/>
        <v>Yes</v>
      </c>
      <c r="M9" s="33"/>
      <c r="N9" s="2" t="s">
        <v>627</v>
      </c>
      <c r="O9" s="18" t="s">
        <v>363</v>
      </c>
      <c r="P9" s="2" t="s">
        <v>629</v>
      </c>
      <c r="Q9" s="16" t="s">
        <v>245</v>
      </c>
      <c r="R9" s="2" t="s">
        <v>693</v>
      </c>
      <c r="S9" s="17" t="s">
        <v>764</v>
      </c>
      <c r="T9" s="33"/>
      <c r="U9" s="2"/>
      <c r="V9" s="17"/>
      <c r="W9" s="2"/>
      <c r="X9" s="17"/>
      <c r="Y9" s="2"/>
      <c r="Z9" s="16"/>
      <c r="AA9" s="33"/>
      <c r="AB9" s="2" t="s">
        <v>363</v>
      </c>
      <c r="AC9" s="17" t="s">
        <v>363</v>
      </c>
      <c r="AD9" s="2" t="s">
        <v>245</v>
      </c>
      <c r="AE9" s="17" t="s">
        <v>245</v>
      </c>
      <c r="AF9" s="2"/>
      <c r="AG9" s="17"/>
      <c r="AH9" s="33"/>
      <c r="AI9" s="2" t="s">
        <v>260</v>
      </c>
      <c r="AJ9" s="17" t="s">
        <v>798</v>
      </c>
      <c r="AK9" s="2" t="s">
        <v>418</v>
      </c>
      <c r="AL9" s="17" t="s">
        <v>418</v>
      </c>
      <c r="AM9" s="33"/>
      <c r="AN9" s="2"/>
      <c r="AO9" s="17"/>
      <c r="AP9" s="2"/>
      <c r="AQ9" s="17"/>
      <c r="AR9" s="33"/>
      <c r="AS9" s="2" t="s">
        <v>261</v>
      </c>
      <c r="AT9" s="16"/>
      <c r="AU9" s="2" t="s">
        <v>418</v>
      </c>
      <c r="AV9" s="16" t="s">
        <v>418</v>
      </c>
      <c r="AW9" s="33"/>
      <c r="AX9" s="2" t="s">
        <v>270</v>
      </c>
      <c r="AY9" s="16" t="s">
        <v>847</v>
      </c>
      <c r="AZ9" s="2" t="s">
        <v>262</v>
      </c>
      <c r="BA9" s="16" t="s">
        <v>889</v>
      </c>
      <c r="BB9" s="2" t="s">
        <v>3</v>
      </c>
      <c r="BC9" s="16" t="s">
        <v>3</v>
      </c>
      <c r="BD9" s="2"/>
      <c r="BE9" s="16"/>
      <c r="BF9" s="2" t="s">
        <v>253</v>
      </c>
      <c r="BG9" s="16" t="s">
        <v>819</v>
      </c>
      <c r="BH9" s="2"/>
      <c r="BI9" s="16"/>
      <c r="BJ9" s="2"/>
    </row>
    <row r="10" spans="1:62" ht="15">
      <c r="A10" s="1">
        <v>9</v>
      </c>
      <c r="B10" s="1" t="s">
        <v>58</v>
      </c>
      <c r="C10" s="1" t="s">
        <v>59</v>
      </c>
      <c r="D10" s="2" t="s">
        <v>651</v>
      </c>
      <c r="E10" s="1" t="s">
        <v>687</v>
      </c>
      <c r="F10" s="2" t="s">
        <v>197</v>
      </c>
      <c r="G10" s="2">
        <v>1000</v>
      </c>
      <c r="H10" s="17">
        <f t="shared" si="0"/>
        <v>1000</v>
      </c>
      <c r="I10" s="8">
        <v>300</v>
      </c>
      <c r="J10" s="19">
        <f t="shared" si="3"/>
        <v>300</v>
      </c>
      <c r="K10" s="21">
        <f t="shared" si="1"/>
        <v>30</v>
      </c>
      <c r="L10" s="21" t="str">
        <f t="shared" si="2"/>
        <v>Yes</v>
      </c>
      <c r="M10" s="33"/>
      <c r="N10" s="2" t="s">
        <v>263</v>
      </c>
      <c r="O10" s="18" t="s">
        <v>752</v>
      </c>
      <c r="P10" s="2" t="s">
        <v>423</v>
      </c>
      <c r="Q10" s="16" t="s">
        <v>423</v>
      </c>
      <c r="R10" s="2" t="s">
        <v>364</v>
      </c>
      <c r="S10" s="17" t="s">
        <v>364</v>
      </c>
      <c r="T10" s="33"/>
      <c r="U10" s="2"/>
      <c r="V10" s="17"/>
      <c r="W10" s="2"/>
      <c r="X10" s="17"/>
      <c r="Y10" s="2"/>
      <c r="Z10" s="16"/>
      <c r="AA10" s="33"/>
      <c r="AB10" s="2" t="s">
        <v>264</v>
      </c>
      <c r="AC10" s="17" t="s">
        <v>752</v>
      </c>
      <c r="AD10" s="2" t="s">
        <v>423</v>
      </c>
      <c r="AE10" s="17" t="s">
        <v>423</v>
      </c>
      <c r="AF10" s="2" t="s">
        <v>265</v>
      </c>
      <c r="AG10" s="17" t="s">
        <v>764</v>
      </c>
      <c r="AH10" s="33"/>
      <c r="AI10" s="2" t="s">
        <v>266</v>
      </c>
      <c r="AJ10" s="17" t="s">
        <v>798</v>
      </c>
      <c r="AK10" s="2" t="s">
        <v>418</v>
      </c>
      <c r="AL10" s="17" t="s">
        <v>418</v>
      </c>
      <c r="AM10" s="33"/>
      <c r="AN10" s="2"/>
      <c r="AO10" s="17"/>
      <c r="AP10" s="2"/>
      <c r="AQ10" s="17"/>
      <c r="AR10" s="33"/>
      <c r="AS10" s="2" t="s">
        <v>267</v>
      </c>
      <c r="AT10" s="16" t="s">
        <v>797</v>
      </c>
      <c r="AU10" s="2" t="s">
        <v>268</v>
      </c>
      <c r="AV10" s="16" t="s">
        <v>418</v>
      </c>
      <c r="AW10" s="33"/>
      <c r="AX10" s="2" t="s">
        <v>269</v>
      </c>
      <c r="AY10" s="16" t="s">
        <v>863</v>
      </c>
      <c r="AZ10" s="2"/>
      <c r="BA10" s="16"/>
      <c r="BB10" s="2" t="s">
        <v>4</v>
      </c>
      <c r="BC10" s="16" t="s">
        <v>4</v>
      </c>
      <c r="BD10" s="2"/>
      <c r="BE10" s="16"/>
      <c r="BF10" s="2" t="s">
        <v>403</v>
      </c>
      <c r="BG10" s="16" t="s">
        <v>403</v>
      </c>
      <c r="BH10" s="2" t="s">
        <v>333</v>
      </c>
      <c r="BI10" s="16" t="s">
        <v>834</v>
      </c>
      <c r="BJ10" s="2"/>
    </row>
    <row r="11" spans="1:62" ht="30">
      <c r="A11" s="1">
        <v>10</v>
      </c>
      <c r="B11" s="1" t="s">
        <v>60</v>
      </c>
      <c r="C11" s="1" t="s">
        <v>61</v>
      </c>
      <c r="D11" s="2" t="s">
        <v>21</v>
      </c>
      <c r="E11" s="1" t="s">
        <v>36</v>
      </c>
      <c r="F11" s="2" t="s">
        <v>198</v>
      </c>
      <c r="G11" s="2">
        <v>5000</v>
      </c>
      <c r="H11" s="17">
        <f t="shared" si="0"/>
        <v>5000</v>
      </c>
      <c r="I11" s="8">
        <v>800</v>
      </c>
      <c r="J11" s="19">
        <f t="shared" si="3"/>
        <v>800</v>
      </c>
      <c r="K11" s="21">
        <f t="shared" si="1"/>
        <v>16</v>
      </c>
      <c r="L11" s="21" t="str">
        <f t="shared" si="2"/>
        <v>Yes</v>
      </c>
      <c r="M11" s="33"/>
      <c r="N11" s="2" t="s">
        <v>363</v>
      </c>
      <c r="O11" s="18" t="s">
        <v>363</v>
      </c>
      <c r="P11" s="2" t="s">
        <v>554</v>
      </c>
      <c r="Q11" s="16" t="s">
        <v>245</v>
      </c>
      <c r="R11" s="2" t="s">
        <v>271</v>
      </c>
      <c r="S11" s="17" t="s">
        <v>764</v>
      </c>
      <c r="T11" s="33"/>
      <c r="U11" s="2"/>
      <c r="V11" s="17"/>
      <c r="W11" s="2"/>
      <c r="X11" s="17"/>
      <c r="Y11" s="2"/>
      <c r="Z11" s="16"/>
      <c r="AA11" s="33"/>
      <c r="AB11" s="2"/>
      <c r="AC11" s="17"/>
      <c r="AD11" s="2"/>
      <c r="AE11" s="17"/>
      <c r="AF11" s="2"/>
      <c r="AG11" s="17"/>
      <c r="AH11" s="33"/>
      <c r="AI11" s="2"/>
      <c r="AJ11" s="17"/>
      <c r="AK11" s="2"/>
      <c r="AL11" s="17"/>
      <c r="AM11" s="33"/>
      <c r="AN11" s="2"/>
      <c r="AO11" s="17"/>
      <c r="AP11" s="2"/>
      <c r="AQ11" s="17"/>
      <c r="AR11" s="33"/>
      <c r="AS11" s="2"/>
      <c r="AT11" s="16"/>
      <c r="AU11" s="2"/>
      <c r="AV11" s="16"/>
      <c r="AW11" s="33"/>
      <c r="AX11" s="2"/>
      <c r="AY11" s="16"/>
      <c r="AZ11" s="2" t="s">
        <v>272</v>
      </c>
      <c r="BA11" s="16"/>
      <c r="BB11" s="2" t="s">
        <v>3</v>
      </c>
      <c r="BC11" s="16" t="s">
        <v>3</v>
      </c>
      <c r="BD11" s="2" t="s">
        <v>273</v>
      </c>
      <c r="BE11" s="16" t="s">
        <v>807</v>
      </c>
      <c r="BF11" s="2" t="s">
        <v>670</v>
      </c>
      <c r="BG11" s="16" t="s">
        <v>821</v>
      </c>
      <c r="BH11" s="2"/>
      <c r="BI11" s="16"/>
      <c r="BJ11" s="2" t="s">
        <v>274</v>
      </c>
    </row>
    <row r="12" spans="1:62" ht="15">
      <c r="A12" s="1">
        <v>11</v>
      </c>
      <c r="B12" s="1" t="s">
        <v>62</v>
      </c>
      <c r="C12" s="1" t="s">
        <v>63</v>
      </c>
      <c r="D12" s="2" t="s">
        <v>20</v>
      </c>
      <c r="E12" s="1" t="s">
        <v>36</v>
      </c>
      <c r="F12" s="2" t="s">
        <v>197</v>
      </c>
      <c r="G12" s="2">
        <v>1000</v>
      </c>
      <c r="H12" s="17">
        <f t="shared" si="0"/>
        <v>1000</v>
      </c>
      <c r="I12" s="8">
        <v>150</v>
      </c>
      <c r="J12" s="19">
        <f t="shared" si="3"/>
        <v>150</v>
      </c>
      <c r="K12" s="21">
        <f t="shared" si="1"/>
        <v>15</v>
      </c>
      <c r="L12" s="21" t="str">
        <f t="shared" si="2"/>
        <v>Yes</v>
      </c>
      <c r="M12" s="33"/>
      <c r="N12" s="2" t="s">
        <v>363</v>
      </c>
      <c r="O12" s="18" t="s">
        <v>363</v>
      </c>
      <c r="P12" s="2" t="s">
        <v>245</v>
      </c>
      <c r="Q12" s="16" t="s">
        <v>245</v>
      </c>
      <c r="R12" s="2" t="s">
        <v>636</v>
      </c>
      <c r="S12" s="17" t="s">
        <v>364</v>
      </c>
      <c r="T12" s="33"/>
      <c r="U12" s="2" t="s">
        <v>376</v>
      </c>
      <c r="V12" s="17"/>
      <c r="W12" s="2"/>
      <c r="X12" s="17"/>
      <c r="Y12" s="2"/>
      <c r="Z12" s="16"/>
      <c r="AA12" s="33"/>
      <c r="AB12" s="2" t="s">
        <v>363</v>
      </c>
      <c r="AC12" s="17" t="s">
        <v>363</v>
      </c>
      <c r="AD12" s="2" t="s">
        <v>245</v>
      </c>
      <c r="AE12" s="17" t="s">
        <v>245</v>
      </c>
      <c r="AF12" s="2" t="s">
        <v>636</v>
      </c>
      <c r="AG12" s="17" t="s">
        <v>364</v>
      </c>
      <c r="AH12" s="33"/>
      <c r="AI12" s="2"/>
      <c r="AJ12" s="17"/>
      <c r="AK12" s="2"/>
      <c r="AL12" s="17"/>
      <c r="AM12" s="33"/>
      <c r="AN12" s="2"/>
      <c r="AO12" s="17"/>
      <c r="AP12" s="2"/>
      <c r="AQ12" s="17"/>
      <c r="AR12" s="33"/>
      <c r="AS12" s="2"/>
      <c r="AT12" s="16"/>
      <c r="AU12" s="2"/>
      <c r="AV12" s="16"/>
      <c r="AW12" s="33"/>
      <c r="AX12" s="2"/>
      <c r="AY12" s="16"/>
      <c r="AZ12" s="2"/>
      <c r="BA12" s="16"/>
      <c r="BB12" s="2"/>
      <c r="BC12" s="16"/>
      <c r="BD12" s="2"/>
      <c r="BE12" s="16"/>
      <c r="BF12" s="2"/>
      <c r="BG12" s="16"/>
      <c r="BH12" s="2"/>
      <c r="BI12" s="16"/>
      <c r="BJ12" s="2"/>
    </row>
    <row r="13" spans="1:62" ht="15">
      <c r="A13" s="1">
        <v>12</v>
      </c>
      <c r="B13" s="1" t="s">
        <v>64</v>
      </c>
      <c r="C13" s="14" t="s">
        <v>65</v>
      </c>
      <c r="D13" s="2"/>
      <c r="E13" s="1"/>
      <c r="F13" s="2" t="s">
        <v>197</v>
      </c>
      <c r="G13" s="2">
        <v>700</v>
      </c>
      <c r="H13" s="17">
        <f t="shared" si="0"/>
        <v>700</v>
      </c>
      <c r="I13" s="8">
        <v>500</v>
      </c>
      <c r="J13" s="19">
        <f t="shared" si="3"/>
        <v>500</v>
      </c>
      <c r="K13" s="21">
        <f t="shared" si="1"/>
        <v>71.428571428571431</v>
      </c>
      <c r="L13" s="21" t="str">
        <f t="shared" si="2"/>
        <v>Yes</v>
      </c>
      <c r="M13" s="33"/>
      <c r="N13" s="2" t="s">
        <v>275</v>
      </c>
      <c r="O13" s="18" t="s">
        <v>752</v>
      </c>
      <c r="P13" s="2" t="s">
        <v>554</v>
      </c>
      <c r="Q13" s="16" t="s">
        <v>423</v>
      </c>
      <c r="R13" s="2"/>
      <c r="S13" s="17"/>
      <c r="T13" s="33"/>
      <c r="U13" s="2"/>
      <c r="V13" s="17"/>
      <c r="W13" s="2"/>
      <c r="X13" s="17"/>
      <c r="Y13" s="2"/>
      <c r="Z13" s="16"/>
      <c r="AA13" s="33"/>
      <c r="AB13" s="2" t="s">
        <v>363</v>
      </c>
      <c r="AC13" s="17" t="s">
        <v>363</v>
      </c>
      <c r="AD13" s="2" t="s">
        <v>245</v>
      </c>
      <c r="AE13" s="17" t="s">
        <v>245</v>
      </c>
      <c r="AF13" s="2" t="s">
        <v>364</v>
      </c>
      <c r="AG13" s="17" t="s">
        <v>364</v>
      </c>
      <c r="AH13" s="33"/>
      <c r="AI13" s="2"/>
      <c r="AJ13" s="17"/>
      <c r="AK13" s="2"/>
      <c r="AL13" s="17"/>
      <c r="AM13" s="33"/>
      <c r="AN13" s="2"/>
      <c r="AO13" s="17"/>
      <c r="AP13" s="2"/>
      <c r="AQ13" s="17"/>
      <c r="AR13" s="33"/>
      <c r="AS13" s="2"/>
      <c r="AT13" s="16"/>
      <c r="AU13" s="2"/>
      <c r="AV13" s="16"/>
      <c r="AW13" s="33"/>
      <c r="AX13" s="2"/>
      <c r="AY13" s="16"/>
      <c r="AZ13" s="2"/>
      <c r="BA13" s="16"/>
      <c r="BB13" s="2"/>
      <c r="BC13" s="16"/>
      <c r="BD13" s="2"/>
      <c r="BE13" s="16"/>
      <c r="BF13" s="2"/>
      <c r="BG13" s="16"/>
      <c r="BH13" s="2"/>
      <c r="BI13" s="16"/>
      <c r="BJ13" s="2"/>
    </row>
    <row r="14" spans="1:62" ht="15">
      <c r="A14" s="1">
        <v>13</v>
      </c>
      <c r="B14" s="1" t="s">
        <v>66</v>
      </c>
      <c r="C14" s="1" t="s">
        <v>67</v>
      </c>
      <c r="D14" s="2" t="s">
        <v>15</v>
      </c>
      <c r="E14" s="1" t="s">
        <v>36</v>
      </c>
      <c r="F14" s="2"/>
      <c r="G14" s="3">
        <v>450</v>
      </c>
      <c r="H14" s="17">
        <f t="shared" si="0"/>
        <v>450</v>
      </c>
      <c r="I14" s="8">
        <v>65</v>
      </c>
      <c r="J14" s="19">
        <f t="shared" si="3"/>
        <v>65</v>
      </c>
      <c r="K14" s="21">
        <f t="shared" si="1"/>
        <v>14.444444444444443</v>
      </c>
      <c r="L14" s="21" t="str">
        <f t="shared" si="2"/>
        <v>Yes</v>
      </c>
      <c r="M14" s="33"/>
      <c r="N14" s="2" t="s">
        <v>363</v>
      </c>
      <c r="O14" s="18" t="s">
        <v>363</v>
      </c>
      <c r="P14" s="2" t="s">
        <v>245</v>
      </c>
      <c r="Q14" s="16" t="s">
        <v>245</v>
      </c>
      <c r="R14" s="2" t="s">
        <v>364</v>
      </c>
      <c r="S14" s="17" t="s">
        <v>364</v>
      </c>
      <c r="T14" s="33"/>
      <c r="U14" s="2"/>
      <c r="V14" s="17"/>
      <c r="W14" s="2"/>
      <c r="X14" s="17"/>
      <c r="Y14" s="2"/>
      <c r="Z14" s="16"/>
      <c r="AA14" s="33"/>
      <c r="AB14" s="2" t="s">
        <v>363</v>
      </c>
      <c r="AC14" s="17" t="s">
        <v>363</v>
      </c>
      <c r="AD14" s="2"/>
      <c r="AE14" s="17"/>
      <c r="AF14" s="2"/>
      <c r="AG14" s="17"/>
      <c r="AH14" s="33"/>
      <c r="AI14" s="2" t="s">
        <v>276</v>
      </c>
      <c r="AJ14" s="17"/>
      <c r="AK14" s="2"/>
      <c r="AL14" s="17"/>
      <c r="AM14" s="33"/>
      <c r="AN14" s="2"/>
      <c r="AO14" s="17"/>
      <c r="AP14" s="2"/>
      <c r="AQ14" s="17"/>
      <c r="AR14" s="33"/>
      <c r="AS14" s="2" t="s">
        <v>276</v>
      </c>
      <c r="AT14" s="16"/>
      <c r="AU14" s="2"/>
      <c r="AV14" s="16"/>
      <c r="AW14" s="33"/>
      <c r="AX14" s="2"/>
      <c r="AY14" s="16"/>
      <c r="AZ14" s="2" t="s">
        <v>277</v>
      </c>
      <c r="BA14" s="16" t="s">
        <v>889</v>
      </c>
      <c r="BB14" s="2" t="s">
        <v>3</v>
      </c>
      <c r="BC14" s="16" t="s">
        <v>3</v>
      </c>
      <c r="BD14" s="2"/>
      <c r="BE14" s="16"/>
      <c r="BF14" s="2" t="s">
        <v>403</v>
      </c>
      <c r="BG14" s="16" t="s">
        <v>403</v>
      </c>
      <c r="BH14" s="2" t="s">
        <v>606</v>
      </c>
      <c r="BI14" s="16" t="s">
        <v>606</v>
      </c>
      <c r="BJ14" s="2"/>
    </row>
    <row r="15" spans="1:62" ht="14.5" customHeight="1">
      <c r="A15" s="1">
        <v>14</v>
      </c>
      <c r="B15" s="1" t="s">
        <v>68</v>
      </c>
      <c r="C15" s="1" t="s">
        <v>69</v>
      </c>
      <c r="D15" s="2" t="s">
        <v>101</v>
      </c>
      <c r="E15" s="1"/>
      <c r="F15" s="2" t="s">
        <v>197</v>
      </c>
      <c r="G15" s="2">
        <v>3100</v>
      </c>
      <c r="H15" s="17">
        <f t="shared" si="0"/>
        <v>3100</v>
      </c>
      <c r="I15" s="8">
        <v>400</v>
      </c>
      <c r="J15" s="19">
        <f t="shared" si="3"/>
        <v>400</v>
      </c>
      <c r="K15" s="21">
        <f t="shared" si="1"/>
        <v>12.903225806451612</v>
      </c>
      <c r="L15" s="21" t="str">
        <f t="shared" si="2"/>
        <v>Yes</v>
      </c>
      <c r="M15" s="33"/>
      <c r="N15" s="2" t="s">
        <v>278</v>
      </c>
      <c r="O15" s="18" t="s">
        <v>752</v>
      </c>
      <c r="P15" s="2" t="s">
        <v>279</v>
      </c>
      <c r="Q15" s="16" t="s">
        <v>756</v>
      </c>
      <c r="R15" s="2" t="s">
        <v>639</v>
      </c>
      <c r="S15" s="17" t="s">
        <v>765</v>
      </c>
      <c r="T15" s="33"/>
      <c r="U15" s="2" t="s">
        <v>280</v>
      </c>
      <c r="V15" s="17" t="s">
        <v>597</v>
      </c>
      <c r="W15" s="2" t="s">
        <v>281</v>
      </c>
      <c r="X15" s="17" t="s">
        <v>756</v>
      </c>
      <c r="Y15" s="2" t="s">
        <v>639</v>
      </c>
      <c r="Z15" s="16" t="s">
        <v>765</v>
      </c>
      <c r="AA15" s="33"/>
      <c r="AB15" s="2"/>
      <c r="AC15" s="17"/>
      <c r="AD15" s="2"/>
      <c r="AE15" s="17"/>
      <c r="AF15" s="2"/>
      <c r="AG15" s="17"/>
      <c r="AH15" s="33"/>
      <c r="AI15" s="2" t="s">
        <v>282</v>
      </c>
      <c r="AJ15" s="17"/>
      <c r="AK15" s="2"/>
      <c r="AL15" s="17"/>
      <c r="AM15" s="33"/>
      <c r="AN15" s="2" t="s">
        <v>282</v>
      </c>
      <c r="AO15" s="17"/>
      <c r="AP15" s="2"/>
      <c r="AQ15" s="17"/>
      <c r="AR15" s="33"/>
      <c r="AS15" s="2" t="s">
        <v>282</v>
      </c>
      <c r="AT15" s="16"/>
      <c r="AU15" s="2"/>
      <c r="AV15" s="16"/>
      <c r="AW15" s="33"/>
      <c r="AX15" s="2" t="s">
        <v>283</v>
      </c>
      <c r="AY15" s="16"/>
      <c r="AZ15" s="2" t="s">
        <v>284</v>
      </c>
      <c r="BA15" s="16" t="s">
        <v>889</v>
      </c>
      <c r="BB15" s="2" t="s">
        <v>285</v>
      </c>
      <c r="BC15" s="16"/>
      <c r="BD15" s="2"/>
      <c r="BE15" s="16"/>
      <c r="BF15" s="2"/>
      <c r="BG15" s="16"/>
      <c r="BH15" s="2"/>
      <c r="BI15" s="16"/>
      <c r="BJ15" s="2" t="s">
        <v>286</v>
      </c>
    </row>
    <row r="16" spans="1:62" ht="45">
      <c r="A16" s="1">
        <v>15</v>
      </c>
      <c r="B16" s="1" t="s">
        <v>70</v>
      </c>
      <c r="C16" s="14" t="s">
        <v>71</v>
      </c>
      <c r="D16" s="2" t="s">
        <v>17</v>
      </c>
      <c r="E16" s="1" t="s">
        <v>36</v>
      </c>
      <c r="F16" s="2" t="s">
        <v>197</v>
      </c>
      <c r="G16" s="2">
        <v>250</v>
      </c>
      <c r="H16" s="17">
        <f t="shared" si="0"/>
        <v>250</v>
      </c>
      <c r="I16" s="8">
        <v>130</v>
      </c>
      <c r="J16" s="19">
        <f t="shared" si="3"/>
        <v>130</v>
      </c>
      <c r="K16" s="21">
        <f t="shared" si="1"/>
        <v>52</v>
      </c>
      <c r="L16" s="21" t="str">
        <f t="shared" si="2"/>
        <v>Yes</v>
      </c>
      <c r="M16" s="33"/>
      <c r="N16" s="2" t="s">
        <v>363</v>
      </c>
      <c r="O16" s="18" t="s">
        <v>363</v>
      </c>
      <c r="P16" s="2" t="s">
        <v>211</v>
      </c>
      <c r="Q16" s="16" t="s">
        <v>245</v>
      </c>
      <c r="R16" s="2" t="s">
        <v>383</v>
      </c>
      <c r="S16" s="17" t="s">
        <v>364</v>
      </c>
      <c r="T16" s="33"/>
      <c r="U16" s="2"/>
      <c r="V16" s="17"/>
      <c r="W16" s="2"/>
      <c r="X16" s="17"/>
      <c r="Y16" s="2"/>
      <c r="Z16" s="16"/>
      <c r="AA16" s="33"/>
      <c r="AB16" s="2" t="s">
        <v>363</v>
      </c>
      <c r="AC16" s="17" t="s">
        <v>363</v>
      </c>
      <c r="AD16" s="2" t="s">
        <v>211</v>
      </c>
      <c r="AE16" s="17" t="s">
        <v>245</v>
      </c>
      <c r="AF16" s="2" t="s">
        <v>694</v>
      </c>
      <c r="AG16" s="17" t="s">
        <v>764</v>
      </c>
      <c r="AH16" s="33"/>
      <c r="AI16" s="2" t="s">
        <v>287</v>
      </c>
      <c r="AJ16" s="17"/>
      <c r="AK16" s="2" t="s">
        <v>418</v>
      </c>
      <c r="AL16" s="17" t="s">
        <v>418</v>
      </c>
      <c r="AM16" s="33"/>
      <c r="AN16" s="2" t="s">
        <v>376</v>
      </c>
      <c r="AO16" s="17"/>
      <c r="AP16" s="2" t="s">
        <v>376</v>
      </c>
      <c r="AQ16" s="17"/>
      <c r="AR16" s="33"/>
      <c r="AS16" s="2" t="s">
        <v>288</v>
      </c>
      <c r="AT16" s="16" t="s">
        <v>309</v>
      </c>
      <c r="AU16" s="2" t="s">
        <v>418</v>
      </c>
      <c r="AV16" s="16" t="s">
        <v>418</v>
      </c>
      <c r="AW16" s="33"/>
      <c r="AX16" s="2" t="s">
        <v>289</v>
      </c>
      <c r="AY16" s="16" t="s">
        <v>848</v>
      </c>
      <c r="AZ16" s="2" t="s">
        <v>290</v>
      </c>
      <c r="BA16" s="16" t="s">
        <v>889</v>
      </c>
      <c r="BB16" s="2" t="s">
        <v>3</v>
      </c>
      <c r="BC16" s="16" t="s">
        <v>3</v>
      </c>
      <c r="BD16" s="2" t="s">
        <v>291</v>
      </c>
      <c r="BE16" s="16" t="s">
        <v>814</v>
      </c>
      <c r="BF16" s="2" t="s">
        <v>403</v>
      </c>
      <c r="BG16" s="16" t="s">
        <v>403</v>
      </c>
      <c r="BH16" s="2" t="s">
        <v>387</v>
      </c>
      <c r="BI16" s="16" t="s">
        <v>387</v>
      </c>
      <c r="BJ16" s="2" t="s">
        <v>292</v>
      </c>
    </row>
    <row r="17" spans="1:62" ht="30">
      <c r="A17" s="1">
        <v>16</v>
      </c>
      <c r="B17" s="1" t="s">
        <v>72</v>
      </c>
      <c r="C17" s="1" t="s">
        <v>73</v>
      </c>
      <c r="D17" s="2" t="s">
        <v>6</v>
      </c>
      <c r="E17" s="1" t="s">
        <v>687</v>
      </c>
      <c r="F17" s="2" t="s">
        <v>198</v>
      </c>
      <c r="G17" s="2">
        <v>4500</v>
      </c>
      <c r="H17" s="17">
        <f t="shared" si="0"/>
        <v>4500</v>
      </c>
      <c r="I17" s="8">
        <v>700</v>
      </c>
      <c r="J17" s="19">
        <f t="shared" si="3"/>
        <v>700</v>
      </c>
      <c r="K17" s="21">
        <f t="shared" si="1"/>
        <v>15.555555555555555</v>
      </c>
      <c r="L17" s="21" t="str">
        <f t="shared" si="2"/>
        <v>Yes</v>
      </c>
      <c r="M17" s="33"/>
      <c r="N17" s="2" t="s">
        <v>363</v>
      </c>
      <c r="O17" s="18" t="s">
        <v>363</v>
      </c>
      <c r="P17" s="2" t="s">
        <v>630</v>
      </c>
      <c r="Q17" s="16" t="s">
        <v>245</v>
      </c>
      <c r="R17" s="2" t="s">
        <v>383</v>
      </c>
      <c r="S17" s="17" t="s">
        <v>364</v>
      </c>
      <c r="T17" s="33"/>
      <c r="U17" s="2"/>
      <c r="V17" s="17"/>
      <c r="W17" s="2"/>
      <c r="X17" s="17"/>
      <c r="Y17" s="2"/>
      <c r="Z17" s="16"/>
      <c r="AA17" s="33"/>
      <c r="AB17" s="2" t="s">
        <v>247</v>
      </c>
      <c r="AC17" s="17" t="s">
        <v>363</v>
      </c>
      <c r="AD17" s="2" t="s">
        <v>630</v>
      </c>
      <c r="AE17" s="17" t="s">
        <v>245</v>
      </c>
      <c r="AF17" s="2" t="s">
        <v>694</v>
      </c>
      <c r="AG17" s="17" t="s">
        <v>764</v>
      </c>
      <c r="AH17" s="33"/>
      <c r="AI17" s="2" t="s">
        <v>293</v>
      </c>
      <c r="AJ17" s="17"/>
      <c r="AK17" s="2" t="s">
        <v>418</v>
      </c>
      <c r="AL17" s="17" t="s">
        <v>418</v>
      </c>
      <c r="AM17" s="33"/>
      <c r="AN17" s="2"/>
      <c r="AO17" s="17"/>
      <c r="AP17" s="2"/>
      <c r="AQ17" s="17"/>
      <c r="AR17" s="33"/>
      <c r="AS17" s="2" t="s">
        <v>293</v>
      </c>
      <c r="AT17" s="16"/>
      <c r="AU17" s="2" t="s">
        <v>418</v>
      </c>
      <c r="AV17" s="16" t="s">
        <v>418</v>
      </c>
      <c r="AW17" s="33"/>
      <c r="AX17" s="2" t="s">
        <v>294</v>
      </c>
      <c r="AY17" s="16"/>
      <c r="AZ17" s="2" t="s">
        <v>295</v>
      </c>
      <c r="BA17" s="16"/>
      <c r="BB17" s="2" t="s">
        <v>3</v>
      </c>
      <c r="BC17" s="16" t="s">
        <v>3</v>
      </c>
      <c r="BD17" s="2" t="s">
        <v>242</v>
      </c>
      <c r="BE17" s="16" t="s">
        <v>813</v>
      </c>
      <c r="BF17" s="2" t="s">
        <v>403</v>
      </c>
      <c r="BG17" s="16" t="s">
        <v>403</v>
      </c>
      <c r="BH17" s="2" t="s">
        <v>333</v>
      </c>
      <c r="BI17" s="16" t="s">
        <v>834</v>
      </c>
      <c r="BJ17" s="2"/>
    </row>
    <row r="18" spans="1:62" ht="45">
      <c r="A18" s="1">
        <v>17</v>
      </c>
      <c r="B18" s="1" t="s">
        <v>74</v>
      </c>
      <c r="C18" s="1" t="s">
        <v>75</v>
      </c>
      <c r="D18" s="2" t="s">
        <v>25</v>
      </c>
      <c r="E18" s="1" t="s">
        <v>36</v>
      </c>
      <c r="F18" s="2" t="s">
        <v>197</v>
      </c>
      <c r="G18" s="3">
        <v>500</v>
      </c>
      <c r="H18" s="17">
        <f t="shared" si="0"/>
        <v>500</v>
      </c>
      <c r="I18" s="8">
        <v>270</v>
      </c>
      <c r="J18" s="19">
        <f t="shared" si="3"/>
        <v>270</v>
      </c>
      <c r="K18" s="21">
        <f t="shared" si="1"/>
        <v>54</v>
      </c>
      <c r="L18" s="21" t="str">
        <f t="shared" si="2"/>
        <v>Yes</v>
      </c>
      <c r="M18" s="33"/>
      <c r="N18" s="2" t="s">
        <v>695</v>
      </c>
      <c r="O18" s="18" t="s">
        <v>363</v>
      </c>
      <c r="P18" s="2" t="s">
        <v>245</v>
      </c>
      <c r="Q18" s="16" t="s">
        <v>245</v>
      </c>
      <c r="R18" s="2" t="s">
        <v>364</v>
      </c>
      <c r="S18" s="17" t="s">
        <v>364</v>
      </c>
      <c r="T18" s="33"/>
      <c r="U18" s="2"/>
      <c r="V18" s="17"/>
      <c r="W18" s="2"/>
      <c r="X18" s="17"/>
      <c r="Y18" s="2"/>
      <c r="Z18" s="16"/>
      <c r="AA18" s="33"/>
      <c r="AB18" s="2" t="s">
        <v>696</v>
      </c>
      <c r="AC18" s="17" t="s">
        <v>363</v>
      </c>
      <c r="AD18" s="2" t="s">
        <v>245</v>
      </c>
      <c r="AE18" s="17" t="s">
        <v>245</v>
      </c>
      <c r="AF18" s="2" t="s">
        <v>364</v>
      </c>
      <c r="AG18" s="17" t="s">
        <v>364</v>
      </c>
      <c r="AH18" s="33"/>
      <c r="AI18" s="5">
        <v>42840</v>
      </c>
      <c r="AJ18" s="44" t="s">
        <v>798</v>
      </c>
      <c r="AK18" s="2" t="s">
        <v>296</v>
      </c>
      <c r="AL18" s="17" t="s">
        <v>790</v>
      </c>
      <c r="AM18" s="33"/>
      <c r="AN18" s="2"/>
      <c r="AO18" s="17"/>
      <c r="AP18" s="2"/>
      <c r="AQ18" s="17"/>
      <c r="AR18" s="33"/>
      <c r="AS18" s="5">
        <v>42856</v>
      </c>
      <c r="AT18" s="48" t="s">
        <v>309</v>
      </c>
      <c r="AU18" s="2" t="s">
        <v>297</v>
      </c>
      <c r="AV18" s="16" t="s">
        <v>790</v>
      </c>
      <c r="AW18" s="33"/>
      <c r="AX18" s="2" t="s">
        <v>298</v>
      </c>
      <c r="AY18" s="16" t="s">
        <v>849</v>
      </c>
      <c r="AZ18" s="2" t="s">
        <v>299</v>
      </c>
      <c r="BA18" s="16" t="s">
        <v>889</v>
      </c>
      <c r="BB18" s="2" t="s">
        <v>3</v>
      </c>
      <c r="BC18" s="16" t="s">
        <v>3</v>
      </c>
      <c r="BD18" s="2"/>
      <c r="BE18" s="16"/>
      <c r="BF18" s="2" t="s">
        <v>403</v>
      </c>
      <c r="BG18" s="16" t="s">
        <v>403</v>
      </c>
      <c r="BH18" s="2" t="s">
        <v>666</v>
      </c>
      <c r="BI18" s="16" t="s">
        <v>606</v>
      </c>
      <c r="BJ18" s="2" t="s">
        <v>300</v>
      </c>
    </row>
    <row r="19" spans="1:62" ht="30">
      <c r="A19" s="1">
        <v>18</v>
      </c>
      <c r="B19" s="1" t="s">
        <v>76</v>
      </c>
      <c r="C19" s="1"/>
      <c r="D19" s="2" t="s">
        <v>16</v>
      </c>
      <c r="E19" s="1"/>
      <c r="F19" s="2" t="s">
        <v>197</v>
      </c>
      <c r="G19" s="2">
        <v>600</v>
      </c>
      <c r="H19" s="17">
        <f t="shared" si="0"/>
        <v>600</v>
      </c>
      <c r="I19" s="8">
        <v>450</v>
      </c>
      <c r="J19" s="19">
        <f t="shared" si="3"/>
        <v>450</v>
      </c>
      <c r="K19" s="21">
        <f t="shared" si="1"/>
        <v>75</v>
      </c>
      <c r="L19" s="21" t="str">
        <f t="shared" si="2"/>
        <v>Yes</v>
      </c>
      <c r="M19" s="33"/>
      <c r="N19" s="2" t="s">
        <v>363</v>
      </c>
      <c r="O19" s="18" t="s">
        <v>363</v>
      </c>
      <c r="P19" s="2" t="s">
        <v>245</v>
      </c>
      <c r="Q19" s="16" t="s">
        <v>245</v>
      </c>
      <c r="R19" s="2" t="s">
        <v>383</v>
      </c>
      <c r="S19" s="17" t="s">
        <v>364</v>
      </c>
      <c r="T19" s="33"/>
      <c r="U19" s="2" t="s">
        <v>301</v>
      </c>
      <c r="V19" s="17" t="s">
        <v>597</v>
      </c>
      <c r="W19" s="2" t="s">
        <v>302</v>
      </c>
      <c r="X19" s="17" t="s">
        <v>756</v>
      </c>
      <c r="Y19" s="2" t="s">
        <v>303</v>
      </c>
      <c r="Z19" s="16" t="s">
        <v>764</v>
      </c>
      <c r="AA19" s="33"/>
      <c r="AB19" s="2" t="s">
        <v>363</v>
      </c>
      <c r="AC19" s="17" t="s">
        <v>363</v>
      </c>
      <c r="AD19" s="2" t="s">
        <v>245</v>
      </c>
      <c r="AE19" s="17" t="s">
        <v>245</v>
      </c>
      <c r="AF19" s="2" t="s">
        <v>694</v>
      </c>
      <c r="AG19" s="17" t="s">
        <v>764</v>
      </c>
      <c r="AH19" s="33"/>
      <c r="AI19" s="2" t="s">
        <v>304</v>
      </c>
      <c r="AJ19" s="17"/>
      <c r="AK19" s="2" t="s">
        <v>418</v>
      </c>
      <c r="AL19" s="17" t="s">
        <v>418</v>
      </c>
      <c r="AM19" s="33"/>
      <c r="AN19" s="4" t="s">
        <v>234</v>
      </c>
      <c r="AO19" s="17" t="s">
        <v>798</v>
      </c>
      <c r="AP19" s="2" t="s">
        <v>418</v>
      </c>
      <c r="AQ19" s="17" t="s">
        <v>418</v>
      </c>
      <c r="AR19" s="33"/>
      <c r="AS19" s="2"/>
      <c r="AT19" s="16"/>
      <c r="AU19" s="2" t="s">
        <v>418</v>
      </c>
      <c r="AV19" s="16" t="s">
        <v>418</v>
      </c>
      <c r="AW19" s="33"/>
      <c r="AX19" s="2"/>
      <c r="AY19" s="16"/>
      <c r="AZ19" s="4"/>
      <c r="BA19" s="16"/>
      <c r="BB19" s="2"/>
      <c r="BC19" s="16"/>
      <c r="BD19" s="2"/>
      <c r="BE19" s="16"/>
      <c r="BF19" s="2" t="s">
        <v>253</v>
      </c>
      <c r="BG19" s="16" t="s">
        <v>819</v>
      </c>
      <c r="BH19" s="2"/>
      <c r="BI19" s="16"/>
      <c r="BJ19" s="2"/>
    </row>
    <row r="20" spans="1:62" ht="60">
      <c r="A20" s="1">
        <v>19</v>
      </c>
      <c r="B20" s="1" t="s">
        <v>77</v>
      </c>
      <c r="C20" s="1" t="s">
        <v>78</v>
      </c>
      <c r="D20" s="2" t="s">
        <v>8</v>
      </c>
      <c r="E20" s="1" t="s">
        <v>687</v>
      </c>
      <c r="F20" s="2" t="s">
        <v>200</v>
      </c>
      <c r="G20" s="6">
        <v>100000</v>
      </c>
      <c r="H20" s="17">
        <f t="shared" si="0"/>
        <v>100000</v>
      </c>
      <c r="I20" s="12">
        <v>15000</v>
      </c>
      <c r="J20" s="19">
        <f t="shared" si="3"/>
        <v>15000</v>
      </c>
      <c r="K20" s="21">
        <f t="shared" si="1"/>
        <v>15</v>
      </c>
      <c r="L20" s="21" t="str">
        <f t="shared" si="2"/>
        <v>Yes</v>
      </c>
      <c r="M20" s="33"/>
      <c r="N20" s="2" t="s">
        <v>305</v>
      </c>
      <c r="O20" s="18"/>
      <c r="P20" s="2" t="s">
        <v>291</v>
      </c>
      <c r="Q20" s="16"/>
      <c r="R20" s="2" t="s">
        <v>697</v>
      </c>
      <c r="S20" s="17" t="s">
        <v>764</v>
      </c>
      <c r="T20" s="33"/>
      <c r="U20" s="2" t="s">
        <v>376</v>
      </c>
      <c r="V20" s="17"/>
      <c r="W20" s="2" t="s">
        <v>376</v>
      </c>
      <c r="X20" s="17"/>
      <c r="Y20" s="2" t="s">
        <v>376</v>
      </c>
      <c r="Z20" s="16"/>
      <c r="AA20" s="33"/>
      <c r="AB20" s="2" t="s">
        <v>306</v>
      </c>
      <c r="AC20" s="17" t="s">
        <v>752</v>
      </c>
      <c r="AD20" s="2" t="s">
        <v>654</v>
      </c>
      <c r="AE20" s="17" t="s">
        <v>423</v>
      </c>
      <c r="AF20" s="2" t="s">
        <v>307</v>
      </c>
      <c r="AG20" s="17" t="s">
        <v>364</v>
      </c>
      <c r="AH20" s="33"/>
      <c r="AI20" s="2" t="s">
        <v>308</v>
      </c>
      <c r="AJ20" s="17"/>
      <c r="AK20" s="2" t="s">
        <v>418</v>
      </c>
      <c r="AL20" s="17" t="s">
        <v>418</v>
      </c>
      <c r="AM20" s="33"/>
      <c r="AN20" s="2" t="s">
        <v>376</v>
      </c>
      <c r="AO20" s="17"/>
      <c r="AP20" s="2" t="s">
        <v>376</v>
      </c>
      <c r="AQ20" s="17"/>
      <c r="AR20" s="33"/>
      <c r="AS20" s="2" t="s">
        <v>309</v>
      </c>
      <c r="AT20" s="16" t="s">
        <v>309</v>
      </c>
      <c r="AU20" s="2" t="s">
        <v>418</v>
      </c>
      <c r="AV20" s="16" t="s">
        <v>418</v>
      </c>
      <c r="AW20" s="33"/>
      <c r="AX20" s="2"/>
      <c r="AY20" s="16"/>
      <c r="AZ20" s="2" t="s">
        <v>310</v>
      </c>
      <c r="BA20" s="16"/>
      <c r="BB20" s="2" t="s">
        <v>311</v>
      </c>
      <c r="BC20" s="16"/>
      <c r="BD20" s="2"/>
      <c r="BE20" s="16"/>
      <c r="BF20" s="2" t="s">
        <v>291</v>
      </c>
      <c r="BG20" s="16" t="s">
        <v>822</v>
      </c>
      <c r="BH20" s="2" t="s">
        <v>680</v>
      </c>
      <c r="BI20" s="16" t="s">
        <v>606</v>
      </c>
      <c r="BJ20" s="2" t="s">
        <v>312</v>
      </c>
    </row>
    <row r="21" spans="1:62" ht="14.5" customHeight="1">
      <c r="A21" s="1">
        <v>20</v>
      </c>
      <c r="B21" s="1" t="s">
        <v>79</v>
      </c>
      <c r="C21" s="1" t="s">
        <v>80</v>
      </c>
      <c r="D21" s="2" t="s">
        <v>16</v>
      </c>
      <c r="E21" s="1" t="s">
        <v>36</v>
      </c>
      <c r="F21" s="2" t="s">
        <v>197</v>
      </c>
      <c r="G21" s="2">
        <v>2600</v>
      </c>
      <c r="H21" s="17">
        <f t="shared" si="0"/>
        <v>2600</v>
      </c>
      <c r="I21" s="8">
        <v>1400</v>
      </c>
      <c r="J21" s="19">
        <f t="shared" si="3"/>
        <v>1400</v>
      </c>
      <c r="K21" s="21">
        <f t="shared" si="1"/>
        <v>53.846153846153847</v>
      </c>
      <c r="L21" s="21" t="str">
        <f t="shared" si="2"/>
        <v>Yes</v>
      </c>
      <c r="M21" s="33"/>
      <c r="N21" s="2" t="s">
        <v>313</v>
      </c>
      <c r="O21" s="18" t="s">
        <v>363</v>
      </c>
      <c r="P21" s="2" t="s">
        <v>212</v>
      </c>
      <c r="Q21" s="16" t="s">
        <v>423</v>
      </c>
      <c r="R21" s="2" t="s">
        <v>314</v>
      </c>
      <c r="S21" s="17" t="s">
        <v>764</v>
      </c>
      <c r="T21" s="33"/>
      <c r="U21" s="2" t="s">
        <v>315</v>
      </c>
      <c r="V21" s="17" t="s">
        <v>363</v>
      </c>
      <c r="W21" s="2" t="s">
        <v>653</v>
      </c>
      <c r="X21" s="17" t="s">
        <v>778</v>
      </c>
      <c r="Y21" s="2" t="s">
        <v>316</v>
      </c>
      <c r="Z21" s="16" t="s">
        <v>764</v>
      </c>
      <c r="AA21" s="33"/>
      <c r="AB21" s="2" t="s">
        <v>317</v>
      </c>
      <c r="AC21" s="17" t="s">
        <v>752</v>
      </c>
      <c r="AD21" s="2" t="s">
        <v>318</v>
      </c>
      <c r="AE21" s="17"/>
      <c r="AF21" s="2" t="s">
        <v>319</v>
      </c>
      <c r="AG21" s="17" t="s">
        <v>764</v>
      </c>
      <c r="AH21" s="33"/>
      <c r="AI21" s="2" t="s">
        <v>320</v>
      </c>
      <c r="AJ21" s="17" t="s">
        <v>798</v>
      </c>
      <c r="AK21" s="2" t="s">
        <v>418</v>
      </c>
      <c r="AL21" s="17" t="s">
        <v>418</v>
      </c>
      <c r="AM21" s="33"/>
      <c r="AN21" s="2" t="s">
        <v>320</v>
      </c>
      <c r="AO21" s="17" t="s">
        <v>798</v>
      </c>
      <c r="AP21" s="2" t="s">
        <v>418</v>
      </c>
      <c r="AQ21" s="17" t="s">
        <v>418</v>
      </c>
      <c r="AR21" s="33"/>
      <c r="AS21" s="2" t="s">
        <v>320</v>
      </c>
      <c r="AT21" s="16" t="s">
        <v>798</v>
      </c>
      <c r="AU21" s="2" t="s">
        <v>418</v>
      </c>
      <c r="AV21" s="16" t="s">
        <v>418</v>
      </c>
      <c r="AW21" s="33"/>
      <c r="AX21" s="2" t="s">
        <v>321</v>
      </c>
      <c r="AY21" s="16" t="s">
        <v>868</v>
      </c>
      <c r="AZ21" s="2" t="s">
        <v>322</v>
      </c>
      <c r="BA21" s="16" t="s">
        <v>889</v>
      </c>
      <c r="BB21" s="2" t="s">
        <v>3</v>
      </c>
      <c r="BC21" s="16" t="s">
        <v>3</v>
      </c>
      <c r="BD21" s="2" t="s">
        <v>323</v>
      </c>
      <c r="BE21" s="16" t="s">
        <v>808</v>
      </c>
      <c r="BF21" s="2" t="s">
        <v>605</v>
      </c>
      <c r="BG21" s="16" t="s">
        <v>819</v>
      </c>
      <c r="BH21" s="2" t="s">
        <v>387</v>
      </c>
      <c r="BI21" s="16" t="s">
        <v>387</v>
      </c>
      <c r="BJ21" s="2"/>
    </row>
    <row r="22" spans="1:62" ht="45">
      <c r="A22" s="1">
        <v>21</v>
      </c>
      <c r="B22" s="1" t="s">
        <v>81</v>
      </c>
      <c r="C22" s="1" t="s">
        <v>82</v>
      </c>
      <c r="D22" s="2" t="s">
        <v>651</v>
      </c>
      <c r="E22" s="1" t="s">
        <v>687</v>
      </c>
      <c r="F22" s="2" t="s">
        <v>197</v>
      </c>
      <c r="G22" s="2">
        <v>1500</v>
      </c>
      <c r="H22" s="17">
        <f t="shared" si="0"/>
        <v>1500</v>
      </c>
      <c r="I22" s="8">
        <v>100</v>
      </c>
      <c r="J22" s="19">
        <f t="shared" si="3"/>
        <v>100</v>
      </c>
      <c r="K22" s="21">
        <f t="shared" si="1"/>
        <v>6.666666666666667</v>
      </c>
      <c r="L22" s="21" t="str">
        <f t="shared" si="2"/>
        <v>Yes</v>
      </c>
      <c r="M22" s="33"/>
      <c r="N22" s="2" t="s">
        <v>750</v>
      </c>
      <c r="O22" s="18" t="s">
        <v>752</v>
      </c>
      <c r="P22" s="2" t="s">
        <v>554</v>
      </c>
      <c r="Q22" s="16" t="s">
        <v>423</v>
      </c>
      <c r="R22" s="2" t="s">
        <v>383</v>
      </c>
      <c r="S22" s="17" t="s">
        <v>364</v>
      </c>
      <c r="T22" s="33"/>
      <c r="U22" s="2"/>
      <c r="V22" s="17"/>
      <c r="W22" s="2"/>
      <c r="X22" s="17"/>
      <c r="Y22" s="2"/>
      <c r="Z22" s="16"/>
      <c r="AA22" s="33"/>
      <c r="AB22" s="2" t="s">
        <v>363</v>
      </c>
      <c r="AC22" s="17" t="s">
        <v>363</v>
      </c>
      <c r="AD22" s="2" t="s">
        <v>245</v>
      </c>
      <c r="AE22" s="17" t="s">
        <v>245</v>
      </c>
      <c r="AF22" s="2" t="s">
        <v>698</v>
      </c>
      <c r="AG22" s="17" t="s">
        <v>764</v>
      </c>
      <c r="AH22" s="33"/>
      <c r="AI22" s="2" t="s">
        <v>734</v>
      </c>
      <c r="AJ22" s="17"/>
      <c r="AK22" s="2" t="s">
        <v>418</v>
      </c>
      <c r="AL22" s="17" t="s">
        <v>418</v>
      </c>
      <c r="AM22" s="33"/>
      <c r="AN22" s="4"/>
      <c r="AO22" s="17"/>
      <c r="AP22" s="2"/>
      <c r="AQ22" s="17"/>
      <c r="AR22" s="33"/>
      <c r="AS22" s="2" t="s">
        <v>733</v>
      </c>
      <c r="AT22" s="16"/>
      <c r="AU22" s="2" t="s">
        <v>418</v>
      </c>
      <c r="AV22" s="16" t="s">
        <v>418</v>
      </c>
      <c r="AW22" s="33"/>
      <c r="AX22" s="2" t="s">
        <v>324</v>
      </c>
      <c r="AY22" s="16" t="s">
        <v>867</v>
      </c>
      <c r="AZ22" s="2" t="s">
        <v>685</v>
      </c>
      <c r="BA22" s="46" t="s">
        <v>890</v>
      </c>
      <c r="BB22" s="10" t="s">
        <v>3</v>
      </c>
      <c r="BC22" s="45" t="s">
        <v>3</v>
      </c>
      <c r="BD22" s="2" t="s">
        <v>325</v>
      </c>
      <c r="BE22" s="16" t="s">
        <v>808</v>
      </c>
      <c r="BF22" s="2" t="s">
        <v>671</v>
      </c>
      <c r="BG22" s="16" t="s">
        <v>823</v>
      </c>
      <c r="BH22" s="2" t="s">
        <v>326</v>
      </c>
      <c r="BI22" s="16" t="s">
        <v>387</v>
      </c>
      <c r="BJ22" s="2" t="s">
        <v>327</v>
      </c>
    </row>
    <row r="23" spans="1:62" ht="15">
      <c r="A23" s="1">
        <v>22</v>
      </c>
      <c r="B23" s="1" t="s">
        <v>83</v>
      </c>
      <c r="C23" s="1" t="s">
        <v>84</v>
      </c>
      <c r="D23" s="2" t="s">
        <v>85</v>
      </c>
      <c r="E23" s="1"/>
      <c r="F23" s="2"/>
      <c r="G23" s="2">
        <v>1600</v>
      </c>
      <c r="H23" s="17">
        <f t="shared" si="0"/>
        <v>1600</v>
      </c>
      <c r="I23" s="8">
        <v>360</v>
      </c>
      <c r="J23" s="19">
        <f t="shared" si="3"/>
        <v>360</v>
      </c>
      <c r="K23" s="21">
        <f t="shared" si="1"/>
        <v>22.5</v>
      </c>
      <c r="L23" s="21" t="str">
        <f t="shared" si="2"/>
        <v>Yes</v>
      </c>
      <c r="M23" s="33"/>
      <c r="N23" s="2" t="s">
        <v>278</v>
      </c>
      <c r="O23" s="18" t="s">
        <v>752</v>
      </c>
      <c r="P23" s="2" t="s">
        <v>213</v>
      </c>
      <c r="Q23" s="16" t="s">
        <v>423</v>
      </c>
      <c r="R23" s="2"/>
      <c r="S23" s="17"/>
      <c r="T23" s="33"/>
      <c r="U23" s="2" t="s">
        <v>376</v>
      </c>
      <c r="V23" s="17"/>
      <c r="W23" s="2" t="s">
        <v>376</v>
      </c>
      <c r="X23" s="17"/>
      <c r="Y23" s="2" t="s">
        <v>376</v>
      </c>
      <c r="Z23" s="16"/>
      <c r="AA23" s="33"/>
      <c r="AB23" s="2" t="s">
        <v>328</v>
      </c>
      <c r="AC23" s="17" t="s">
        <v>752</v>
      </c>
      <c r="AD23" s="2" t="s">
        <v>213</v>
      </c>
      <c r="AE23" s="17" t="s">
        <v>423</v>
      </c>
      <c r="AF23" s="2"/>
      <c r="AG23" s="17"/>
      <c r="AH23" s="33"/>
      <c r="AI23" s="2" t="s">
        <v>329</v>
      </c>
      <c r="AJ23" s="17" t="s">
        <v>798</v>
      </c>
      <c r="AK23" s="2" t="s">
        <v>418</v>
      </c>
      <c r="AL23" s="17" t="s">
        <v>418</v>
      </c>
      <c r="AM23" s="33"/>
      <c r="AN23" s="2" t="s">
        <v>376</v>
      </c>
      <c r="AO23" s="17"/>
      <c r="AP23" s="2" t="s">
        <v>376</v>
      </c>
      <c r="AQ23" s="17"/>
      <c r="AR23" s="33"/>
      <c r="AS23" s="5">
        <v>42840</v>
      </c>
      <c r="AT23" s="48" t="s">
        <v>798</v>
      </c>
      <c r="AU23" s="2"/>
      <c r="AV23" s="16"/>
      <c r="AW23" s="33"/>
      <c r="AX23" s="2" t="s">
        <v>330</v>
      </c>
      <c r="AY23" s="16" t="s">
        <v>850</v>
      </c>
      <c r="AZ23" s="2" t="s">
        <v>331</v>
      </c>
      <c r="BA23" s="16" t="s">
        <v>891</v>
      </c>
      <c r="BB23" s="2" t="s">
        <v>3</v>
      </c>
      <c r="BC23" s="16" t="s">
        <v>3</v>
      </c>
      <c r="BD23" s="2" t="s">
        <v>332</v>
      </c>
      <c r="BE23" s="16" t="s">
        <v>809</v>
      </c>
      <c r="BF23" s="2" t="s">
        <v>403</v>
      </c>
      <c r="BG23" s="16" t="s">
        <v>403</v>
      </c>
      <c r="BH23" s="2"/>
      <c r="BI23" s="16"/>
      <c r="BJ23" s="2" t="s">
        <v>333</v>
      </c>
    </row>
    <row r="24" spans="1:62" ht="30">
      <c r="A24" s="1">
        <v>23</v>
      </c>
      <c r="B24" s="1" t="s">
        <v>86</v>
      </c>
      <c r="C24" s="1" t="s">
        <v>87</v>
      </c>
      <c r="D24" s="2" t="s">
        <v>85</v>
      </c>
      <c r="E24" s="1"/>
      <c r="F24" s="2" t="s">
        <v>197</v>
      </c>
      <c r="G24" s="2">
        <v>4000</v>
      </c>
      <c r="H24" s="17">
        <f t="shared" si="0"/>
        <v>4000</v>
      </c>
      <c r="I24" s="8">
        <v>1000</v>
      </c>
      <c r="J24" s="19">
        <f t="shared" si="3"/>
        <v>1000</v>
      </c>
      <c r="K24" s="21">
        <f t="shared" si="1"/>
        <v>25</v>
      </c>
      <c r="L24" s="21" t="str">
        <f t="shared" si="2"/>
        <v>Yes</v>
      </c>
      <c r="M24" s="33"/>
      <c r="N24" s="5">
        <v>42962</v>
      </c>
      <c r="O24" s="18" t="s">
        <v>752</v>
      </c>
      <c r="P24" s="2" t="s">
        <v>655</v>
      </c>
      <c r="Q24" s="16" t="s">
        <v>423</v>
      </c>
      <c r="R24" s="2" t="s">
        <v>314</v>
      </c>
      <c r="S24" s="17" t="s">
        <v>764</v>
      </c>
      <c r="T24" s="33"/>
      <c r="U24" s="2"/>
      <c r="V24" s="17"/>
      <c r="W24" s="2"/>
      <c r="X24" s="17"/>
      <c r="Y24" s="2"/>
      <c r="Z24" s="16"/>
      <c r="AA24" s="33"/>
      <c r="AB24" s="2" t="s">
        <v>334</v>
      </c>
      <c r="AC24" s="17" t="s">
        <v>752</v>
      </c>
      <c r="AD24" s="2" t="s">
        <v>656</v>
      </c>
      <c r="AE24" s="17" t="s">
        <v>423</v>
      </c>
      <c r="AF24" s="2" t="s">
        <v>335</v>
      </c>
      <c r="AG24" s="17" t="s">
        <v>764</v>
      </c>
      <c r="AH24" s="33"/>
      <c r="AI24" s="2" t="s">
        <v>336</v>
      </c>
      <c r="AJ24" s="17" t="s">
        <v>798</v>
      </c>
      <c r="AK24" s="2" t="s">
        <v>418</v>
      </c>
      <c r="AL24" s="17" t="s">
        <v>418</v>
      </c>
      <c r="AM24" s="33"/>
      <c r="AN24" s="2"/>
      <c r="AO24" s="17"/>
      <c r="AP24" s="2"/>
      <c r="AQ24" s="17"/>
      <c r="AR24" s="33"/>
      <c r="AS24" s="2" t="s">
        <v>337</v>
      </c>
      <c r="AT24" s="16" t="s">
        <v>797</v>
      </c>
      <c r="AU24" s="2" t="s">
        <v>418</v>
      </c>
      <c r="AV24" s="16" t="s">
        <v>418</v>
      </c>
      <c r="AW24" s="33"/>
      <c r="AX24" s="2" t="s">
        <v>338</v>
      </c>
      <c r="AY24" s="16" t="s">
        <v>863</v>
      </c>
      <c r="AZ24" s="2"/>
      <c r="BA24" s="16"/>
      <c r="BB24" s="2" t="s">
        <v>3</v>
      </c>
      <c r="BC24" s="16" t="s">
        <v>3</v>
      </c>
      <c r="BD24" s="2" t="s">
        <v>242</v>
      </c>
      <c r="BE24" s="16" t="s">
        <v>813</v>
      </c>
      <c r="BF24" s="2" t="s">
        <v>605</v>
      </c>
      <c r="BG24" s="16" t="s">
        <v>819</v>
      </c>
      <c r="BH24" s="2"/>
      <c r="BI24" s="16"/>
      <c r="BJ24" s="2"/>
    </row>
    <row r="25" spans="1:62" ht="105">
      <c r="A25" s="1">
        <v>24</v>
      </c>
      <c r="B25" s="1" t="s">
        <v>88</v>
      </c>
      <c r="C25" s="1" t="s">
        <v>89</v>
      </c>
      <c r="D25" s="2" t="s">
        <v>90</v>
      </c>
      <c r="E25" s="1" t="s">
        <v>36</v>
      </c>
      <c r="F25" s="2" t="s">
        <v>197</v>
      </c>
      <c r="G25" s="2">
        <v>900</v>
      </c>
      <c r="H25" s="17">
        <f t="shared" si="0"/>
        <v>900</v>
      </c>
      <c r="I25" s="8">
        <v>350</v>
      </c>
      <c r="J25" s="19">
        <f t="shared" si="3"/>
        <v>350</v>
      </c>
      <c r="K25" s="21">
        <f t="shared" si="1"/>
        <v>38.888888888888893</v>
      </c>
      <c r="L25" s="21" t="str">
        <f t="shared" si="2"/>
        <v>Yes</v>
      </c>
      <c r="M25" s="33"/>
      <c r="N25" s="2" t="s">
        <v>339</v>
      </c>
      <c r="O25" s="18" t="s">
        <v>752</v>
      </c>
      <c r="P25" s="2" t="s">
        <v>554</v>
      </c>
      <c r="Q25" s="16" t="s">
        <v>423</v>
      </c>
      <c r="R25" s="2" t="s">
        <v>343</v>
      </c>
      <c r="S25" s="17" t="s">
        <v>764</v>
      </c>
      <c r="T25" s="33"/>
      <c r="U25" s="2" t="s">
        <v>376</v>
      </c>
      <c r="V25" s="17"/>
      <c r="W25" s="2" t="s">
        <v>376</v>
      </c>
      <c r="X25" s="17"/>
      <c r="Y25" s="2" t="s">
        <v>376</v>
      </c>
      <c r="Z25" s="16"/>
      <c r="AA25" s="33"/>
      <c r="AB25" s="2" t="s">
        <v>340</v>
      </c>
      <c r="AC25" s="17" t="s">
        <v>752</v>
      </c>
      <c r="AD25" s="2" t="s">
        <v>654</v>
      </c>
      <c r="AE25" s="17" t="s">
        <v>423</v>
      </c>
      <c r="AF25" s="2" t="s">
        <v>344</v>
      </c>
      <c r="AG25" s="17" t="s">
        <v>764</v>
      </c>
      <c r="AH25" s="33"/>
      <c r="AI25" s="2" t="s">
        <v>341</v>
      </c>
      <c r="AJ25" s="17" t="s">
        <v>798</v>
      </c>
      <c r="AK25" s="2" t="s">
        <v>418</v>
      </c>
      <c r="AL25" s="17" t="s">
        <v>418</v>
      </c>
      <c r="AM25" s="33"/>
      <c r="AN25" s="2" t="s">
        <v>376</v>
      </c>
      <c r="AO25" s="17"/>
      <c r="AP25" s="2" t="s">
        <v>376</v>
      </c>
      <c r="AQ25" s="17"/>
      <c r="AR25" s="33"/>
      <c r="AS25" s="2" t="s">
        <v>342</v>
      </c>
      <c r="AT25" s="16" t="s">
        <v>309</v>
      </c>
      <c r="AU25" s="2" t="s">
        <v>418</v>
      </c>
      <c r="AV25" s="16" t="s">
        <v>418</v>
      </c>
      <c r="AW25" s="33"/>
      <c r="AX25" s="2" t="s">
        <v>345</v>
      </c>
      <c r="AY25" s="16" t="s">
        <v>847</v>
      </c>
      <c r="AZ25" s="2" t="s">
        <v>346</v>
      </c>
      <c r="BA25" s="16"/>
      <c r="BB25" s="2" t="s">
        <v>3</v>
      </c>
      <c r="BC25" s="16" t="s">
        <v>3</v>
      </c>
      <c r="BD25" s="2" t="s">
        <v>347</v>
      </c>
      <c r="BE25" s="16" t="s">
        <v>809</v>
      </c>
      <c r="BF25" s="2" t="s">
        <v>672</v>
      </c>
      <c r="BG25" s="16" t="s">
        <v>819</v>
      </c>
      <c r="BH25" s="2" t="s">
        <v>667</v>
      </c>
      <c r="BI25" s="16" t="s">
        <v>606</v>
      </c>
      <c r="BJ25" s="2" t="s">
        <v>348</v>
      </c>
    </row>
    <row r="26" spans="1:62" ht="30">
      <c r="A26" s="1">
        <v>25</v>
      </c>
      <c r="B26" s="1" t="s">
        <v>91</v>
      </c>
      <c r="C26" s="1" t="s">
        <v>92</v>
      </c>
      <c r="D26" s="2" t="s">
        <v>6</v>
      </c>
      <c r="E26" s="1" t="s">
        <v>687</v>
      </c>
      <c r="F26" s="2" t="s">
        <v>201</v>
      </c>
      <c r="G26" s="2">
        <v>400</v>
      </c>
      <c r="H26" s="17">
        <f t="shared" si="0"/>
        <v>400</v>
      </c>
      <c r="I26" s="8">
        <v>400</v>
      </c>
      <c r="J26" s="19">
        <f t="shared" si="3"/>
        <v>400</v>
      </c>
      <c r="K26" s="21">
        <f t="shared" si="1"/>
        <v>100</v>
      </c>
      <c r="L26" s="21" t="str">
        <f t="shared" si="2"/>
        <v>Yes</v>
      </c>
      <c r="M26" s="33"/>
      <c r="N26" s="2" t="s">
        <v>244</v>
      </c>
      <c r="O26" s="18" t="s">
        <v>363</v>
      </c>
      <c r="P26" s="2" t="s">
        <v>245</v>
      </c>
      <c r="Q26" s="16" t="s">
        <v>245</v>
      </c>
      <c r="R26" s="2" t="s">
        <v>364</v>
      </c>
      <c r="S26" s="17" t="s">
        <v>364</v>
      </c>
      <c r="T26" s="33"/>
      <c r="U26" s="2" t="s">
        <v>376</v>
      </c>
      <c r="V26" s="17"/>
      <c r="W26" s="2" t="s">
        <v>376</v>
      </c>
      <c r="X26" s="17"/>
      <c r="Y26" s="2" t="s">
        <v>376</v>
      </c>
      <c r="Z26" s="16"/>
      <c r="AA26" s="33"/>
      <c r="AB26" s="2" t="s">
        <v>244</v>
      </c>
      <c r="AC26" s="17" t="s">
        <v>363</v>
      </c>
      <c r="AD26" s="2" t="s">
        <v>245</v>
      </c>
      <c r="AE26" s="17" t="s">
        <v>245</v>
      </c>
      <c r="AF26" s="2" t="s">
        <v>349</v>
      </c>
      <c r="AG26" s="17"/>
      <c r="AH26" s="33"/>
      <c r="AI26" s="2" t="s">
        <v>350</v>
      </c>
      <c r="AJ26" s="17" t="s">
        <v>797</v>
      </c>
      <c r="AK26" s="2" t="s">
        <v>351</v>
      </c>
      <c r="AL26" s="17" t="s">
        <v>418</v>
      </c>
      <c r="AM26" s="33"/>
      <c r="AN26" s="2" t="s">
        <v>376</v>
      </c>
      <c r="AO26" s="17"/>
      <c r="AP26" s="2" t="s">
        <v>376</v>
      </c>
      <c r="AQ26" s="17"/>
      <c r="AR26" s="33"/>
      <c r="AS26" s="2" t="s">
        <v>352</v>
      </c>
      <c r="AT26" s="16" t="s">
        <v>797</v>
      </c>
      <c r="AU26" s="2"/>
      <c r="AV26" s="16"/>
      <c r="AW26" s="33"/>
      <c r="AX26" s="2" t="s">
        <v>353</v>
      </c>
      <c r="AY26" s="16"/>
      <c r="AZ26" s="2" t="s">
        <v>354</v>
      </c>
      <c r="BA26" s="16"/>
      <c r="BB26" s="2" t="s">
        <v>3</v>
      </c>
      <c r="BC26" s="16" t="s">
        <v>3</v>
      </c>
      <c r="BD26" s="2" t="s">
        <v>355</v>
      </c>
      <c r="BE26" s="16" t="s">
        <v>808</v>
      </c>
      <c r="BF26" s="2" t="s">
        <v>403</v>
      </c>
      <c r="BG26" s="16" t="s">
        <v>403</v>
      </c>
      <c r="BH26" s="2"/>
      <c r="BI26" s="16"/>
      <c r="BJ26" s="2" t="s">
        <v>356</v>
      </c>
    </row>
    <row r="27" spans="1:62" ht="30">
      <c r="A27" s="1">
        <v>26</v>
      </c>
      <c r="B27" s="1" t="s">
        <v>93</v>
      </c>
      <c r="C27" s="1" t="s">
        <v>94</v>
      </c>
      <c r="D27" s="2" t="s">
        <v>28</v>
      </c>
      <c r="E27" s="1" t="s">
        <v>687</v>
      </c>
      <c r="F27" s="2" t="s">
        <v>202</v>
      </c>
      <c r="G27" s="2">
        <v>500</v>
      </c>
      <c r="H27" s="17">
        <f t="shared" si="0"/>
        <v>500</v>
      </c>
      <c r="I27" s="8">
        <v>20</v>
      </c>
      <c r="J27" s="19">
        <f t="shared" si="3"/>
        <v>20</v>
      </c>
      <c r="K27" s="21">
        <f t="shared" si="1"/>
        <v>4</v>
      </c>
      <c r="L27" s="21" t="str">
        <f t="shared" si="2"/>
        <v>Yes</v>
      </c>
      <c r="M27" s="33"/>
      <c r="N27" s="2" t="s">
        <v>357</v>
      </c>
      <c r="O27" s="18" t="s">
        <v>363</v>
      </c>
      <c r="P27" s="2" t="s">
        <v>358</v>
      </c>
      <c r="Q27" s="16" t="s">
        <v>245</v>
      </c>
      <c r="R27" s="2" t="s">
        <v>359</v>
      </c>
      <c r="S27" s="17" t="s">
        <v>764</v>
      </c>
      <c r="T27" s="33"/>
      <c r="U27" s="2"/>
      <c r="V27" s="17"/>
      <c r="W27" s="2"/>
      <c r="X27" s="17"/>
      <c r="Y27" s="2"/>
      <c r="Z27" s="16"/>
      <c r="AA27" s="33"/>
      <c r="AB27" s="2"/>
      <c r="AC27" s="17"/>
      <c r="AD27" s="2"/>
      <c r="AE27" s="17"/>
      <c r="AF27" s="2"/>
      <c r="AG27" s="17"/>
      <c r="AH27" s="33"/>
      <c r="AI27" s="2" t="s">
        <v>360</v>
      </c>
      <c r="AJ27" s="17"/>
      <c r="AK27" s="2"/>
      <c r="AL27" s="17"/>
      <c r="AM27" s="33"/>
      <c r="AN27" s="2"/>
      <c r="AO27" s="17"/>
      <c r="AP27" s="2"/>
      <c r="AQ27" s="17"/>
      <c r="AR27" s="33"/>
      <c r="AS27" s="2"/>
      <c r="AT27" s="16"/>
      <c r="AU27" s="2"/>
      <c r="AV27" s="16"/>
      <c r="AW27" s="33"/>
      <c r="AX27" s="2"/>
      <c r="AY27" s="16"/>
      <c r="AZ27" s="2" t="s">
        <v>361</v>
      </c>
      <c r="BA27" s="16" t="s">
        <v>889</v>
      </c>
      <c r="BB27" s="2" t="s">
        <v>3</v>
      </c>
      <c r="BC27" s="16" t="s">
        <v>3</v>
      </c>
      <c r="BD27" s="2" t="s">
        <v>362</v>
      </c>
      <c r="BE27" s="16" t="s">
        <v>809</v>
      </c>
      <c r="BF27" s="2" t="s">
        <v>403</v>
      </c>
      <c r="BG27" s="16" t="s">
        <v>403</v>
      </c>
      <c r="BH27" s="2" t="s">
        <v>606</v>
      </c>
      <c r="BI27" s="16" t="s">
        <v>606</v>
      </c>
      <c r="BJ27" s="2"/>
    </row>
    <row r="28" spans="1:62" ht="30">
      <c r="A28" s="1">
        <v>27</v>
      </c>
      <c r="B28" s="1" t="s">
        <v>95</v>
      </c>
      <c r="C28" s="1" t="s">
        <v>96</v>
      </c>
      <c r="D28" s="2" t="s">
        <v>21</v>
      </c>
      <c r="E28" s="1" t="s">
        <v>36</v>
      </c>
      <c r="F28" s="2" t="s">
        <v>197</v>
      </c>
      <c r="G28" s="2">
        <v>2000</v>
      </c>
      <c r="H28" s="17">
        <f t="shared" si="0"/>
        <v>2000</v>
      </c>
      <c r="I28" s="8">
        <v>140</v>
      </c>
      <c r="J28" s="19">
        <f t="shared" si="3"/>
        <v>140</v>
      </c>
      <c r="K28" s="21">
        <f t="shared" si="1"/>
        <v>7.0000000000000009</v>
      </c>
      <c r="L28" s="21" t="str">
        <f t="shared" si="2"/>
        <v>Yes</v>
      </c>
      <c r="M28" s="33"/>
      <c r="N28" s="2" t="s">
        <v>363</v>
      </c>
      <c r="O28" s="18" t="s">
        <v>363</v>
      </c>
      <c r="P28" s="2" t="s">
        <v>245</v>
      </c>
      <c r="Q28" s="16" t="s">
        <v>245</v>
      </c>
      <c r="R28" s="2" t="s">
        <v>364</v>
      </c>
      <c r="S28" s="17" t="s">
        <v>364</v>
      </c>
      <c r="T28" s="33"/>
      <c r="U28" s="2"/>
      <c r="V28" s="17"/>
      <c r="W28" s="2"/>
      <c r="X28" s="17"/>
      <c r="Y28" s="2"/>
      <c r="Z28" s="16"/>
      <c r="AA28" s="33"/>
      <c r="AB28" s="2" t="s">
        <v>363</v>
      </c>
      <c r="AC28" s="17" t="s">
        <v>363</v>
      </c>
      <c r="AD28" s="2" t="s">
        <v>245</v>
      </c>
      <c r="AE28" s="17" t="s">
        <v>245</v>
      </c>
      <c r="AF28" s="2" t="s">
        <v>383</v>
      </c>
      <c r="AG28" s="17" t="s">
        <v>364</v>
      </c>
      <c r="AH28" s="33"/>
      <c r="AI28" s="2" t="s">
        <v>329</v>
      </c>
      <c r="AJ28" s="17" t="s">
        <v>798</v>
      </c>
      <c r="AK28" s="2" t="s">
        <v>418</v>
      </c>
      <c r="AL28" s="17" t="s">
        <v>418</v>
      </c>
      <c r="AM28" s="33"/>
      <c r="AN28" s="2"/>
      <c r="AO28" s="17"/>
      <c r="AP28" s="2"/>
      <c r="AQ28" s="17"/>
      <c r="AR28" s="33"/>
      <c r="AS28" s="2" t="s">
        <v>329</v>
      </c>
      <c r="AT28" s="16" t="s">
        <v>798</v>
      </c>
      <c r="AU28" s="2" t="s">
        <v>418</v>
      </c>
      <c r="AV28" s="16" t="s">
        <v>418</v>
      </c>
      <c r="AW28" s="33"/>
      <c r="AX28" s="2" t="s">
        <v>365</v>
      </c>
      <c r="AY28" s="16"/>
      <c r="AZ28" s="2" t="s">
        <v>366</v>
      </c>
      <c r="BA28" s="16" t="s">
        <v>889</v>
      </c>
      <c r="BB28" s="2"/>
      <c r="BC28" s="16"/>
      <c r="BD28" s="2"/>
      <c r="BE28" s="16"/>
      <c r="BF28" s="2" t="s">
        <v>403</v>
      </c>
      <c r="BG28" s="16" t="s">
        <v>403</v>
      </c>
      <c r="BH28" s="2"/>
      <c r="BI28" s="16"/>
      <c r="BJ28" s="2" t="s">
        <v>367</v>
      </c>
    </row>
    <row r="29" spans="1:62" ht="30">
      <c r="A29" s="1">
        <v>28</v>
      </c>
      <c r="B29" s="1" t="s">
        <v>97</v>
      </c>
      <c r="C29" s="1" t="s">
        <v>98</v>
      </c>
      <c r="D29" s="2" t="s">
        <v>99</v>
      </c>
      <c r="E29" s="1" t="s">
        <v>36</v>
      </c>
      <c r="F29" s="2" t="s">
        <v>197</v>
      </c>
      <c r="G29" s="6">
        <v>20000</v>
      </c>
      <c r="H29" s="17">
        <f t="shared" si="0"/>
        <v>20000</v>
      </c>
      <c r="I29" s="8">
        <v>2000</v>
      </c>
      <c r="J29" s="19">
        <f t="shared" si="3"/>
        <v>2000</v>
      </c>
      <c r="K29" s="21">
        <f t="shared" si="1"/>
        <v>10</v>
      </c>
      <c r="L29" s="21" t="str">
        <f t="shared" si="2"/>
        <v>Yes</v>
      </c>
      <c r="M29" s="33"/>
      <c r="N29" s="2"/>
      <c r="O29" s="18"/>
      <c r="P29" s="2" t="s">
        <v>657</v>
      </c>
      <c r="Q29" s="16" t="s">
        <v>756</v>
      </c>
      <c r="R29" s="2" t="s">
        <v>699</v>
      </c>
      <c r="S29" s="17" t="s">
        <v>764</v>
      </c>
      <c r="T29" s="33"/>
      <c r="U29" s="2" t="s">
        <v>368</v>
      </c>
      <c r="V29" s="17" t="s">
        <v>597</v>
      </c>
      <c r="W29" s="4" t="s">
        <v>652</v>
      </c>
      <c r="X29" s="17" t="s">
        <v>756</v>
      </c>
      <c r="Y29" s="2" t="s">
        <v>369</v>
      </c>
      <c r="Z29" s="16" t="s">
        <v>764</v>
      </c>
      <c r="AA29" s="33"/>
      <c r="AB29" s="2" t="s">
        <v>370</v>
      </c>
      <c r="AC29" s="17" t="s">
        <v>752</v>
      </c>
      <c r="AD29" s="2" t="s">
        <v>423</v>
      </c>
      <c r="AE29" s="17" t="s">
        <v>423</v>
      </c>
      <c r="AF29" s="2" t="s">
        <v>371</v>
      </c>
      <c r="AG29" s="17" t="s">
        <v>764</v>
      </c>
      <c r="AH29" s="33"/>
      <c r="AI29" s="2" t="s">
        <v>372</v>
      </c>
      <c r="AJ29" s="17" t="s">
        <v>798</v>
      </c>
      <c r="AK29" s="2" t="s">
        <v>418</v>
      </c>
      <c r="AL29" s="17" t="s">
        <v>418</v>
      </c>
      <c r="AM29" s="33"/>
      <c r="AN29" s="2" t="s">
        <v>376</v>
      </c>
      <c r="AO29" s="17"/>
      <c r="AP29" s="2" t="s">
        <v>376</v>
      </c>
      <c r="AQ29" s="17"/>
      <c r="AR29" s="33"/>
      <c r="AS29" s="2" t="s">
        <v>373</v>
      </c>
      <c r="AT29" s="16" t="s">
        <v>798</v>
      </c>
      <c r="AU29" s="2" t="s">
        <v>418</v>
      </c>
      <c r="AV29" s="16" t="s">
        <v>418</v>
      </c>
      <c r="AW29" s="33"/>
      <c r="AX29" s="2" t="s">
        <v>374</v>
      </c>
      <c r="AY29" s="16" t="s">
        <v>851</v>
      </c>
      <c r="AZ29" s="2"/>
      <c r="BA29" s="16"/>
      <c r="BB29" s="2" t="s">
        <v>3</v>
      </c>
      <c r="BC29" s="16" t="s">
        <v>3</v>
      </c>
      <c r="BD29" s="2" t="s">
        <v>5</v>
      </c>
      <c r="BE29" s="16" t="s">
        <v>809</v>
      </c>
      <c r="BF29" s="2" t="s">
        <v>673</v>
      </c>
      <c r="BG29" s="16" t="s">
        <v>819</v>
      </c>
      <c r="BH29" s="2" t="s">
        <v>333</v>
      </c>
      <c r="BI29" s="16" t="s">
        <v>834</v>
      </c>
      <c r="BJ29" s="2" t="s">
        <v>375</v>
      </c>
    </row>
    <row r="30" spans="1:62" ht="15">
      <c r="A30" s="1">
        <v>29</v>
      </c>
      <c r="B30" s="1" t="s">
        <v>102</v>
      </c>
      <c r="C30" s="1"/>
      <c r="D30" s="2" t="s">
        <v>15</v>
      </c>
      <c r="E30" s="1"/>
      <c r="F30" s="2" t="s">
        <v>197</v>
      </c>
      <c r="G30" s="2">
        <v>320</v>
      </c>
      <c r="H30" s="17">
        <f t="shared" si="0"/>
        <v>320</v>
      </c>
      <c r="I30" s="8">
        <v>80</v>
      </c>
      <c r="J30" s="19">
        <f t="shared" si="3"/>
        <v>80</v>
      </c>
      <c r="K30" s="21">
        <f t="shared" si="1"/>
        <v>25</v>
      </c>
      <c r="L30" s="21" t="str">
        <f t="shared" si="2"/>
        <v>Yes</v>
      </c>
      <c r="M30" s="33"/>
      <c r="N30" s="2" t="s">
        <v>363</v>
      </c>
      <c r="O30" s="18" t="s">
        <v>363</v>
      </c>
      <c r="P30" s="2" t="s">
        <v>245</v>
      </c>
      <c r="Q30" s="16" t="s">
        <v>245</v>
      </c>
      <c r="R30" s="2" t="s">
        <v>364</v>
      </c>
      <c r="S30" s="17" t="s">
        <v>364</v>
      </c>
      <c r="T30" s="33"/>
      <c r="U30" s="2" t="s">
        <v>376</v>
      </c>
      <c r="V30" s="17"/>
      <c r="W30" s="2" t="s">
        <v>376</v>
      </c>
      <c r="X30" s="17"/>
      <c r="Y30" s="2" t="s">
        <v>376</v>
      </c>
      <c r="Z30" s="16"/>
      <c r="AA30" s="33"/>
      <c r="AB30" s="2" t="s">
        <v>376</v>
      </c>
      <c r="AC30" s="17"/>
      <c r="AD30" s="2" t="s">
        <v>376</v>
      </c>
      <c r="AE30" s="17"/>
      <c r="AF30" s="2" t="s">
        <v>376</v>
      </c>
      <c r="AG30" s="17"/>
      <c r="AH30" s="33"/>
      <c r="AI30" s="2" t="s">
        <v>377</v>
      </c>
      <c r="AJ30" s="17"/>
      <c r="AK30" s="2" t="s">
        <v>418</v>
      </c>
      <c r="AL30" s="17" t="s">
        <v>418</v>
      </c>
      <c r="AM30" s="33"/>
      <c r="AN30" s="2" t="s">
        <v>376</v>
      </c>
      <c r="AO30" s="17"/>
      <c r="AP30" s="2" t="s">
        <v>376</v>
      </c>
      <c r="AQ30" s="17"/>
      <c r="AR30" s="33"/>
      <c r="AS30" s="2" t="s">
        <v>378</v>
      </c>
      <c r="AT30" s="16"/>
      <c r="AU30" s="2" t="s">
        <v>418</v>
      </c>
      <c r="AV30" s="16" t="s">
        <v>418</v>
      </c>
      <c r="AW30" s="33"/>
      <c r="AX30" s="2" t="s">
        <v>14</v>
      </c>
      <c r="AY30" s="16" t="s">
        <v>14</v>
      </c>
      <c r="AZ30" s="2" t="s">
        <v>379</v>
      </c>
      <c r="BA30" s="16" t="s">
        <v>891</v>
      </c>
      <c r="BB30" s="2" t="s">
        <v>3</v>
      </c>
      <c r="BC30" s="16" t="s">
        <v>3</v>
      </c>
      <c r="BD30" s="2" t="s">
        <v>380</v>
      </c>
      <c r="BE30" s="16" t="s">
        <v>814</v>
      </c>
      <c r="BF30" s="2" t="s">
        <v>674</v>
      </c>
      <c r="BG30" s="16" t="s">
        <v>819</v>
      </c>
      <c r="BH30" s="2" t="s">
        <v>606</v>
      </c>
      <c r="BI30" s="16" t="s">
        <v>606</v>
      </c>
      <c r="BJ30" s="2"/>
    </row>
    <row r="31" spans="1:62" ht="60">
      <c r="A31" s="1">
        <v>30</v>
      </c>
      <c r="B31" s="1" t="s">
        <v>103</v>
      </c>
      <c r="C31" s="1" t="s">
        <v>104</v>
      </c>
      <c r="D31" s="2" t="s">
        <v>27</v>
      </c>
      <c r="E31" s="1" t="s">
        <v>36</v>
      </c>
      <c r="F31" s="2" t="s">
        <v>197</v>
      </c>
      <c r="G31" s="2">
        <v>1600</v>
      </c>
      <c r="H31" s="17">
        <f t="shared" si="0"/>
        <v>1600</v>
      </c>
      <c r="I31" s="8">
        <v>450</v>
      </c>
      <c r="J31" s="19">
        <f t="shared" si="3"/>
        <v>450</v>
      </c>
      <c r="K31" s="21">
        <f t="shared" si="1"/>
        <v>28.125</v>
      </c>
      <c r="L31" s="21" t="str">
        <f t="shared" si="2"/>
        <v>Yes</v>
      </c>
      <c r="M31" s="33"/>
      <c r="N31" s="2" t="s">
        <v>381</v>
      </c>
      <c r="O31" s="18" t="s">
        <v>363</v>
      </c>
      <c r="P31" s="2" t="s">
        <v>245</v>
      </c>
      <c r="Q31" s="16" t="s">
        <v>245</v>
      </c>
      <c r="R31" s="2" t="s">
        <v>383</v>
      </c>
      <c r="S31" s="17" t="s">
        <v>364</v>
      </c>
      <c r="T31" s="33"/>
      <c r="U31" s="2" t="s">
        <v>376</v>
      </c>
      <c r="V31" s="17"/>
      <c r="W31" s="2" t="s">
        <v>376</v>
      </c>
      <c r="X31" s="17"/>
      <c r="Y31" s="2" t="s">
        <v>376</v>
      </c>
      <c r="Z31" s="16"/>
      <c r="AA31" s="33"/>
      <c r="AB31" s="2" t="s">
        <v>382</v>
      </c>
      <c r="AC31" s="17" t="s">
        <v>363</v>
      </c>
      <c r="AD31" s="2" t="s">
        <v>376</v>
      </c>
      <c r="AE31" s="17"/>
      <c r="AF31" s="2" t="s">
        <v>383</v>
      </c>
      <c r="AG31" s="17" t="s">
        <v>364</v>
      </c>
      <c r="AH31" s="33"/>
      <c r="AI31" s="2" t="s">
        <v>384</v>
      </c>
      <c r="AJ31" s="17" t="s">
        <v>798</v>
      </c>
      <c r="AK31" s="2" t="s">
        <v>418</v>
      </c>
      <c r="AL31" s="17" t="s">
        <v>418</v>
      </c>
      <c r="AM31" s="33"/>
      <c r="AN31" s="2" t="s">
        <v>376</v>
      </c>
      <c r="AO31" s="17"/>
      <c r="AP31" s="2" t="s">
        <v>376</v>
      </c>
      <c r="AQ31" s="17"/>
      <c r="AR31" s="33"/>
      <c r="AS31" s="2" t="s">
        <v>385</v>
      </c>
      <c r="AT31" s="16"/>
      <c r="AU31" s="2" t="s">
        <v>376</v>
      </c>
      <c r="AV31" s="16"/>
      <c r="AW31" s="33"/>
      <c r="AX31" s="2" t="s">
        <v>386</v>
      </c>
      <c r="AY31" s="16" t="s">
        <v>849</v>
      </c>
      <c r="AZ31" s="2" t="s">
        <v>376</v>
      </c>
      <c r="BA31" s="16"/>
      <c r="BB31" s="2" t="s">
        <v>3</v>
      </c>
      <c r="BC31" s="16" t="s">
        <v>3</v>
      </c>
      <c r="BD31" s="2" t="s">
        <v>376</v>
      </c>
      <c r="BE31" s="16"/>
      <c r="BF31" s="2" t="s">
        <v>674</v>
      </c>
      <c r="BG31" s="16" t="s">
        <v>819</v>
      </c>
      <c r="BH31" s="2" t="s">
        <v>387</v>
      </c>
      <c r="BI31" s="16" t="s">
        <v>387</v>
      </c>
      <c r="BJ31" s="2" t="s">
        <v>388</v>
      </c>
    </row>
    <row r="32" spans="1:62" ht="30">
      <c r="A32" s="1">
        <v>31</v>
      </c>
      <c r="B32" s="1" t="s">
        <v>105</v>
      </c>
      <c r="C32" s="1" t="s">
        <v>106</v>
      </c>
      <c r="D32" s="2" t="s">
        <v>18</v>
      </c>
      <c r="E32" s="1" t="s">
        <v>687</v>
      </c>
      <c r="F32" s="2" t="s">
        <v>723</v>
      </c>
      <c r="G32" s="2">
        <v>800</v>
      </c>
      <c r="H32" s="17">
        <f t="shared" si="0"/>
        <v>800</v>
      </c>
      <c r="I32" s="8">
        <v>200</v>
      </c>
      <c r="J32" s="19">
        <f t="shared" si="3"/>
        <v>200</v>
      </c>
      <c r="K32" s="21">
        <f t="shared" si="1"/>
        <v>25</v>
      </c>
      <c r="L32" s="21" t="str">
        <f t="shared" si="2"/>
        <v>Yes</v>
      </c>
      <c r="M32" s="33"/>
      <c r="N32" s="2" t="s">
        <v>363</v>
      </c>
      <c r="O32" s="18" t="s">
        <v>363</v>
      </c>
      <c r="P32" s="2" t="s">
        <v>245</v>
      </c>
      <c r="Q32" s="16" t="s">
        <v>245</v>
      </c>
      <c r="R32" s="2" t="s">
        <v>389</v>
      </c>
      <c r="S32" s="17" t="s">
        <v>764</v>
      </c>
      <c r="T32" s="33"/>
      <c r="U32" s="2"/>
      <c r="V32" s="17"/>
      <c r="W32" s="2"/>
      <c r="X32" s="17"/>
      <c r="Y32" s="2"/>
      <c r="Z32" s="16"/>
      <c r="AA32" s="33"/>
      <c r="AB32" s="2" t="s">
        <v>363</v>
      </c>
      <c r="AC32" s="17" t="s">
        <v>363</v>
      </c>
      <c r="AD32" s="2" t="s">
        <v>245</v>
      </c>
      <c r="AE32" s="17" t="s">
        <v>245</v>
      </c>
      <c r="AF32" s="2" t="s">
        <v>390</v>
      </c>
      <c r="AG32" s="17" t="s">
        <v>764</v>
      </c>
      <c r="AH32" s="33"/>
      <c r="AI32" s="2" t="s">
        <v>392</v>
      </c>
      <c r="AJ32" s="17" t="s">
        <v>798</v>
      </c>
      <c r="AK32" s="2" t="s">
        <v>418</v>
      </c>
      <c r="AL32" s="17" t="s">
        <v>418</v>
      </c>
      <c r="AM32" s="33"/>
      <c r="AN32" s="2"/>
      <c r="AO32" s="17"/>
      <c r="AP32" s="2"/>
      <c r="AQ32" s="17"/>
      <c r="AR32" s="33"/>
      <c r="AS32" s="2" t="s">
        <v>391</v>
      </c>
      <c r="AT32" s="16" t="s">
        <v>797</v>
      </c>
      <c r="AU32" s="2" t="s">
        <v>418</v>
      </c>
      <c r="AV32" s="16" t="s">
        <v>418</v>
      </c>
      <c r="AW32" s="33"/>
      <c r="AX32" s="2" t="s">
        <v>393</v>
      </c>
      <c r="AY32" s="16" t="s">
        <v>847</v>
      </c>
      <c r="AZ32" s="2" t="s">
        <v>394</v>
      </c>
      <c r="BA32" s="16"/>
      <c r="BB32" s="2" t="s">
        <v>3</v>
      </c>
      <c r="BC32" s="16" t="s">
        <v>3</v>
      </c>
      <c r="BD32" s="2" t="s">
        <v>383</v>
      </c>
      <c r="BE32" s="16"/>
      <c r="BF32" s="2" t="s">
        <v>395</v>
      </c>
      <c r="BG32" s="16" t="s">
        <v>403</v>
      </c>
      <c r="BH32" s="2" t="s">
        <v>387</v>
      </c>
      <c r="BI32" s="16" t="s">
        <v>387</v>
      </c>
      <c r="BJ32" s="2" t="s">
        <v>396</v>
      </c>
    </row>
    <row r="33" spans="1:62" ht="45">
      <c r="A33" s="1">
        <v>32</v>
      </c>
      <c r="B33" s="1" t="s">
        <v>107</v>
      </c>
      <c r="C33" s="1" t="s">
        <v>108</v>
      </c>
      <c r="D33" s="2" t="s">
        <v>18</v>
      </c>
      <c r="E33" s="1" t="s">
        <v>687</v>
      </c>
      <c r="F33" s="2" t="s">
        <v>197</v>
      </c>
      <c r="G33" s="2">
        <v>1800</v>
      </c>
      <c r="H33" s="17">
        <f t="shared" si="0"/>
        <v>1800</v>
      </c>
      <c r="I33" s="8">
        <v>300</v>
      </c>
      <c r="J33" s="19">
        <f t="shared" si="3"/>
        <v>300</v>
      </c>
      <c r="K33" s="21">
        <f t="shared" si="1"/>
        <v>16.666666666666664</v>
      </c>
      <c r="L33" s="21" t="str">
        <f t="shared" si="2"/>
        <v>Yes</v>
      </c>
      <c r="M33" s="33"/>
      <c r="N33" s="2" t="s">
        <v>363</v>
      </c>
      <c r="O33" s="18" t="s">
        <v>363</v>
      </c>
      <c r="P33" s="2" t="s">
        <v>245</v>
      </c>
      <c r="Q33" s="16" t="s">
        <v>245</v>
      </c>
      <c r="R33" s="2" t="s">
        <v>314</v>
      </c>
      <c r="S33" s="17" t="s">
        <v>764</v>
      </c>
      <c r="T33" s="33"/>
      <c r="U33" s="2"/>
      <c r="V33" s="17"/>
      <c r="W33" s="2"/>
      <c r="X33" s="17"/>
      <c r="Y33" s="2"/>
      <c r="Z33" s="16"/>
      <c r="AA33" s="33"/>
      <c r="AB33" s="2" t="s">
        <v>397</v>
      </c>
      <c r="AC33" s="17" t="s">
        <v>363</v>
      </c>
      <c r="AD33" s="2" t="s">
        <v>245</v>
      </c>
      <c r="AE33" s="17" t="s">
        <v>245</v>
      </c>
      <c r="AF33" s="2" t="s">
        <v>398</v>
      </c>
      <c r="AG33" s="17" t="s">
        <v>764</v>
      </c>
      <c r="AH33" s="33"/>
      <c r="AI33" s="2" t="s">
        <v>399</v>
      </c>
      <c r="AJ33" s="17" t="s">
        <v>798</v>
      </c>
      <c r="AK33" s="2" t="s">
        <v>418</v>
      </c>
      <c r="AL33" s="17" t="s">
        <v>418</v>
      </c>
      <c r="AM33" s="33"/>
      <c r="AN33" s="2"/>
      <c r="AO33" s="17"/>
      <c r="AP33" s="2"/>
      <c r="AQ33" s="17"/>
      <c r="AR33" s="33"/>
      <c r="AS33" s="2" t="s">
        <v>400</v>
      </c>
      <c r="AT33" s="16"/>
      <c r="AU33" s="2" t="s">
        <v>418</v>
      </c>
      <c r="AV33" s="16" t="s">
        <v>418</v>
      </c>
      <c r="AW33" s="33"/>
      <c r="AX33" s="2"/>
      <c r="AY33" s="16" t="s">
        <v>14</v>
      </c>
      <c r="AZ33" s="2" t="s">
        <v>401</v>
      </c>
      <c r="BA33" s="16"/>
      <c r="BB33" s="2" t="s">
        <v>402</v>
      </c>
      <c r="BC33" s="16"/>
      <c r="BD33" s="2" t="s">
        <v>4</v>
      </c>
      <c r="BE33" s="16"/>
      <c r="BF33" s="2" t="s">
        <v>403</v>
      </c>
      <c r="BG33" s="16" t="s">
        <v>403</v>
      </c>
      <c r="BH33" s="2" t="s">
        <v>333</v>
      </c>
      <c r="BI33" s="16" t="s">
        <v>834</v>
      </c>
      <c r="BJ33" s="2"/>
    </row>
    <row r="34" spans="1:62" ht="15">
      <c r="A34" s="1">
        <v>33</v>
      </c>
      <c r="B34" s="1" t="s">
        <v>109</v>
      </c>
      <c r="C34" s="1" t="s">
        <v>110</v>
      </c>
      <c r="D34" s="2" t="s">
        <v>15</v>
      </c>
      <c r="E34" s="1" t="s">
        <v>36</v>
      </c>
      <c r="F34" s="2" t="s">
        <v>197</v>
      </c>
      <c r="G34" s="2">
        <v>1500</v>
      </c>
      <c r="H34" s="17">
        <f t="shared" si="0"/>
        <v>1500</v>
      </c>
      <c r="I34" s="8">
        <v>500</v>
      </c>
      <c r="J34" s="19">
        <f t="shared" si="3"/>
        <v>500</v>
      </c>
      <c r="K34" s="21">
        <f t="shared" si="1"/>
        <v>33.333333333333329</v>
      </c>
      <c r="L34" s="21" t="str">
        <f t="shared" si="2"/>
        <v>Yes</v>
      </c>
      <c r="M34" s="33"/>
      <c r="N34" s="2"/>
      <c r="O34" s="18"/>
      <c r="P34" s="2" t="s">
        <v>404</v>
      </c>
      <c r="Q34" s="16"/>
      <c r="R34" s="2" t="s">
        <v>383</v>
      </c>
      <c r="S34" s="17" t="s">
        <v>364</v>
      </c>
      <c r="T34" s="33"/>
      <c r="U34" s="2"/>
      <c r="V34" s="17"/>
      <c r="W34" s="2"/>
      <c r="X34" s="17"/>
      <c r="Y34" s="2"/>
      <c r="Z34" s="16"/>
      <c r="AA34" s="33"/>
      <c r="AB34" s="2"/>
      <c r="AC34" s="17"/>
      <c r="AD34" s="2"/>
      <c r="AE34" s="17"/>
      <c r="AF34" s="2"/>
      <c r="AG34" s="17"/>
      <c r="AH34" s="33"/>
      <c r="AI34" s="2"/>
      <c r="AJ34" s="17" t="s">
        <v>798</v>
      </c>
      <c r="AK34" s="2"/>
      <c r="AL34" s="17"/>
      <c r="AM34" s="33"/>
      <c r="AN34" s="2"/>
      <c r="AO34" s="17"/>
      <c r="AP34" s="2"/>
      <c r="AQ34" s="17"/>
      <c r="AR34" s="33"/>
      <c r="AS34" s="2" t="s">
        <v>383</v>
      </c>
      <c r="AT34" s="16"/>
      <c r="AU34" s="2" t="s">
        <v>418</v>
      </c>
      <c r="AV34" s="16" t="s">
        <v>418</v>
      </c>
      <c r="AW34" s="33"/>
      <c r="AX34" s="2"/>
      <c r="AY34" s="16"/>
      <c r="AZ34" s="2"/>
      <c r="BA34" s="16"/>
      <c r="BB34" s="2"/>
      <c r="BC34" s="16"/>
      <c r="BD34" s="2"/>
      <c r="BE34" s="16"/>
      <c r="BF34" s="2" t="s">
        <v>253</v>
      </c>
      <c r="BG34" s="16" t="s">
        <v>819</v>
      </c>
      <c r="BH34" s="2"/>
      <c r="BI34" s="16"/>
      <c r="BJ34" s="2"/>
    </row>
    <row r="35" spans="1:62" ht="14.5" customHeight="1">
      <c r="A35" s="1">
        <v>34</v>
      </c>
      <c r="B35" s="1" t="s">
        <v>111</v>
      </c>
      <c r="C35" s="1" t="s">
        <v>112</v>
      </c>
      <c r="D35" s="2" t="s">
        <v>27</v>
      </c>
      <c r="E35" s="1" t="s">
        <v>36</v>
      </c>
      <c r="F35" s="2" t="s">
        <v>197</v>
      </c>
      <c r="G35" s="2">
        <v>1400</v>
      </c>
      <c r="H35" s="17">
        <f t="shared" si="0"/>
        <v>1400</v>
      </c>
      <c r="I35" s="8">
        <v>800</v>
      </c>
      <c r="J35" s="19">
        <f t="shared" si="3"/>
        <v>800</v>
      </c>
      <c r="K35" s="21">
        <f t="shared" si="1"/>
        <v>57.142857142857139</v>
      </c>
      <c r="L35" s="21" t="str">
        <f t="shared" si="2"/>
        <v>Yes</v>
      </c>
      <c r="M35" s="33"/>
      <c r="N35" s="2" t="s">
        <v>405</v>
      </c>
      <c r="O35" s="18" t="s">
        <v>752</v>
      </c>
      <c r="P35" s="2" t="s">
        <v>423</v>
      </c>
      <c r="Q35" s="16" t="s">
        <v>423</v>
      </c>
      <c r="R35" s="2" t="s">
        <v>700</v>
      </c>
      <c r="S35" s="17" t="s">
        <v>766</v>
      </c>
      <c r="T35" s="33"/>
      <c r="U35" s="2"/>
      <c r="V35" s="17"/>
      <c r="W35" s="2"/>
      <c r="X35" s="17"/>
      <c r="Y35" s="2"/>
      <c r="Z35" s="16"/>
      <c r="AA35" s="33"/>
      <c r="AB35" s="2" t="s">
        <v>406</v>
      </c>
      <c r="AC35" s="17" t="s">
        <v>752</v>
      </c>
      <c r="AD35" s="2" t="s">
        <v>423</v>
      </c>
      <c r="AE35" s="17" t="s">
        <v>423</v>
      </c>
      <c r="AF35" s="2" t="s">
        <v>344</v>
      </c>
      <c r="AG35" s="17"/>
      <c r="AH35" s="33"/>
      <c r="AI35" s="2" t="s">
        <v>407</v>
      </c>
      <c r="AJ35" s="17"/>
      <c r="AK35" s="2" t="s">
        <v>418</v>
      </c>
      <c r="AL35" s="17" t="s">
        <v>418</v>
      </c>
      <c r="AM35" s="33"/>
      <c r="AN35" s="2"/>
      <c r="AO35" s="17"/>
      <c r="AP35" s="2"/>
      <c r="AQ35" s="17"/>
      <c r="AR35" s="33"/>
      <c r="AS35" s="2" t="s">
        <v>408</v>
      </c>
      <c r="AT35" s="16" t="s">
        <v>798</v>
      </c>
      <c r="AU35" s="2" t="s">
        <v>418</v>
      </c>
      <c r="AV35" s="16" t="s">
        <v>418</v>
      </c>
      <c r="AW35" s="33"/>
      <c r="AX35" s="2" t="s">
        <v>409</v>
      </c>
      <c r="AY35" s="16" t="s">
        <v>14</v>
      </c>
      <c r="AZ35" s="2" t="s">
        <v>410</v>
      </c>
      <c r="BA35" s="16"/>
      <c r="BB35" s="2" t="s">
        <v>3</v>
      </c>
      <c r="BC35" s="16" t="s">
        <v>3</v>
      </c>
      <c r="BD35" s="2" t="s">
        <v>411</v>
      </c>
      <c r="BE35" s="16" t="s">
        <v>808</v>
      </c>
      <c r="BF35" s="2" t="s">
        <v>253</v>
      </c>
      <c r="BG35" s="16" t="s">
        <v>819</v>
      </c>
      <c r="BH35" s="2" t="s">
        <v>333</v>
      </c>
      <c r="BI35" s="16" t="s">
        <v>834</v>
      </c>
      <c r="BJ35" s="2" t="s">
        <v>412</v>
      </c>
    </row>
    <row r="36" spans="1:62" ht="30">
      <c r="A36" s="1">
        <v>35</v>
      </c>
      <c r="B36" s="1" t="s">
        <v>113</v>
      </c>
      <c r="C36" s="1" t="s">
        <v>114</v>
      </c>
      <c r="D36" s="2" t="s">
        <v>11</v>
      </c>
      <c r="E36" s="1" t="s">
        <v>687</v>
      </c>
      <c r="F36" s="2" t="s">
        <v>197</v>
      </c>
      <c r="G36" s="2">
        <v>5000</v>
      </c>
      <c r="H36" s="17">
        <f t="shared" si="0"/>
        <v>5000</v>
      </c>
      <c r="I36" s="8">
        <v>1500</v>
      </c>
      <c r="J36" s="19">
        <f t="shared" si="3"/>
        <v>1500</v>
      </c>
      <c r="K36" s="21">
        <f t="shared" si="1"/>
        <v>30</v>
      </c>
      <c r="L36" s="21" t="str">
        <f t="shared" si="2"/>
        <v>Yes</v>
      </c>
      <c r="M36" s="33"/>
      <c r="N36" s="2"/>
      <c r="O36" s="18"/>
      <c r="P36" s="2" t="s">
        <v>423</v>
      </c>
      <c r="Q36" s="16" t="s">
        <v>423</v>
      </c>
      <c r="R36" s="2" t="s">
        <v>383</v>
      </c>
      <c r="S36" s="17" t="s">
        <v>364</v>
      </c>
      <c r="T36" s="33"/>
      <c r="U36" s="2"/>
      <c r="V36" s="17"/>
      <c r="W36" s="2" t="s">
        <v>652</v>
      </c>
      <c r="X36" s="17" t="s">
        <v>756</v>
      </c>
      <c r="Y36" s="2" t="s">
        <v>701</v>
      </c>
      <c r="Z36" s="16" t="s">
        <v>764</v>
      </c>
      <c r="AA36" s="33"/>
      <c r="AB36" s="2"/>
      <c r="AC36" s="17"/>
      <c r="AD36" s="2" t="s">
        <v>245</v>
      </c>
      <c r="AE36" s="17" t="s">
        <v>245</v>
      </c>
      <c r="AF36" s="2" t="s">
        <v>383</v>
      </c>
      <c r="AG36" s="17" t="s">
        <v>364</v>
      </c>
      <c r="AH36" s="33"/>
      <c r="AI36" s="2" t="s">
        <v>413</v>
      </c>
      <c r="AJ36" s="17"/>
      <c r="AK36" s="2" t="s">
        <v>418</v>
      </c>
      <c r="AL36" s="17" t="s">
        <v>418</v>
      </c>
      <c r="AM36" s="33"/>
      <c r="AN36" s="2" t="s">
        <v>413</v>
      </c>
      <c r="AO36" s="17"/>
      <c r="AP36" s="2" t="s">
        <v>418</v>
      </c>
      <c r="AQ36" s="17" t="s">
        <v>418</v>
      </c>
      <c r="AR36" s="33"/>
      <c r="AS36" s="2" t="s">
        <v>309</v>
      </c>
      <c r="AT36" s="16" t="s">
        <v>309</v>
      </c>
      <c r="AU36" s="2" t="s">
        <v>418</v>
      </c>
      <c r="AV36" s="16" t="s">
        <v>418</v>
      </c>
      <c r="AW36" s="33"/>
      <c r="AX36" s="2" t="s">
        <v>414</v>
      </c>
      <c r="AY36" s="16" t="s">
        <v>851</v>
      </c>
      <c r="AZ36" s="4" t="s">
        <v>415</v>
      </c>
      <c r="BA36" s="16"/>
      <c r="BB36" s="2" t="s">
        <v>4</v>
      </c>
      <c r="BC36" s="16" t="s">
        <v>4</v>
      </c>
      <c r="BD36" s="2"/>
      <c r="BE36" s="16"/>
      <c r="BF36" s="2" t="s">
        <v>253</v>
      </c>
      <c r="BG36" s="16" t="s">
        <v>819</v>
      </c>
      <c r="BH36" s="2" t="s">
        <v>606</v>
      </c>
      <c r="BI36" s="16" t="s">
        <v>606</v>
      </c>
      <c r="BJ36" s="2" t="s">
        <v>416</v>
      </c>
    </row>
    <row r="37" spans="1:62" ht="30">
      <c r="A37" s="1">
        <v>36</v>
      </c>
      <c r="B37" s="1" t="s">
        <v>115</v>
      </c>
      <c r="C37" s="1" t="s">
        <v>116</v>
      </c>
      <c r="D37" s="2" t="s">
        <v>19</v>
      </c>
      <c r="E37" s="1" t="s">
        <v>36</v>
      </c>
      <c r="F37" s="2" t="s">
        <v>197</v>
      </c>
      <c r="G37" s="2">
        <v>9500</v>
      </c>
      <c r="H37" s="17">
        <f t="shared" si="0"/>
        <v>9500</v>
      </c>
      <c r="I37" s="8">
        <v>2500</v>
      </c>
      <c r="J37" s="19">
        <f t="shared" si="3"/>
        <v>2500</v>
      </c>
      <c r="K37" s="21">
        <f t="shared" si="1"/>
        <v>26.315789473684209</v>
      </c>
      <c r="L37" s="21" t="str">
        <f t="shared" si="2"/>
        <v>Yes</v>
      </c>
      <c r="M37" s="33"/>
      <c r="N37" s="2" t="s">
        <v>363</v>
      </c>
      <c r="O37" s="18" t="s">
        <v>363</v>
      </c>
      <c r="P37" s="2" t="s">
        <v>245</v>
      </c>
      <c r="Q37" s="16" t="s">
        <v>245</v>
      </c>
      <c r="R37" s="2" t="s">
        <v>364</v>
      </c>
      <c r="S37" s="17" t="s">
        <v>364</v>
      </c>
      <c r="T37" s="33"/>
      <c r="U37" s="2"/>
      <c r="V37" s="17"/>
      <c r="W37" s="2"/>
      <c r="X37" s="17"/>
      <c r="Y37" s="2"/>
      <c r="Z37" s="16"/>
      <c r="AA37" s="33"/>
      <c r="AB37" s="2" t="s">
        <v>363</v>
      </c>
      <c r="AC37" s="17" t="s">
        <v>363</v>
      </c>
      <c r="AD37" s="2" t="s">
        <v>245</v>
      </c>
      <c r="AE37" s="17" t="s">
        <v>245</v>
      </c>
      <c r="AF37" s="2" t="s">
        <v>364</v>
      </c>
      <c r="AG37" s="17" t="s">
        <v>364</v>
      </c>
      <c r="AH37" s="33"/>
      <c r="AI37" s="2" t="s">
        <v>417</v>
      </c>
      <c r="AJ37" s="17"/>
      <c r="AK37" s="2" t="s">
        <v>418</v>
      </c>
      <c r="AL37" s="17" t="s">
        <v>418</v>
      </c>
      <c r="AM37" s="33"/>
      <c r="AN37" s="2"/>
      <c r="AO37" s="17"/>
      <c r="AP37" s="2"/>
      <c r="AQ37" s="17"/>
      <c r="AR37" s="33"/>
      <c r="AS37" s="2" t="s">
        <v>419</v>
      </c>
      <c r="AT37" s="16"/>
      <c r="AU37" s="2" t="s">
        <v>418</v>
      </c>
      <c r="AV37" s="16" t="s">
        <v>418</v>
      </c>
      <c r="AW37" s="33"/>
      <c r="AX37" s="2" t="s">
        <v>420</v>
      </c>
      <c r="AY37" s="16" t="s">
        <v>866</v>
      </c>
      <c r="AZ37" s="2" t="s">
        <v>421</v>
      </c>
      <c r="BA37" s="16"/>
      <c r="BB37" s="2"/>
      <c r="BC37" s="16"/>
      <c r="BD37" s="2"/>
      <c r="BE37" s="16"/>
      <c r="BF37" s="2"/>
      <c r="BG37" s="16"/>
      <c r="BH37" s="2"/>
      <c r="BI37" s="16"/>
      <c r="BJ37" s="2"/>
    </row>
    <row r="38" spans="1:62" ht="30">
      <c r="A38" s="1">
        <v>37</v>
      </c>
      <c r="B38" s="1" t="s">
        <v>117</v>
      </c>
      <c r="C38" s="1" t="s">
        <v>118</v>
      </c>
      <c r="D38" s="2" t="s">
        <v>119</v>
      </c>
      <c r="E38" s="1"/>
      <c r="F38" s="2" t="s">
        <v>198</v>
      </c>
      <c r="G38" s="6">
        <v>30000</v>
      </c>
      <c r="H38" s="17">
        <f t="shared" si="0"/>
        <v>30000</v>
      </c>
      <c r="I38" s="8">
        <v>7500</v>
      </c>
      <c r="J38" s="19">
        <f t="shared" si="3"/>
        <v>7500</v>
      </c>
      <c r="K38" s="21">
        <f t="shared" si="1"/>
        <v>25</v>
      </c>
      <c r="L38" s="21" t="str">
        <f t="shared" si="2"/>
        <v>Yes</v>
      </c>
      <c r="M38" s="33"/>
      <c r="N38" s="2" t="s">
        <v>422</v>
      </c>
      <c r="O38" s="18"/>
      <c r="P38" s="2" t="s">
        <v>423</v>
      </c>
      <c r="Q38" s="16" t="s">
        <v>423</v>
      </c>
      <c r="R38" s="2" t="s">
        <v>424</v>
      </c>
      <c r="S38" s="17"/>
      <c r="T38" s="33"/>
      <c r="U38" s="2" t="s">
        <v>425</v>
      </c>
      <c r="V38" s="17" t="s">
        <v>597</v>
      </c>
      <c r="W38" s="2" t="s">
        <v>423</v>
      </c>
      <c r="X38" s="17" t="s">
        <v>423</v>
      </c>
      <c r="Y38" s="2"/>
      <c r="Z38" s="16"/>
      <c r="AA38" s="33"/>
      <c r="AB38" s="2"/>
      <c r="AC38" s="17"/>
      <c r="AD38" s="2" t="s">
        <v>423</v>
      </c>
      <c r="AE38" s="17" t="s">
        <v>423</v>
      </c>
      <c r="AF38" s="2"/>
      <c r="AG38" s="17"/>
      <c r="AH38" s="33"/>
      <c r="AI38" s="2"/>
      <c r="AJ38" s="17"/>
      <c r="AK38" s="2" t="s">
        <v>660</v>
      </c>
      <c r="AL38" s="17" t="s">
        <v>790</v>
      </c>
      <c r="AM38" s="33"/>
      <c r="AN38" s="2" t="s">
        <v>426</v>
      </c>
      <c r="AO38" s="17"/>
      <c r="AP38" s="2"/>
      <c r="AQ38" s="17"/>
      <c r="AR38" s="33"/>
      <c r="AS38" s="2" t="s">
        <v>426</v>
      </c>
      <c r="AT38" s="16"/>
      <c r="AU38" s="2"/>
      <c r="AV38" s="16"/>
      <c r="AW38" s="33"/>
      <c r="AX38" s="2" t="s">
        <v>427</v>
      </c>
      <c r="AY38" s="16"/>
      <c r="AZ38" s="2" t="s">
        <v>612</v>
      </c>
      <c r="BA38" s="16"/>
      <c r="BB38" s="2" t="s">
        <v>3</v>
      </c>
      <c r="BC38" s="16" t="s">
        <v>3</v>
      </c>
      <c r="BD38" s="2" t="s">
        <v>428</v>
      </c>
      <c r="BE38" s="16" t="s">
        <v>807</v>
      </c>
      <c r="BF38" s="2" t="s">
        <v>429</v>
      </c>
      <c r="BG38" s="16" t="s">
        <v>819</v>
      </c>
      <c r="BH38" s="2"/>
      <c r="BI38" s="16"/>
      <c r="BJ38" s="2"/>
    </row>
    <row r="39" spans="1:62" ht="30">
      <c r="A39" s="1">
        <v>38</v>
      </c>
      <c r="B39" s="1" t="s">
        <v>120</v>
      </c>
      <c r="C39" s="1" t="s">
        <v>121</v>
      </c>
      <c r="D39" s="2" t="s">
        <v>15</v>
      </c>
      <c r="E39" s="1" t="s">
        <v>36</v>
      </c>
      <c r="F39" s="2" t="s">
        <v>197</v>
      </c>
      <c r="G39" s="2">
        <v>1800</v>
      </c>
      <c r="H39" s="17">
        <f t="shared" si="0"/>
        <v>1800</v>
      </c>
      <c r="I39" s="8">
        <v>130</v>
      </c>
      <c r="J39" s="19">
        <f t="shared" si="3"/>
        <v>130</v>
      </c>
      <c r="K39" s="21">
        <f t="shared" si="1"/>
        <v>7.2222222222222214</v>
      </c>
      <c r="L39" s="21" t="str">
        <f t="shared" si="2"/>
        <v>Yes</v>
      </c>
      <c r="M39" s="33"/>
      <c r="N39" s="4" t="s">
        <v>363</v>
      </c>
      <c r="O39" s="18" t="s">
        <v>363</v>
      </c>
      <c r="P39" s="2" t="s">
        <v>430</v>
      </c>
      <c r="Q39" s="16" t="s">
        <v>245</v>
      </c>
      <c r="R39" s="2" t="s">
        <v>364</v>
      </c>
      <c r="S39" s="17" t="s">
        <v>364</v>
      </c>
      <c r="T39" s="33"/>
      <c r="U39" s="2" t="s">
        <v>376</v>
      </c>
      <c r="V39" s="17"/>
      <c r="W39" s="2" t="s">
        <v>376</v>
      </c>
      <c r="X39" s="17"/>
      <c r="Y39" s="2" t="s">
        <v>376</v>
      </c>
      <c r="Z39" s="16"/>
      <c r="AA39" s="33"/>
      <c r="AB39" s="2" t="s">
        <v>376</v>
      </c>
      <c r="AC39" s="17"/>
      <c r="AD39" s="2" t="s">
        <v>376</v>
      </c>
      <c r="AE39" s="17"/>
      <c r="AF39" s="2" t="s">
        <v>376</v>
      </c>
      <c r="AG39" s="17"/>
      <c r="AH39" s="33"/>
      <c r="AI39" s="2" t="s">
        <v>376</v>
      </c>
      <c r="AJ39" s="17"/>
      <c r="AK39" s="2" t="s">
        <v>376</v>
      </c>
      <c r="AL39" s="17"/>
      <c r="AM39" s="33"/>
      <c r="AN39" s="2" t="s">
        <v>376</v>
      </c>
      <c r="AO39" s="17"/>
      <c r="AP39" s="2" t="s">
        <v>376</v>
      </c>
      <c r="AQ39" s="17"/>
      <c r="AR39" s="33"/>
      <c r="AS39" s="2" t="s">
        <v>376</v>
      </c>
      <c r="AT39" s="16"/>
      <c r="AU39" s="2" t="s">
        <v>376</v>
      </c>
      <c r="AV39" s="16"/>
      <c r="AW39" s="33"/>
      <c r="AX39" s="2" t="s">
        <v>376</v>
      </c>
      <c r="AY39" s="16"/>
      <c r="AZ39" s="2" t="s">
        <v>668</v>
      </c>
      <c r="BA39" s="16" t="s">
        <v>22</v>
      </c>
      <c r="BB39" s="2"/>
      <c r="BC39" s="16"/>
      <c r="BD39" s="2"/>
      <c r="BE39" s="16"/>
      <c r="BF39" s="2"/>
      <c r="BG39" s="16"/>
      <c r="BH39" s="2"/>
      <c r="BI39" s="16"/>
      <c r="BJ39" s="2" t="s">
        <v>431</v>
      </c>
    </row>
    <row r="40" spans="1:62" ht="30">
      <c r="A40" s="1">
        <v>39</v>
      </c>
      <c r="B40" s="1" t="s">
        <v>122</v>
      </c>
      <c r="C40" s="1" t="s">
        <v>123</v>
      </c>
      <c r="D40" s="2" t="s">
        <v>17</v>
      </c>
      <c r="E40" s="1" t="s">
        <v>36</v>
      </c>
      <c r="F40" s="2" t="s">
        <v>197</v>
      </c>
      <c r="G40" s="2">
        <v>2900</v>
      </c>
      <c r="H40" s="17">
        <f t="shared" si="0"/>
        <v>2900</v>
      </c>
      <c r="I40" s="8">
        <v>300</v>
      </c>
      <c r="J40" s="19">
        <f t="shared" si="3"/>
        <v>300</v>
      </c>
      <c r="K40" s="21">
        <f t="shared" si="1"/>
        <v>10.344827586206897</v>
      </c>
      <c r="L40" s="21" t="str">
        <f t="shared" si="2"/>
        <v>Yes</v>
      </c>
      <c r="M40" s="33"/>
      <c r="N40" s="2" t="s">
        <v>432</v>
      </c>
      <c r="O40" s="18" t="s">
        <v>363</v>
      </c>
      <c r="P40" s="2" t="s">
        <v>433</v>
      </c>
      <c r="Q40" s="16" t="s">
        <v>245</v>
      </c>
      <c r="R40" s="2" t="s">
        <v>434</v>
      </c>
      <c r="S40" s="17" t="s">
        <v>764</v>
      </c>
      <c r="T40" s="33"/>
      <c r="U40" s="2"/>
      <c r="V40" s="17"/>
      <c r="W40" s="2"/>
      <c r="X40" s="17"/>
      <c r="Y40" s="2"/>
      <c r="Z40" s="16"/>
      <c r="AA40" s="33"/>
      <c r="AB40" s="2"/>
      <c r="AC40" s="17"/>
      <c r="AD40" s="2"/>
      <c r="AE40" s="17"/>
      <c r="AF40" s="2"/>
      <c r="AG40" s="17"/>
      <c r="AH40" s="33"/>
      <c r="AI40" s="2"/>
      <c r="AJ40" s="17"/>
      <c r="AK40" s="2"/>
      <c r="AL40" s="17"/>
      <c r="AM40" s="33"/>
      <c r="AN40" s="2"/>
      <c r="AO40" s="17"/>
      <c r="AP40" s="2"/>
      <c r="AQ40" s="17"/>
      <c r="AR40" s="33"/>
      <c r="AS40" s="2" t="s">
        <v>435</v>
      </c>
      <c r="AT40" s="16" t="s">
        <v>798</v>
      </c>
      <c r="AU40" s="2" t="s">
        <v>418</v>
      </c>
      <c r="AV40" s="16" t="s">
        <v>418</v>
      </c>
      <c r="AW40" s="33"/>
      <c r="AX40" s="2" t="s">
        <v>436</v>
      </c>
      <c r="AY40" s="16" t="s">
        <v>852</v>
      </c>
      <c r="AZ40" s="2"/>
      <c r="BA40" s="16"/>
      <c r="BB40" s="2"/>
      <c r="BC40" s="16"/>
      <c r="BD40" s="2"/>
      <c r="BE40" s="16"/>
      <c r="BF40" s="2" t="s">
        <v>675</v>
      </c>
      <c r="BG40" s="16" t="s">
        <v>906</v>
      </c>
      <c r="BH40" s="2" t="s">
        <v>681</v>
      </c>
      <c r="BI40" s="16" t="s">
        <v>606</v>
      </c>
      <c r="BJ40" s="2"/>
    </row>
    <row r="41" spans="1:62" ht="15">
      <c r="A41" s="1">
        <v>40</v>
      </c>
      <c r="B41" s="1" t="s">
        <v>124</v>
      </c>
      <c r="C41" s="1" t="s">
        <v>125</v>
      </c>
      <c r="D41" s="2" t="s">
        <v>15</v>
      </c>
      <c r="E41" s="1" t="s">
        <v>36</v>
      </c>
      <c r="F41" s="2" t="s">
        <v>197</v>
      </c>
      <c r="G41" s="2">
        <v>2600</v>
      </c>
      <c r="H41" s="17">
        <f t="shared" si="0"/>
        <v>2600</v>
      </c>
      <c r="I41" s="8">
        <v>340</v>
      </c>
      <c r="J41" s="19">
        <f t="shared" si="3"/>
        <v>340</v>
      </c>
      <c r="K41" s="21">
        <f t="shared" si="1"/>
        <v>13.076923076923078</v>
      </c>
      <c r="L41" s="21" t="str">
        <f t="shared" si="2"/>
        <v>Yes</v>
      </c>
      <c r="M41" s="33"/>
      <c r="N41" s="2" t="s">
        <v>363</v>
      </c>
      <c r="O41" s="18" t="s">
        <v>363</v>
      </c>
      <c r="P41" s="2" t="s">
        <v>245</v>
      </c>
      <c r="Q41" s="16" t="s">
        <v>245</v>
      </c>
      <c r="R41" s="2" t="s">
        <v>364</v>
      </c>
      <c r="S41" s="17" t="s">
        <v>364</v>
      </c>
      <c r="T41" s="33"/>
      <c r="U41" s="2" t="s">
        <v>376</v>
      </c>
      <c r="V41" s="17"/>
      <c r="W41" s="2" t="s">
        <v>376</v>
      </c>
      <c r="X41" s="17"/>
      <c r="Y41" s="2" t="s">
        <v>376</v>
      </c>
      <c r="Z41" s="16"/>
      <c r="AA41" s="33"/>
      <c r="AB41" s="2" t="s">
        <v>363</v>
      </c>
      <c r="AC41" s="17" t="s">
        <v>363</v>
      </c>
      <c r="AD41" s="2" t="s">
        <v>245</v>
      </c>
      <c r="AE41" s="17" t="s">
        <v>245</v>
      </c>
      <c r="AF41" s="2"/>
      <c r="AG41" s="17"/>
      <c r="AH41" s="33"/>
      <c r="AI41" s="2" t="s">
        <v>437</v>
      </c>
      <c r="AJ41" s="17" t="s">
        <v>799</v>
      </c>
      <c r="AK41" s="2" t="s">
        <v>418</v>
      </c>
      <c r="AL41" s="17" t="s">
        <v>418</v>
      </c>
      <c r="AM41" s="33"/>
      <c r="AN41" s="2" t="s">
        <v>376</v>
      </c>
      <c r="AO41" s="17"/>
      <c r="AP41" s="2" t="s">
        <v>376</v>
      </c>
      <c r="AQ41" s="17"/>
      <c r="AR41" s="33"/>
      <c r="AS41" s="2" t="s">
        <v>376</v>
      </c>
      <c r="AT41" s="16"/>
      <c r="AU41" s="2" t="s">
        <v>376</v>
      </c>
      <c r="AV41" s="16"/>
      <c r="AW41" s="33"/>
      <c r="AX41" s="2" t="s">
        <v>438</v>
      </c>
      <c r="AY41" s="16" t="s">
        <v>853</v>
      </c>
      <c r="AZ41" s="2" t="s">
        <v>439</v>
      </c>
      <c r="BA41" s="16" t="s">
        <v>888</v>
      </c>
      <c r="BB41" s="2" t="s">
        <v>3</v>
      </c>
      <c r="BC41" s="16" t="s">
        <v>3</v>
      </c>
      <c r="BD41" s="2"/>
      <c r="BE41" s="16"/>
      <c r="BF41" s="2" t="s">
        <v>676</v>
      </c>
      <c r="BG41" s="16" t="s">
        <v>819</v>
      </c>
      <c r="BH41" s="2" t="s">
        <v>333</v>
      </c>
      <c r="BI41" s="16" t="s">
        <v>834</v>
      </c>
      <c r="BJ41" s="2"/>
    </row>
    <row r="42" spans="1:62" ht="45">
      <c r="A42" s="1">
        <v>41</v>
      </c>
      <c r="B42" s="1" t="s">
        <v>126</v>
      </c>
      <c r="C42" s="1" t="s">
        <v>127</v>
      </c>
      <c r="D42" s="2" t="s">
        <v>18</v>
      </c>
      <c r="E42" s="1" t="s">
        <v>687</v>
      </c>
      <c r="F42" s="2" t="s">
        <v>197</v>
      </c>
      <c r="G42" s="2">
        <v>1000</v>
      </c>
      <c r="H42" s="17">
        <f t="shared" si="0"/>
        <v>1000</v>
      </c>
      <c r="I42" s="8">
        <v>500</v>
      </c>
      <c r="J42" s="19">
        <f t="shared" si="3"/>
        <v>500</v>
      </c>
      <c r="K42" s="21">
        <f t="shared" si="1"/>
        <v>50</v>
      </c>
      <c r="L42" s="21" t="str">
        <f t="shared" si="2"/>
        <v>Yes</v>
      </c>
      <c r="M42" s="33"/>
      <c r="N42" s="2" t="s">
        <v>363</v>
      </c>
      <c r="O42" s="18" t="s">
        <v>363</v>
      </c>
      <c r="P42" s="2" t="s">
        <v>245</v>
      </c>
      <c r="Q42" s="16" t="s">
        <v>245</v>
      </c>
      <c r="R42" s="2" t="s">
        <v>440</v>
      </c>
      <c r="S42" s="17" t="s">
        <v>767</v>
      </c>
      <c r="T42" s="33"/>
      <c r="U42" s="2"/>
      <c r="V42" s="17"/>
      <c r="W42" s="2"/>
      <c r="X42" s="17"/>
      <c r="Y42" s="2"/>
      <c r="Z42" s="16"/>
      <c r="AA42" s="33"/>
      <c r="AB42" s="2" t="s">
        <v>363</v>
      </c>
      <c r="AC42" s="17" t="s">
        <v>363</v>
      </c>
      <c r="AD42" s="2" t="s">
        <v>245</v>
      </c>
      <c r="AE42" s="17" t="s">
        <v>245</v>
      </c>
      <c r="AF42" s="2" t="s">
        <v>440</v>
      </c>
      <c r="AG42" s="17" t="s">
        <v>364</v>
      </c>
      <c r="AH42" s="33"/>
      <c r="AI42" s="2" t="s">
        <v>441</v>
      </c>
      <c r="AJ42" s="17" t="s">
        <v>309</v>
      </c>
      <c r="AK42" s="2" t="s">
        <v>418</v>
      </c>
      <c r="AL42" s="17" t="s">
        <v>418</v>
      </c>
      <c r="AM42" s="33"/>
      <c r="AN42" s="2"/>
      <c r="AO42" s="17"/>
      <c r="AP42" s="2"/>
      <c r="AQ42" s="17"/>
      <c r="AR42" s="33"/>
      <c r="AS42" s="2" t="s">
        <v>413</v>
      </c>
      <c r="AT42" s="16" t="s">
        <v>309</v>
      </c>
      <c r="AU42" s="2" t="s">
        <v>418</v>
      </c>
      <c r="AV42" s="16" t="s">
        <v>418</v>
      </c>
      <c r="AW42" s="33"/>
      <c r="AX42" s="2" t="s">
        <v>443</v>
      </c>
      <c r="AY42" s="16" t="s">
        <v>14</v>
      </c>
      <c r="AZ42" s="2" t="s">
        <v>444</v>
      </c>
      <c r="BA42" s="16" t="s">
        <v>891</v>
      </c>
      <c r="BB42" s="2" t="s">
        <v>3</v>
      </c>
      <c r="BC42" s="16" t="s">
        <v>3</v>
      </c>
      <c r="BD42" s="2" t="s">
        <v>442</v>
      </c>
      <c r="BE42" s="16" t="s">
        <v>808</v>
      </c>
      <c r="BF42" s="2" t="s">
        <v>403</v>
      </c>
      <c r="BG42" s="16" t="s">
        <v>403</v>
      </c>
      <c r="BH42" s="2" t="s">
        <v>606</v>
      </c>
      <c r="BI42" s="16" t="s">
        <v>606</v>
      </c>
      <c r="BJ42" s="2"/>
    </row>
    <row r="43" spans="1:62" ht="30">
      <c r="A43" s="1">
        <v>42</v>
      </c>
      <c r="B43" s="1" t="s">
        <v>128</v>
      </c>
      <c r="C43" s="1" t="s">
        <v>129</v>
      </c>
      <c r="D43" s="2" t="s">
        <v>13</v>
      </c>
      <c r="E43" s="1" t="s">
        <v>37</v>
      </c>
      <c r="F43" s="2" t="s">
        <v>198</v>
      </c>
      <c r="G43" s="2">
        <v>8000</v>
      </c>
      <c r="H43" s="17">
        <f t="shared" si="0"/>
        <v>8000</v>
      </c>
      <c r="I43" s="8">
        <v>600</v>
      </c>
      <c r="J43" s="19">
        <f t="shared" si="3"/>
        <v>600</v>
      </c>
      <c r="K43" s="21">
        <f t="shared" si="1"/>
        <v>7.5</v>
      </c>
      <c r="L43" s="21" t="str">
        <f t="shared" si="2"/>
        <v>Yes</v>
      </c>
      <c r="M43" s="33"/>
      <c r="N43" s="2" t="s">
        <v>496</v>
      </c>
      <c r="O43" s="18"/>
      <c r="P43" s="2" t="s">
        <v>635</v>
      </c>
      <c r="Q43" s="16"/>
      <c r="R43" s="2" t="s">
        <v>702</v>
      </c>
      <c r="S43" s="17" t="s">
        <v>764</v>
      </c>
      <c r="T43" s="33"/>
      <c r="U43" s="2"/>
      <c r="V43" s="17"/>
      <c r="W43" s="2"/>
      <c r="X43" s="17"/>
      <c r="Y43" s="2"/>
      <c r="Z43" s="16"/>
      <c r="AA43" s="33"/>
      <c r="AB43" s="2" t="s">
        <v>244</v>
      </c>
      <c r="AC43" s="17" t="s">
        <v>363</v>
      </c>
      <c r="AD43" s="2" t="s">
        <v>245</v>
      </c>
      <c r="AE43" s="17" t="s">
        <v>245</v>
      </c>
      <c r="AF43" s="2" t="s">
        <v>497</v>
      </c>
      <c r="AG43" s="17" t="s">
        <v>764</v>
      </c>
      <c r="AH43" s="33"/>
      <c r="AI43" s="2" t="s">
        <v>498</v>
      </c>
      <c r="AJ43" s="17"/>
      <c r="AK43" s="2" t="s">
        <v>418</v>
      </c>
      <c r="AL43" s="17" t="s">
        <v>418</v>
      </c>
      <c r="AM43" s="33"/>
      <c r="AN43" s="2"/>
      <c r="AO43" s="17"/>
      <c r="AP43" s="2"/>
      <c r="AQ43" s="17"/>
      <c r="AR43" s="33"/>
      <c r="AS43" s="2" t="s">
        <v>499</v>
      </c>
      <c r="AT43" s="16" t="s">
        <v>797</v>
      </c>
      <c r="AU43" s="2" t="s">
        <v>418</v>
      </c>
      <c r="AV43" s="16" t="s">
        <v>418</v>
      </c>
      <c r="AW43" s="33"/>
      <c r="AX43" s="2" t="s">
        <v>500</v>
      </c>
      <c r="AY43" s="16" t="s">
        <v>848</v>
      </c>
      <c r="AZ43" s="2"/>
      <c r="BA43" s="16"/>
      <c r="BB43" s="2" t="s">
        <v>3</v>
      </c>
      <c r="BC43" s="16" t="s">
        <v>3</v>
      </c>
      <c r="BD43" s="2" t="s">
        <v>383</v>
      </c>
      <c r="BE43" s="16"/>
      <c r="BF43" s="2" t="s">
        <v>671</v>
      </c>
      <c r="BG43" s="16" t="s">
        <v>823</v>
      </c>
      <c r="BH43" s="2" t="s">
        <v>606</v>
      </c>
      <c r="BI43" s="16" t="s">
        <v>606</v>
      </c>
      <c r="BJ43" s="2"/>
    </row>
    <row r="44" spans="1:62" ht="30">
      <c r="A44" s="1">
        <v>43</v>
      </c>
      <c r="B44" s="1" t="s">
        <v>130</v>
      </c>
      <c r="C44" s="1" t="s">
        <v>131</v>
      </c>
      <c r="D44" s="2" t="s">
        <v>15</v>
      </c>
      <c r="E44" s="1" t="s">
        <v>36</v>
      </c>
      <c r="F44" s="2" t="s">
        <v>197</v>
      </c>
      <c r="G44" s="2"/>
      <c r="H44" s="17"/>
      <c r="I44" s="8">
        <v>600</v>
      </c>
      <c r="J44" s="19">
        <f t="shared" si="3"/>
        <v>600</v>
      </c>
      <c r="K44" s="21"/>
      <c r="L44" s="21" t="str">
        <f t="shared" si="2"/>
        <v>No</v>
      </c>
      <c r="M44" s="33"/>
      <c r="N44" s="2" t="s">
        <v>363</v>
      </c>
      <c r="O44" s="18" t="s">
        <v>363</v>
      </c>
      <c r="P44" s="2" t="s">
        <v>245</v>
      </c>
      <c r="Q44" s="16" t="s">
        <v>245</v>
      </c>
      <c r="R44" s="2" t="s">
        <v>364</v>
      </c>
      <c r="S44" s="17" t="s">
        <v>364</v>
      </c>
      <c r="T44" s="33"/>
      <c r="U44" s="2"/>
      <c r="V44" s="17"/>
      <c r="W44" s="2"/>
      <c r="X44" s="17"/>
      <c r="Y44" s="2"/>
      <c r="Z44" s="16"/>
      <c r="AA44" s="33"/>
      <c r="AB44" s="2" t="s">
        <v>501</v>
      </c>
      <c r="AC44" s="17" t="s">
        <v>363</v>
      </c>
      <c r="AD44" s="2" t="s">
        <v>245</v>
      </c>
      <c r="AE44" s="17" t="s">
        <v>245</v>
      </c>
      <c r="AF44" s="2" t="s">
        <v>722</v>
      </c>
      <c r="AG44" s="17" t="s">
        <v>764</v>
      </c>
      <c r="AH44" s="33"/>
      <c r="AI44" s="2" t="s">
        <v>502</v>
      </c>
      <c r="AJ44" s="17" t="s">
        <v>798</v>
      </c>
      <c r="AK44" s="2" t="s">
        <v>418</v>
      </c>
      <c r="AL44" s="17" t="s">
        <v>418</v>
      </c>
      <c r="AM44" s="33"/>
      <c r="AN44" s="2"/>
      <c r="AO44" s="17"/>
      <c r="AP44" s="2"/>
      <c r="AQ44" s="17"/>
      <c r="AR44" s="33"/>
      <c r="AS44" s="2" t="s">
        <v>293</v>
      </c>
      <c r="AT44" s="16"/>
      <c r="AU44" s="2" t="s">
        <v>418</v>
      </c>
      <c r="AV44" s="16" t="s">
        <v>418</v>
      </c>
      <c r="AW44" s="33"/>
      <c r="AX44" s="2" t="s">
        <v>338</v>
      </c>
      <c r="AY44" s="16" t="s">
        <v>14</v>
      </c>
      <c r="AZ44" s="2" t="s">
        <v>480</v>
      </c>
      <c r="BA44" s="16" t="s">
        <v>891</v>
      </c>
      <c r="BB44" s="2" t="s">
        <v>3</v>
      </c>
      <c r="BC44" s="16" t="s">
        <v>3</v>
      </c>
      <c r="BD44" s="2" t="s">
        <v>503</v>
      </c>
      <c r="BE44" s="16" t="s">
        <v>807</v>
      </c>
      <c r="BF44" s="2" t="s">
        <v>403</v>
      </c>
      <c r="BG44" s="16" t="s">
        <v>403</v>
      </c>
      <c r="BH44" s="2" t="s">
        <v>333</v>
      </c>
      <c r="BI44" s="16" t="s">
        <v>834</v>
      </c>
      <c r="BJ44" s="2"/>
    </row>
    <row r="45" spans="1:62" ht="15">
      <c r="A45" s="1">
        <v>44</v>
      </c>
      <c r="B45" s="1" t="s">
        <v>132</v>
      </c>
      <c r="C45" s="1" t="s">
        <v>133</v>
      </c>
      <c r="D45" s="2" t="s">
        <v>17</v>
      </c>
      <c r="E45" s="1" t="s">
        <v>36</v>
      </c>
      <c r="F45" s="2" t="s">
        <v>197</v>
      </c>
      <c r="G45" s="2">
        <v>1500</v>
      </c>
      <c r="H45" s="17">
        <f t="shared" si="0"/>
        <v>1500</v>
      </c>
      <c r="I45" s="8">
        <v>210</v>
      </c>
      <c r="J45" s="19">
        <f t="shared" si="3"/>
        <v>210</v>
      </c>
      <c r="K45" s="21">
        <f t="shared" si="1"/>
        <v>14.000000000000002</v>
      </c>
      <c r="L45" s="21" t="str">
        <f t="shared" si="2"/>
        <v>Yes</v>
      </c>
      <c r="M45" s="33"/>
      <c r="N45" s="2"/>
      <c r="O45" s="18"/>
      <c r="P45" s="2"/>
      <c r="Q45" s="16"/>
      <c r="R45" s="2"/>
      <c r="S45" s="17"/>
      <c r="T45" s="33"/>
      <c r="U45" s="2"/>
      <c r="V45" s="17"/>
      <c r="W45" s="2"/>
      <c r="X45" s="17"/>
      <c r="Y45" s="2"/>
      <c r="Z45" s="16"/>
      <c r="AA45" s="33"/>
      <c r="AB45" s="2" t="s">
        <v>363</v>
      </c>
      <c r="AC45" s="17" t="s">
        <v>363</v>
      </c>
      <c r="AD45" s="10" t="s">
        <v>245</v>
      </c>
      <c r="AE45" s="17" t="s">
        <v>245</v>
      </c>
      <c r="AF45" s="2" t="s">
        <v>364</v>
      </c>
      <c r="AG45" s="17" t="s">
        <v>364</v>
      </c>
      <c r="AH45" s="33"/>
      <c r="AI45" s="2"/>
      <c r="AJ45" s="17"/>
      <c r="AK45" s="2"/>
      <c r="AL45" s="17"/>
      <c r="AM45" s="33"/>
      <c r="AN45" s="2"/>
      <c r="AO45" s="17"/>
      <c r="AP45" s="2"/>
      <c r="AQ45" s="17"/>
      <c r="AR45" s="33"/>
      <c r="AS45" s="2"/>
      <c r="AT45" s="16"/>
      <c r="AU45" s="2"/>
      <c r="AV45" s="16"/>
      <c r="AW45" s="33"/>
      <c r="AX45" s="2"/>
      <c r="AY45" s="16"/>
      <c r="AZ45" s="2"/>
      <c r="BA45" s="16"/>
      <c r="BB45" s="2" t="s">
        <v>3</v>
      </c>
      <c r="BC45" s="16" t="s">
        <v>3</v>
      </c>
      <c r="BD45" s="2"/>
      <c r="BE45" s="16"/>
      <c r="BF45" s="2"/>
      <c r="BG45" s="16"/>
      <c r="BH45" s="2"/>
      <c r="BI45" s="16"/>
      <c r="BJ45" s="2"/>
    </row>
    <row r="46" spans="1:62" ht="30">
      <c r="A46" s="1">
        <v>45</v>
      </c>
      <c r="B46" s="1" t="s">
        <v>134</v>
      </c>
      <c r="C46" s="1" t="s">
        <v>135</v>
      </c>
      <c r="D46" s="2" t="s">
        <v>11</v>
      </c>
      <c r="E46" s="1" t="s">
        <v>687</v>
      </c>
      <c r="F46" s="2" t="s">
        <v>197</v>
      </c>
      <c r="G46" s="2">
        <v>1500</v>
      </c>
      <c r="H46" s="17">
        <f t="shared" si="0"/>
        <v>1500</v>
      </c>
      <c r="I46" s="8">
        <v>200</v>
      </c>
      <c r="J46" s="19">
        <f t="shared" si="3"/>
        <v>200</v>
      </c>
      <c r="K46" s="21">
        <f t="shared" si="1"/>
        <v>13.333333333333334</v>
      </c>
      <c r="L46" s="21" t="str">
        <f t="shared" si="2"/>
        <v>Yes</v>
      </c>
      <c r="M46" s="33"/>
      <c r="N46" s="2" t="s">
        <v>363</v>
      </c>
      <c r="O46" s="18" t="s">
        <v>363</v>
      </c>
      <c r="P46" s="2"/>
      <c r="Q46" s="16"/>
      <c r="R46" s="2" t="s">
        <v>638</v>
      </c>
      <c r="S46" s="17" t="s">
        <v>364</v>
      </c>
      <c r="T46" s="33"/>
      <c r="U46" s="2"/>
      <c r="V46" s="17"/>
      <c r="W46" s="4"/>
      <c r="X46" s="17"/>
      <c r="Y46" s="2"/>
      <c r="Z46" s="16"/>
      <c r="AA46" s="33"/>
      <c r="AB46" s="2" t="s">
        <v>363</v>
      </c>
      <c r="AC46" s="17" t="s">
        <v>363</v>
      </c>
      <c r="AD46" s="2"/>
      <c r="AE46" s="17"/>
      <c r="AF46" s="2"/>
      <c r="AG46" s="17"/>
      <c r="AH46" s="33"/>
      <c r="AI46" s="4" t="s">
        <v>413</v>
      </c>
      <c r="AJ46" s="17" t="s">
        <v>309</v>
      </c>
      <c r="AK46" s="2"/>
      <c r="AL46" s="17"/>
      <c r="AM46" s="33"/>
      <c r="AN46" s="2"/>
      <c r="AO46" s="17"/>
      <c r="AP46" s="2"/>
      <c r="AQ46" s="17"/>
      <c r="AR46" s="33"/>
      <c r="AS46" s="2" t="s">
        <v>255</v>
      </c>
      <c r="AT46" s="16"/>
      <c r="AU46" s="2"/>
      <c r="AV46" s="16"/>
      <c r="AW46" s="33"/>
      <c r="AX46" s="2"/>
      <c r="AY46" s="16"/>
      <c r="AZ46" s="2" t="s">
        <v>504</v>
      </c>
      <c r="BA46" s="16" t="s">
        <v>891</v>
      </c>
      <c r="BB46" s="2" t="s">
        <v>3</v>
      </c>
      <c r="BC46" s="16" t="s">
        <v>3</v>
      </c>
      <c r="BD46" s="2"/>
      <c r="BE46" s="16"/>
      <c r="BF46" s="2" t="s">
        <v>403</v>
      </c>
      <c r="BG46" s="16" t="s">
        <v>403</v>
      </c>
      <c r="BH46" s="2"/>
      <c r="BI46" s="16"/>
      <c r="BJ46" s="2"/>
    </row>
    <row r="47" spans="1:62" ht="45">
      <c r="A47" s="1">
        <v>46</v>
      </c>
      <c r="B47" s="1" t="s">
        <v>495</v>
      </c>
      <c r="C47" s="1" t="s">
        <v>136</v>
      </c>
      <c r="D47" s="2" t="s">
        <v>15</v>
      </c>
      <c r="E47" s="1" t="s">
        <v>36</v>
      </c>
      <c r="F47" s="2" t="s">
        <v>197</v>
      </c>
      <c r="G47" s="2">
        <v>1350</v>
      </c>
      <c r="H47" s="17">
        <f t="shared" si="0"/>
        <v>1350</v>
      </c>
      <c r="I47" s="8">
        <v>200</v>
      </c>
      <c r="J47" s="19">
        <f t="shared" si="3"/>
        <v>200</v>
      </c>
      <c r="K47" s="21">
        <f t="shared" si="1"/>
        <v>14.814814814814813</v>
      </c>
      <c r="L47" s="21" t="str">
        <f t="shared" si="2"/>
        <v>Yes</v>
      </c>
      <c r="M47" s="33"/>
      <c r="N47" s="2" t="s">
        <v>363</v>
      </c>
      <c r="O47" s="18" t="s">
        <v>363</v>
      </c>
      <c r="P47" s="2" t="s">
        <v>245</v>
      </c>
      <c r="Q47" s="16" t="s">
        <v>245</v>
      </c>
      <c r="R47" s="2" t="s">
        <v>383</v>
      </c>
      <c r="S47" s="17" t="s">
        <v>364</v>
      </c>
      <c r="T47" s="33"/>
      <c r="U47" s="2"/>
      <c r="V47" s="17"/>
      <c r="W47" s="2"/>
      <c r="X47" s="17"/>
      <c r="Y47" s="2"/>
      <c r="Z47" s="16"/>
      <c r="AA47" s="33"/>
      <c r="AB47" s="2" t="s">
        <v>363</v>
      </c>
      <c r="AC47" s="17" t="s">
        <v>363</v>
      </c>
      <c r="AD47" s="2" t="s">
        <v>245</v>
      </c>
      <c r="AE47" s="17" t="s">
        <v>245</v>
      </c>
      <c r="AF47" s="2" t="s">
        <v>383</v>
      </c>
      <c r="AG47" s="17" t="s">
        <v>364</v>
      </c>
      <c r="AH47" s="33"/>
      <c r="AI47" s="2" t="s">
        <v>505</v>
      </c>
      <c r="AJ47" s="17" t="s">
        <v>798</v>
      </c>
      <c r="AK47" s="2" t="s">
        <v>418</v>
      </c>
      <c r="AL47" s="17" t="s">
        <v>418</v>
      </c>
      <c r="AM47" s="33"/>
      <c r="AN47" s="2"/>
      <c r="AO47" s="17"/>
      <c r="AP47" s="2"/>
      <c r="AQ47" s="17"/>
      <c r="AR47" s="33"/>
      <c r="AS47" s="2" t="s">
        <v>506</v>
      </c>
      <c r="AT47" s="16" t="s">
        <v>798</v>
      </c>
      <c r="AU47" s="2" t="s">
        <v>418</v>
      </c>
      <c r="AV47" s="16" t="s">
        <v>418</v>
      </c>
      <c r="AW47" s="33"/>
      <c r="AX47" s="2" t="s">
        <v>401</v>
      </c>
      <c r="AY47" s="16" t="s">
        <v>14</v>
      </c>
      <c r="AZ47" s="2" t="s">
        <v>507</v>
      </c>
      <c r="BA47" s="16" t="s">
        <v>892</v>
      </c>
      <c r="BB47" s="2" t="s">
        <v>3</v>
      </c>
      <c r="BC47" s="16" t="s">
        <v>3</v>
      </c>
      <c r="BD47" s="2" t="s">
        <v>508</v>
      </c>
      <c r="BE47" s="16" t="s">
        <v>808</v>
      </c>
      <c r="BF47" s="2" t="s">
        <v>605</v>
      </c>
      <c r="BG47" s="16" t="s">
        <v>819</v>
      </c>
      <c r="BH47" s="2" t="s">
        <v>682</v>
      </c>
      <c r="BI47" s="16" t="s">
        <v>606</v>
      </c>
      <c r="BJ47" s="2"/>
    </row>
    <row r="48" spans="1:62" ht="45">
      <c r="A48" s="1">
        <v>47</v>
      </c>
      <c r="B48" s="1" t="s">
        <v>137</v>
      </c>
      <c r="C48" s="1" t="s">
        <v>138</v>
      </c>
      <c r="D48" s="2" t="s">
        <v>19</v>
      </c>
      <c r="E48" s="1" t="s">
        <v>36</v>
      </c>
      <c r="F48" s="2" t="s">
        <v>203</v>
      </c>
      <c r="G48" s="2" t="s">
        <v>206</v>
      </c>
      <c r="H48" s="17"/>
      <c r="I48" s="8">
        <v>15</v>
      </c>
      <c r="J48" s="19"/>
      <c r="K48" s="21"/>
      <c r="L48" s="21"/>
      <c r="M48" s="33"/>
      <c r="N48" s="2" t="s">
        <v>509</v>
      </c>
      <c r="O48" s="18"/>
      <c r="P48" s="2" t="s">
        <v>631</v>
      </c>
      <c r="Q48" s="16"/>
      <c r="R48" s="2" t="s">
        <v>703</v>
      </c>
      <c r="S48" s="17" t="s">
        <v>764</v>
      </c>
      <c r="T48" s="33"/>
      <c r="U48" s="2" t="s">
        <v>376</v>
      </c>
      <c r="V48" s="17"/>
      <c r="W48" s="2" t="s">
        <v>376</v>
      </c>
      <c r="X48" s="17"/>
      <c r="Y48" s="2" t="s">
        <v>376</v>
      </c>
      <c r="Z48" s="16"/>
      <c r="AA48" s="33"/>
      <c r="AB48" s="2" t="s">
        <v>509</v>
      </c>
      <c r="AC48" s="17"/>
      <c r="AD48" s="2" t="s">
        <v>632</v>
      </c>
      <c r="AE48" s="17" t="s">
        <v>245</v>
      </c>
      <c r="AF48" s="2" t="s">
        <v>703</v>
      </c>
      <c r="AG48" s="17" t="s">
        <v>764</v>
      </c>
      <c r="AH48" s="33"/>
      <c r="AI48" s="2" t="s">
        <v>234</v>
      </c>
      <c r="AJ48" s="17" t="s">
        <v>798</v>
      </c>
      <c r="AK48" s="2" t="s">
        <v>661</v>
      </c>
      <c r="AL48" s="17" t="s">
        <v>418</v>
      </c>
      <c r="AM48" s="33"/>
      <c r="AN48" s="2"/>
      <c r="AO48" s="17"/>
      <c r="AP48" s="2"/>
      <c r="AQ48" s="17"/>
      <c r="AR48" s="33"/>
      <c r="AS48" s="2" t="s">
        <v>234</v>
      </c>
      <c r="AT48" s="16" t="s">
        <v>798</v>
      </c>
      <c r="AU48" s="2" t="s">
        <v>661</v>
      </c>
      <c r="AV48" s="16" t="s">
        <v>790</v>
      </c>
      <c r="AW48" s="33"/>
      <c r="AX48" s="2" t="s">
        <v>510</v>
      </c>
      <c r="AY48" s="16"/>
      <c r="AZ48" s="2" t="s">
        <v>511</v>
      </c>
      <c r="BA48" s="16"/>
      <c r="BB48" s="2" t="s">
        <v>4</v>
      </c>
      <c r="BC48" s="16" t="s">
        <v>4</v>
      </c>
      <c r="BD48" s="2"/>
      <c r="BE48" s="16"/>
      <c r="BF48" s="2" t="s">
        <v>403</v>
      </c>
      <c r="BG48" s="16" t="s">
        <v>403</v>
      </c>
      <c r="BH48" s="2"/>
      <c r="BI48" s="16"/>
      <c r="BJ48" s="2"/>
    </row>
    <row r="49" spans="1:62" ht="14.5" customHeight="1">
      <c r="A49" s="1">
        <v>48</v>
      </c>
      <c r="B49" s="1" t="s">
        <v>31</v>
      </c>
      <c r="C49" s="1" t="s">
        <v>32</v>
      </c>
      <c r="D49" s="2" t="s">
        <v>17</v>
      </c>
      <c r="E49" s="1" t="s">
        <v>36</v>
      </c>
      <c r="F49" s="2" t="s">
        <v>197</v>
      </c>
      <c r="G49" s="2">
        <v>200</v>
      </c>
      <c r="H49" s="17">
        <f t="shared" si="0"/>
        <v>200</v>
      </c>
      <c r="I49" s="8">
        <v>200</v>
      </c>
      <c r="J49" s="19">
        <f t="shared" si="3"/>
        <v>200</v>
      </c>
      <c r="K49" s="21">
        <f t="shared" si="1"/>
        <v>100</v>
      </c>
      <c r="L49" s="21" t="str">
        <f t="shared" si="2"/>
        <v>Yes</v>
      </c>
      <c r="M49" s="33"/>
      <c r="N49" s="2" t="s">
        <v>512</v>
      </c>
      <c r="O49" s="18" t="s">
        <v>752</v>
      </c>
      <c r="P49" s="2" t="s">
        <v>214</v>
      </c>
      <c r="Q49" s="16" t="s">
        <v>756</v>
      </c>
      <c r="R49" s="2" t="s">
        <v>513</v>
      </c>
      <c r="S49" s="17" t="s">
        <v>764</v>
      </c>
      <c r="T49" s="33"/>
      <c r="U49" s="2"/>
      <c r="V49" s="17"/>
      <c r="W49" s="2"/>
      <c r="X49" s="17"/>
      <c r="Y49" s="2"/>
      <c r="Z49" s="16"/>
      <c r="AA49" s="33"/>
      <c r="AB49" s="2" t="s">
        <v>514</v>
      </c>
      <c r="AC49" s="17" t="s">
        <v>363</v>
      </c>
      <c r="AD49" s="2" t="s">
        <v>245</v>
      </c>
      <c r="AE49" s="17" t="s">
        <v>245</v>
      </c>
      <c r="AF49" s="2" t="s">
        <v>515</v>
      </c>
      <c r="AG49" s="17" t="s">
        <v>764</v>
      </c>
      <c r="AH49" s="33"/>
      <c r="AI49" s="2"/>
      <c r="AJ49" s="17"/>
      <c r="AK49" s="2"/>
      <c r="AL49" s="17"/>
      <c r="AM49" s="33"/>
      <c r="AN49" s="2"/>
      <c r="AO49" s="17"/>
      <c r="AP49" s="2"/>
      <c r="AQ49" s="17"/>
      <c r="AR49" s="33"/>
      <c r="AS49" s="2"/>
      <c r="AT49" s="16"/>
      <c r="AU49" s="2"/>
      <c r="AV49" s="16"/>
      <c r="AW49" s="33"/>
      <c r="AX49" s="2"/>
      <c r="AY49" s="16"/>
      <c r="AZ49" s="2" t="s">
        <v>516</v>
      </c>
      <c r="BA49" s="16" t="s">
        <v>891</v>
      </c>
      <c r="BB49" s="2" t="s">
        <v>3</v>
      </c>
      <c r="BC49" s="16" t="s">
        <v>3</v>
      </c>
      <c r="BD49" s="2"/>
      <c r="BE49" s="16"/>
      <c r="BF49" s="2" t="s">
        <v>517</v>
      </c>
      <c r="BG49" s="16" t="s">
        <v>822</v>
      </c>
      <c r="BH49" s="2" t="s">
        <v>518</v>
      </c>
      <c r="BI49" s="16" t="s">
        <v>839</v>
      </c>
      <c r="BJ49" s="2" t="s">
        <v>519</v>
      </c>
    </row>
    <row r="50" spans="1:62" ht="30">
      <c r="A50" s="1">
        <v>49</v>
      </c>
      <c r="B50" s="1" t="s">
        <v>139</v>
      </c>
      <c r="C50" s="1" t="s">
        <v>140</v>
      </c>
      <c r="D50" s="2" t="s">
        <v>26</v>
      </c>
      <c r="E50" s="1" t="s">
        <v>36</v>
      </c>
      <c r="F50" s="2" t="s">
        <v>197</v>
      </c>
      <c r="G50" s="2">
        <v>1100</v>
      </c>
      <c r="H50" s="17">
        <f t="shared" si="0"/>
        <v>1100</v>
      </c>
      <c r="I50" s="8">
        <v>70</v>
      </c>
      <c r="J50" s="19">
        <f t="shared" si="3"/>
        <v>70</v>
      </c>
      <c r="K50" s="21">
        <f t="shared" si="1"/>
        <v>6.3636363636363633</v>
      </c>
      <c r="L50" s="21" t="str">
        <f t="shared" si="2"/>
        <v>Yes</v>
      </c>
      <c r="M50" s="33"/>
      <c r="N50" s="5">
        <v>42979</v>
      </c>
      <c r="O50" s="18" t="s">
        <v>752</v>
      </c>
      <c r="P50" s="2" t="s">
        <v>423</v>
      </c>
      <c r="Q50" s="16" t="s">
        <v>423</v>
      </c>
      <c r="R50" s="2" t="s">
        <v>640</v>
      </c>
      <c r="S50" s="17" t="s">
        <v>764</v>
      </c>
      <c r="T50" s="33"/>
      <c r="U50" s="2"/>
      <c r="V50" s="17"/>
      <c r="W50" s="2"/>
      <c r="X50" s="17"/>
      <c r="Y50" s="2"/>
      <c r="Z50" s="16"/>
      <c r="AA50" s="33"/>
      <c r="AB50" s="2" t="s">
        <v>520</v>
      </c>
      <c r="AC50" s="17" t="s">
        <v>752</v>
      </c>
      <c r="AD50" s="2" t="s">
        <v>423</v>
      </c>
      <c r="AE50" s="17" t="s">
        <v>423</v>
      </c>
      <c r="AF50" s="2" t="s">
        <v>640</v>
      </c>
      <c r="AG50" s="17" t="s">
        <v>764</v>
      </c>
      <c r="AH50" s="33"/>
      <c r="AI50" s="2" t="s">
        <v>521</v>
      </c>
      <c r="AJ50" s="17" t="s">
        <v>798</v>
      </c>
      <c r="AK50" s="2" t="s">
        <v>418</v>
      </c>
      <c r="AL50" s="17" t="s">
        <v>418</v>
      </c>
      <c r="AM50" s="33"/>
      <c r="AN50" s="2"/>
      <c r="AO50" s="17"/>
      <c r="AP50" s="2"/>
      <c r="AQ50" s="17"/>
      <c r="AR50" s="33"/>
      <c r="AS50" s="5">
        <v>42835</v>
      </c>
      <c r="AT50" s="48" t="s">
        <v>798</v>
      </c>
      <c r="AU50" s="2" t="s">
        <v>418</v>
      </c>
      <c r="AV50" s="16" t="s">
        <v>418</v>
      </c>
      <c r="AW50" s="33"/>
      <c r="AX50" s="2" t="s">
        <v>662</v>
      </c>
      <c r="AY50" s="16" t="s">
        <v>854</v>
      </c>
      <c r="AZ50" s="2" t="s">
        <v>522</v>
      </c>
      <c r="BA50" s="16" t="s">
        <v>891</v>
      </c>
      <c r="BB50" s="2" t="s">
        <v>3</v>
      </c>
      <c r="BC50" s="16" t="s">
        <v>3</v>
      </c>
      <c r="BD50" s="2" t="s">
        <v>523</v>
      </c>
      <c r="BE50" s="16" t="s">
        <v>809</v>
      </c>
      <c r="BF50" s="2" t="s">
        <v>605</v>
      </c>
      <c r="BG50" s="16" t="s">
        <v>819</v>
      </c>
      <c r="BH50" s="2" t="s">
        <v>387</v>
      </c>
      <c r="BI50" s="16" t="s">
        <v>387</v>
      </c>
      <c r="BJ50" s="2"/>
    </row>
    <row r="51" spans="1:62" ht="30">
      <c r="A51" s="1">
        <v>50</v>
      </c>
      <c r="B51" s="1" t="s">
        <v>141</v>
      </c>
      <c r="C51" s="1" t="s">
        <v>142</v>
      </c>
      <c r="D51" s="2" t="s">
        <v>11</v>
      </c>
      <c r="E51" s="1" t="s">
        <v>36</v>
      </c>
      <c r="F51" s="2" t="s">
        <v>197</v>
      </c>
      <c r="G51" s="2">
        <v>1200</v>
      </c>
      <c r="H51" s="17">
        <f t="shared" si="0"/>
        <v>1200</v>
      </c>
      <c r="I51" s="8">
        <v>160</v>
      </c>
      <c r="J51" s="19">
        <f t="shared" si="3"/>
        <v>160</v>
      </c>
      <c r="K51" s="21">
        <f t="shared" si="1"/>
        <v>13.333333333333334</v>
      </c>
      <c r="L51" s="21" t="str">
        <f t="shared" si="2"/>
        <v>Yes</v>
      </c>
      <c r="M51" s="33"/>
      <c r="N51" s="2" t="s">
        <v>363</v>
      </c>
      <c r="O51" s="18" t="s">
        <v>363</v>
      </c>
      <c r="P51" s="2" t="s">
        <v>245</v>
      </c>
      <c r="Q51" s="16" t="s">
        <v>245</v>
      </c>
      <c r="R51" s="2" t="s">
        <v>383</v>
      </c>
      <c r="S51" s="17" t="s">
        <v>364</v>
      </c>
      <c r="T51" s="33"/>
      <c r="U51" s="2"/>
      <c r="V51" s="17"/>
      <c r="W51" s="2"/>
      <c r="X51" s="17"/>
      <c r="Y51" s="2"/>
      <c r="Z51" s="16"/>
      <c r="AA51" s="33"/>
      <c r="AB51" s="2"/>
      <c r="AC51" s="17"/>
      <c r="AD51" s="2"/>
      <c r="AE51" s="17"/>
      <c r="AF51" s="2"/>
      <c r="AG51" s="17"/>
      <c r="AH51" s="33"/>
      <c r="AI51" s="2" t="s">
        <v>445</v>
      </c>
      <c r="AJ51" s="17"/>
      <c r="AK51" s="2"/>
      <c r="AL51" s="17"/>
      <c r="AM51" s="33"/>
      <c r="AN51" s="2"/>
      <c r="AO51" s="17"/>
      <c r="AP51" s="2"/>
      <c r="AQ51" s="17"/>
      <c r="AR51" s="33"/>
      <c r="AS51" s="2"/>
      <c r="AT51" s="16"/>
      <c r="AU51" s="2"/>
      <c r="AV51" s="16"/>
      <c r="AW51" s="33"/>
      <c r="AX51" s="2" t="s">
        <v>445</v>
      </c>
      <c r="AY51" s="16"/>
      <c r="AZ51" s="2" t="s">
        <v>445</v>
      </c>
      <c r="BA51" s="16"/>
      <c r="BB51" s="2" t="s">
        <v>445</v>
      </c>
      <c r="BC51" s="16"/>
      <c r="BD51" s="2"/>
      <c r="BE51" s="16"/>
      <c r="BF51" s="2" t="s">
        <v>403</v>
      </c>
      <c r="BG51" s="16" t="s">
        <v>403</v>
      </c>
      <c r="BH51" s="2" t="s">
        <v>387</v>
      </c>
      <c r="BI51" s="16" t="s">
        <v>387</v>
      </c>
      <c r="BJ51" s="2" t="s">
        <v>446</v>
      </c>
    </row>
    <row r="52" spans="1:62" ht="45">
      <c r="A52" s="1">
        <v>51</v>
      </c>
      <c r="B52" s="1" t="s">
        <v>143</v>
      </c>
      <c r="C52" s="1" t="s">
        <v>144</v>
      </c>
      <c r="D52" s="2" t="s">
        <v>10</v>
      </c>
      <c r="E52" s="1" t="s">
        <v>36</v>
      </c>
      <c r="F52" s="2" t="s">
        <v>197</v>
      </c>
      <c r="G52" s="2">
        <v>120</v>
      </c>
      <c r="H52" s="17"/>
      <c r="I52" s="8">
        <v>0</v>
      </c>
      <c r="J52" s="19"/>
      <c r="K52" s="21"/>
      <c r="L52" s="21" t="str">
        <f t="shared" si="2"/>
        <v>No</v>
      </c>
      <c r="M52" s="33"/>
      <c r="N52" s="2"/>
      <c r="O52" s="18"/>
      <c r="P52" s="2"/>
      <c r="Q52" s="16"/>
      <c r="R52" s="2"/>
      <c r="S52" s="17"/>
      <c r="T52" s="33"/>
      <c r="U52" s="2"/>
      <c r="V52" s="17"/>
      <c r="W52" s="2"/>
      <c r="X52" s="17"/>
      <c r="Y52" s="2"/>
      <c r="Z52" s="16"/>
      <c r="AA52" s="33"/>
      <c r="AB52" s="2"/>
      <c r="AC52" s="17"/>
      <c r="AD52" s="2" t="s">
        <v>524</v>
      </c>
      <c r="AE52" s="17"/>
      <c r="AF52" s="2"/>
      <c r="AG52" s="17"/>
      <c r="AH52" s="33"/>
      <c r="AI52" s="2" t="s">
        <v>525</v>
      </c>
      <c r="AJ52" s="17"/>
      <c r="AK52" s="2" t="s">
        <v>418</v>
      </c>
      <c r="AL52" s="17" t="s">
        <v>418</v>
      </c>
      <c r="AM52" s="33"/>
      <c r="AN52" s="2" t="s">
        <v>526</v>
      </c>
      <c r="AO52" s="17"/>
      <c r="AP52" s="2"/>
      <c r="AQ52" s="17"/>
      <c r="AR52" s="33"/>
      <c r="AS52" s="2"/>
      <c r="AT52" s="16"/>
      <c r="AU52" s="2"/>
      <c r="AV52" s="16"/>
      <c r="AW52" s="33"/>
      <c r="AX52" s="2"/>
      <c r="AY52" s="16"/>
      <c r="AZ52" s="2" t="s">
        <v>527</v>
      </c>
      <c r="BA52" s="16"/>
      <c r="BB52" s="2"/>
      <c r="BC52" s="16"/>
      <c r="BD52" s="2"/>
      <c r="BE52" s="16"/>
      <c r="BF52" s="2"/>
      <c r="BG52" s="16"/>
      <c r="BH52" s="2"/>
      <c r="BI52" s="16"/>
      <c r="BJ52" s="2"/>
    </row>
    <row r="53" spans="1:62" ht="30">
      <c r="A53" s="1">
        <v>52</v>
      </c>
      <c r="B53" s="1" t="s">
        <v>145</v>
      </c>
      <c r="C53" s="1" t="s">
        <v>146</v>
      </c>
      <c r="D53" s="2" t="s">
        <v>29</v>
      </c>
      <c r="E53" s="1" t="s">
        <v>36</v>
      </c>
      <c r="F53" s="2" t="s">
        <v>197</v>
      </c>
      <c r="G53" s="2">
        <v>650</v>
      </c>
      <c r="H53" s="17">
        <f t="shared" si="0"/>
        <v>650</v>
      </c>
      <c r="I53" s="8">
        <v>80</v>
      </c>
      <c r="J53" s="19">
        <f t="shared" si="3"/>
        <v>80</v>
      </c>
      <c r="K53" s="21">
        <f t="shared" si="1"/>
        <v>12.307692307692308</v>
      </c>
      <c r="L53" s="21" t="str">
        <f t="shared" si="2"/>
        <v>Yes</v>
      </c>
      <c r="M53" s="33"/>
      <c r="N53" s="2" t="s">
        <v>447</v>
      </c>
      <c r="O53" s="18" t="s">
        <v>363</v>
      </c>
      <c r="P53" s="2" t="s">
        <v>245</v>
      </c>
      <c r="Q53" s="16" t="s">
        <v>245</v>
      </c>
      <c r="R53" s="2" t="s">
        <v>364</v>
      </c>
      <c r="S53" s="17" t="s">
        <v>364</v>
      </c>
      <c r="T53" s="33"/>
      <c r="U53" s="2"/>
      <c r="V53" s="17"/>
      <c r="W53" s="2"/>
      <c r="X53" s="17"/>
      <c r="Y53" s="2"/>
      <c r="Z53" s="16"/>
      <c r="AA53" s="33"/>
      <c r="AB53" s="2"/>
      <c r="AC53" s="17"/>
      <c r="AD53" s="2"/>
      <c r="AE53" s="17"/>
      <c r="AF53" s="2"/>
      <c r="AG53" s="17"/>
      <c r="AH53" s="33"/>
      <c r="AI53" s="2"/>
      <c r="AJ53" s="17"/>
      <c r="AK53" s="2"/>
      <c r="AL53" s="17"/>
      <c r="AM53" s="33"/>
      <c r="AN53" s="2"/>
      <c r="AO53" s="17"/>
      <c r="AP53" s="2"/>
      <c r="AQ53" s="17"/>
      <c r="AR53" s="33"/>
      <c r="AS53" s="2" t="s">
        <v>448</v>
      </c>
      <c r="AT53" s="16" t="s">
        <v>798</v>
      </c>
      <c r="AU53" s="2" t="s">
        <v>418</v>
      </c>
      <c r="AV53" s="16" t="s">
        <v>418</v>
      </c>
      <c r="AW53" s="33"/>
      <c r="AX53" s="2" t="s">
        <v>445</v>
      </c>
      <c r="AY53" s="16"/>
      <c r="AZ53" s="2" t="s">
        <v>449</v>
      </c>
      <c r="BA53" s="16" t="s">
        <v>891</v>
      </c>
      <c r="BB53" s="2"/>
      <c r="BC53" s="16"/>
      <c r="BD53" s="2"/>
      <c r="BE53" s="16"/>
      <c r="BF53" s="2" t="s">
        <v>403</v>
      </c>
      <c r="BG53" s="16" t="s">
        <v>403</v>
      </c>
      <c r="BH53" s="2"/>
      <c r="BI53" s="16"/>
      <c r="BJ53" s="2" t="s">
        <v>450</v>
      </c>
    </row>
    <row r="54" spans="1:62" ht="30">
      <c r="A54" s="1">
        <v>53</v>
      </c>
      <c r="B54" s="1" t="s">
        <v>147</v>
      </c>
      <c r="C54" s="1" t="s">
        <v>148</v>
      </c>
      <c r="D54" s="2" t="s">
        <v>17</v>
      </c>
      <c r="E54" s="1" t="s">
        <v>36</v>
      </c>
      <c r="F54" s="2" t="s">
        <v>197</v>
      </c>
      <c r="G54" s="3">
        <v>1500</v>
      </c>
      <c r="H54" s="17">
        <f t="shared" si="0"/>
        <v>1500</v>
      </c>
      <c r="I54" s="8">
        <v>1000</v>
      </c>
      <c r="J54" s="19">
        <f t="shared" si="3"/>
        <v>1000</v>
      </c>
      <c r="K54" s="21">
        <f t="shared" si="1"/>
        <v>66.666666666666657</v>
      </c>
      <c r="L54" s="21" t="str">
        <f t="shared" si="2"/>
        <v>Yes</v>
      </c>
      <c r="M54" s="33"/>
      <c r="N54" s="2" t="s">
        <v>244</v>
      </c>
      <c r="O54" s="18" t="s">
        <v>363</v>
      </c>
      <c r="P54" s="2" t="s">
        <v>245</v>
      </c>
      <c r="Q54" s="16" t="s">
        <v>245</v>
      </c>
      <c r="R54" s="2" t="s">
        <v>704</v>
      </c>
      <c r="S54" s="17" t="s">
        <v>764</v>
      </c>
      <c r="T54" s="33"/>
      <c r="U54" s="2" t="s">
        <v>454</v>
      </c>
      <c r="V54" s="17" t="s">
        <v>597</v>
      </c>
      <c r="W54" s="2" t="s">
        <v>528</v>
      </c>
      <c r="X54" s="17" t="s">
        <v>756</v>
      </c>
      <c r="Y54" s="2" t="s">
        <v>529</v>
      </c>
      <c r="Z54" s="16" t="s">
        <v>764</v>
      </c>
      <c r="AA54" s="33"/>
      <c r="AB54" s="2" t="s">
        <v>244</v>
      </c>
      <c r="AC54" s="17" t="s">
        <v>363</v>
      </c>
      <c r="AD54" s="2" t="s">
        <v>245</v>
      </c>
      <c r="AE54" s="17" t="s">
        <v>245</v>
      </c>
      <c r="AF54" s="2" t="s">
        <v>705</v>
      </c>
      <c r="AG54" s="17" t="s">
        <v>764</v>
      </c>
      <c r="AH54" s="33"/>
      <c r="AI54" s="2" t="s">
        <v>530</v>
      </c>
      <c r="AJ54" s="17" t="s">
        <v>798</v>
      </c>
      <c r="AK54" s="2" t="s">
        <v>531</v>
      </c>
      <c r="AL54" s="17" t="s">
        <v>418</v>
      </c>
      <c r="AM54" s="33"/>
      <c r="AN54" s="2" t="s">
        <v>532</v>
      </c>
      <c r="AO54" s="17" t="s">
        <v>798</v>
      </c>
      <c r="AP54" s="2" t="s">
        <v>544</v>
      </c>
      <c r="AQ54" s="17" t="s">
        <v>418</v>
      </c>
      <c r="AR54" s="33"/>
      <c r="AS54" s="2" t="s">
        <v>533</v>
      </c>
      <c r="AT54" s="16" t="s">
        <v>797</v>
      </c>
      <c r="AU54" s="2" t="s">
        <v>531</v>
      </c>
      <c r="AV54" s="16" t="s">
        <v>418</v>
      </c>
      <c r="AW54" s="33"/>
      <c r="AX54" s="2" t="s">
        <v>534</v>
      </c>
      <c r="AY54" s="16" t="s">
        <v>855</v>
      </c>
      <c r="AZ54" s="2" t="s">
        <v>535</v>
      </c>
      <c r="BA54" s="16" t="s">
        <v>891</v>
      </c>
      <c r="BB54" s="2" t="s">
        <v>3</v>
      </c>
      <c r="BC54" s="16" t="s">
        <v>3</v>
      </c>
      <c r="BD54" s="2" t="s">
        <v>536</v>
      </c>
      <c r="BE54" s="16" t="s">
        <v>809</v>
      </c>
      <c r="BF54" s="2" t="s">
        <v>677</v>
      </c>
      <c r="BG54" s="16" t="s">
        <v>819</v>
      </c>
      <c r="BH54" s="2" t="s">
        <v>537</v>
      </c>
      <c r="BI54" s="16"/>
      <c r="BJ54" s="2"/>
    </row>
    <row r="55" spans="1:62" ht="30">
      <c r="A55" s="1">
        <v>54</v>
      </c>
      <c r="B55" s="1" t="s">
        <v>149</v>
      </c>
      <c r="C55" s="1" t="s">
        <v>150</v>
      </c>
      <c r="D55" s="2" t="s">
        <v>17</v>
      </c>
      <c r="E55" s="1" t="s">
        <v>36</v>
      </c>
      <c r="F55" s="2" t="s">
        <v>197</v>
      </c>
      <c r="G55" s="3">
        <v>1800</v>
      </c>
      <c r="H55" s="17">
        <f t="shared" si="0"/>
        <v>1800</v>
      </c>
      <c r="I55" s="8">
        <v>1200</v>
      </c>
      <c r="J55" s="19">
        <f t="shared" si="3"/>
        <v>1200</v>
      </c>
      <c r="K55" s="21">
        <f t="shared" si="1"/>
        <v>66.666666666666657</v>
      </c>
      <c r="L55" s="21" t="str">
        <f t="shared" si="2"/>
        <v>Yes</v>
      </c>
      <c r="M55" s="33"/>
      <c r="N55" s="2" t="s">
        <v>363</v>
      </c>
      <c r="O55" s="18" t="s">
        <v>363</v>
      </c>
      <c r="P55" s="2"/>
      <c r="Q55" s="16"/>
      <c r="R55" s="2"/>
      <c r="S55" s="17"/>
      <c r="T55" s="33"/>
      <c r="U55" s="2" t="s">
        <v>538</v>
      </c>
      <c r="V55" s="17" t="s">
        <v>597</v>
      </c>
      <c r="W55" s="2" t="s">
        <v>543</v>
      </c>
      <c r="X55" s="17" t="s">
        <v>756</v>
      </c>
      <c r="Y55" s="2" t="s">
        <v>539</v>
      </c>
      <c r="Z55" s="16" t="s">
        <v>764</v>
      </c>
      <c r="AA55" s="33"/>
      <c r="AB55" s="2" t="s">
        <v>540</v>
      </c>
      <c r="AC55" s="17" t="s">
        <v>363</v>
      </c>
      <c r="AD55" s="2" t="s">
        <v>245</v>
      </c>
      <c r="AE55" s="17" t="s">
        <v>245</v>
      </c>
      <c r="AF55" s="2" t="s">
        <v>383</v>
      </c>
      <c r="AG55" s="17" t="s">
        <v>364</v>
      </c>
      <c r="AH55" s="33"/>
      <c r="AI55" s="2" t="s">
        <v>255</v>
      </c>
      <c r="AJ55" s="17" t="s">
        <v>309</v>
      </c>
      <c r="AK55" s="2" t="s">
        <v>418</v>
      </c>
      <c r="AL55" s="17" t="s">
        <v>418</v>
      </c>
      <c r="AM55" s="33"/>
      <c r="AN55" s="2" t="s">
        <v>255</v>
      </c>
      <c r="AO55" s="17"/>
      <c r="AP55" s="2" t="s">
        <v>418</v>
      </c>
      <c r="AQ55" s="17" t="s">
        <v>418</v>
      </c>
      <c r="AR55" s="33"/>
      <c r="AS55" s="2" t="s">
        <v>541</v>
      </c>
      <c r="AT55" s="16" t="s">
        <v>309</v>
      </c>
      <c r="AU55" s="2" t="s">
        <v>418</v>
      </c>
      <c r="AV55" s="16" t="s">
        <v>418</v>
      </c>
      <c r="AW55" s="33"/>
      <c r="AX55" s="2" t="s">
        <v>542</v>
      </c>
      <c r="AY55" s="16" t="s">
        <v>847</v>
      </c>
      <c r="AZ55" s="2" t="s">
        <v>535</v>
      </c>
      <c r="BA55" s="16" t="s">
        <v>891</v>
      </c>
      <c r="BB55" s="2" t="s">
        <v>3</v>
      </c>
      <c r="BC55" s="16" t="s">
        <v>3</v>
      </c>
      <c r="BD55" s="2" t="s">
        <v>362</v>
      </c>
      <c r="BE55" s="16" t="s">
        <v>809</v>
      </c>
      <c r="BF55" s="2" t="s">
        <v>403</v>
      </c>
      <c r="BG55" s="16" t="s">
        <v>403</v>
      </c>
      <c r="BH55" s="2" t="s">
        <v>606</v>
      </c>
      <c r="BI55" s="16" t="s">
        <v>606</v>
      </c>
      <c r="BJ55" s="2"/>
    </row>
    <row r="56" spans="1:62" ht="30">
      <c r="A56" s="1">
        <v>55</v>
      </c>
      <c r="B56" s="1" t="s">
        <v>151</v>
      </c>
      <c r="C56" s="1" t="s">
        <v>152</v>
      </c>
      <c r="D56" s="2" t="s">
        <v>651</v>
      </c>
      <c r="E56" s="1" t="s">
        <v>687</v>
      </c>
      <c r="F56" s="2" t="s">
        <v>197</v>
      </c>
      <c r="G56" s="2">
        <v>850</v>
      </c>
      <c r="H56" s="17">
        <f t="shared" si="0"/>
        <v>850</v>
      </c>
      <c r="I56" s="8">
        <v>170</v>
      </c>
      <c r="J56" s="19">
        <f t="shared" si="3"/>
        <v>170</v>
      </c>
      <c r="K56" s="21">
        <f t="shared" si="1"/>
        <v>20</v>
      </c>
      <c r="L56" s="21" t="str">
        <f t="shared" si="2"/>
        <v>Yes</v>
      </c>
      <c r="M56" s="33"/>
      <c r="N56" s="2"/>
      <c r="O56" s="18"/>
      <c r="P56" s="2"/>
      <c r="Q56" s="16"/>
      <c r="R56" s="2"/>
      <c r="S56" s="17"/>
      <c r="T56" s="33"/>
      <c r="U56" s="2"/>
      <c r="V56" s="17"/>
      <c r="W56" s="2"/>
      <c r="X56" s="17"/>
      <c r="Y56" s="2"/>
      <c r="Z56" s="16"/>
      <c r="AA56" s="33"/>
      <c r="AB56" s="2" t="s">
        <v>363</v>
      </c>
      <c r="AC56" s="17" t="s">
        <v>363</v>
      </c>
      <c r="AD56" s="2" t="s">
        <v>721</v>
      </c>
      <c r="AE56" s="17" t="s">
        <v>778</v>
      </c>
      <c r="AF56" s="2" t="s">
        <v>383</v>
      </c>
      <c r="AG56" s="17" t="s">
        <v>364</v>
      </c>
      <c r="AH56" s="33"/>
      <c r="AI56" s="2"/>
      <c r="AJ56" s="17"/>
      <c r="AK56" s="2"/>
      <c r="AL56" s="17"/>
      <c r="AM56" s="33"/>
      <c r="AN56" s="2"/>
      <c r="AO56" s="17"/>
      <c r="AP56" s="2"/>
      <c r="AQ56" s="17"/>
      <c r="AR56" s="33"/>
      <c r="AS56" s="2" t="s">
        <v>451</v>
      </c>
      <c r="AT56" s="16"/>
      <c r="AU56" s="2" t="s">
        <v>418</v>
      </c>
      <c r="AV56" s="16" t="s">
        <v>418</v>
      </c>
      <c r="AW56" s="33"/>
      <c r="AX56" s="2"/>
      <c r="AY56" s="16"/>
      <c r="AZ56" s="2" t="s">
        <v>452</v>
      </c>
      <c r="BA56" s="16"/>
      <c r="BB56" s="2"/>
      <c r="BC56" s="16"/>
      <c r="BD56" s="2"/>
      <c r="BE56" s="16"/>
      <c r="BF56" s="2" t="s">
        <v>403</v>
      </c>
      <c r="BG56" s="16" t="s">
        <v>403</v>
      </c>
      <c r="BH56" s="2"/>
      <c r="BI56" s="16"/>
      <c r="BJ56" s="2" t="s">
        <v>453</v>
      </c>
    </row>
    <row r="57" spans="1:62" ht="60">
      <c r="A57" s="1">
        <v>56</v>
      </c>
      <c r="B57" s="1" t="s">
        <v>153</v>
      </c>
      <c r="C57" s="1" t="s">
        <v>154</v>
      </c>
      <c r="D57" s="2" t="s">
        <v>17</v>
      </c>
      <c r="E57" s="1" t="s">
        <v>36</v>
      </c>
      <c r="F57" s="2" t="s">
        <v>197</v>
      </c>
      <c r="G57" s="2">
        <v>5000</v>
      </c>
      <c r="H57" s="17">
        <f t="shared" si="0"/>
        <v>5000</v>
      </c>
      <c r="I57" s="8">
        <v>2300</v>
      </c>
      <c r="J57" s="19">
        <f t="shared" si="3"/>
        <v>2300</v>
      </c>
      <c r="K57" s="21">
        <f t="shared" si="1"/>
        <v>46</v>
      </c>
      <c r="L57" s="21" t="str">
        <f t="shared" si="2"/>
        <v>Yes</v>
      </c>
      <c r="M57" s="33"/>
      <c r="N57" s="2" t="s">
        <v>363</v>
      </c>
      <c r="O57" s="18" t="s">
        <v>363</v>
      </c>
      <c r="P57" s="2" t="s">
        <v>245</v>
      </c>
      <c r="Q57" s="16" t="s">
        <v>245</v>
      </c>
      <c r="R57" s="2" t="s">
        <v>364</v>
      </c>
      <c r="S57" s="17" t="s">
        <v>364</v>
      </c>
      <c r="T57" s="33"/>
      <c r="U57" s="2" t="s">
        <v>376</v>
      </c>
      <c r="V57" s="17"/>
      <c r="W57" s="2" t="s">
        <v>376</v>
      </c>
      <c r="X57" s="17"/>
      <c r="Y57" s="2" t="s">
        <v>376</v>
      </c>
      <c r="Z57" s="16"/>
      <c r="AA57" s="33"/>
      <c r="AB57" s="2" t="s">
        <v>545</v>
      </c>
      <c r="AC57" s="17" t="s">
        <v>363</v>
      </c>
      <c r="AD57" s="2" t="s">
        <v>245</v>
      </c>
      <c r="AE57" s="17" t="s">
        <v>245</v>
      </c>
      <c r="AF57" s="2" t="s">
        <v>546</v>
      </c>
      <c r="AG57" s="17" t="s">
        <v>764</v>
      </c>
      <c r="AH57" s="33"/>
      <c r="AI57" s="2" t="s">
        <v>547</v>
      </c>
      <c r="AJ57" s="17" t="s">
        <v>798</v>
      </c>
      <c r="AK57" s="4" t="s">
        <v>663</v>
      </c>
      <c r="AL57" s="17" t="s">
        <v>418</v>
      </c>
      <c r="AM57" s="33"/>
      <c r="AN57" s="2" t="s">
        <v>376</v>
      </c>
      <c r="AO57" s="17"/>
      <c r="AP57" s="2" t="s">
        <v>376</v>
      </c>
      <c r="AQ57" s="17"/>
      <c r="AR57" s="33"/>
      <c r="AS57" s="2" t="s">
        <v>548</v>
      </c>
      <c r="AT57" s="16" t="s">
        <v>797</v>
      </c>
      <c r="AU57" s="2" t="s">
        <v>664</v>
      </c>
      <c r="AV57" s="16" t="s">
        <v>418</v>
      </c>
      <c r="AW57" s="33"/>
      <c r="AX57" s="2" t="s">
        <v>549</v>
      </c>
      <c r="AY57" s="16" t="s">
        <v>856</v>
      </c>
      <c r="AZ57" s="4" t="s">
        <v>550</v>
      </c>
      <c r="BA57" s="16" t="s">
        <v>891</v>
      </c>
      <c r="BB57" s="2" t="s">
        <v>3</v>
      </c>
      <c r="BC57" s="16" t="s">
        <v>3</v>
      </c>
      <c r="BD57" s="2" t="s">
        <v>551</v>
      </c>
      <c r="BE57" s="16" t="s">
        <v>814</v>
      </c>
      <c r="BF57" s="2" t="s">
        <v>403</v>
      </c>
      <c r="BG57" s="16" t="s">
        <v>403</v>
      </c>
      <c r="BH57" s="2" t="s">
        <v>552</v>
      </c>
      <c r="BI57" s="16"/>
      <c r="BJ57" s="2" t="s">
        <v>553</v>
      </c>
    </row>
    <row r="58" spans="1:62" ht="30">
      <c r="A58" s="1">
        <v>57</v>
      </c>
      <c r="B58" s="1" t="s">
        <v>155</v>
      </c>
      <c r="C58" s="1" t="s">
        <v>156</v>
      </c>
      <c r="D58" s="2" t="s">
        <v>24</v>
      </c>
      <c r="E58" s="1" t="s">
        <v>36</v>
      </c>
      <c r="F58" s="2" t="s">
        <v>197</v>
      </c>
      <c r="G58" s="2">
        <v>400</v>
      </c>
      <c r="H58" s="17">
        <f t="shared" si="0"/>
        <v>400</v>
      </c>
      <c r="I58" s="8">
        <v>160</v>
      </c>
      <c r="J58" s="19">
        <f t="shared" si="3"/>
        <v>160</v>
      </c>
      <c r="K58" s="21">
        <f t="shared" si="1"/>
        <v>40</v>
      </c>
      <c r="L58" s="21" t="str">
        <f t="shared" si="2"/>
        <v>Yes</v>
      </c>
      <c r="M58" s="33"/>
      <c r="N58" s="2"/>
      <c r="O58" s="18"/>
      <c r="P58" s="2"/>
      <c r="Q58" s="16"/>
      <c r="R58" s="2"/>
      <c r="S58" s="17"/>
      <c r="T58" s="33"/>
      <c r="U58" s="2" t="s">
        <v>454</v>
      </c>
      <c r="V58" s="17" t="s">
        <v>597</v>
      </c>
      <c r="W58" s="2" t="s">
        <v>652</v>
      </c>
      <c r="X58" s="17" t="s">
        <v>756</v>
      </c>
      <c r="Y58" s="2" t="s">
        <v>455</v>
      </c>
      <c r="Z58" s="16" t="s">
        <v>764</v>
      </c>
      <c r="AA58" s="33"/>
      <c r="AB58" s="2"/>
      <c r="AC58" s="17"/>
      <c r="AD58" s="2"/>
      <c r="AE58" s="17"/>
      <c r="AF58" s="2"/>
      <c r="AG58" s="17"/>
      <c r="AH58" s="33"/>
      <c r="AI58" s="2" t="s">
        <v>456</v>
      </c>
      <c r="AJ58" s="17"/>
      <c r="AK58" s="2"/>
      <c r="AL58" s="17"/>
      <c r="AM58" s="33"/>
      <c r="AN58" s="2"/>
      <c r="AO58" s="17"/>
      <c r="AP58" s="2"/>
      <c r="AQ58" s="17"/>
      <c r="AR58" s="33"/>
      <c r="AS58" s="2"/>
      <c r="AT58" s="16"/>
      <c r="AU58" s="2"/>
      <c r="AV58" s="16"/>
      <c r="AW58" s="33"/>
      <c r="AX58" s="2" t="s">
        <v>457</v>
      </c>
      <c r="AY58" s="16" t="s">
        <v>865</v>
      </c>
      <c r="AZ58" s="2"/>
      <c r="BA58" s="16"/>
      <c r="BB58" s="2" t="s">
        <v>3</v>
      </c>
      <c r="BC58" s="46" t="s">
        <v>3</v>
      </c>
      <c r="BD58" s="7" t="s">
        <v>458</v>
      </c>
      <c r="BE58" s="46" t="s">
        <v>807</v>
      </c>
      <c r="BF58" s="2" t="s">
        <v>459</v>
      </c>
      <c r="BG58" s="16"/>
      <c r="BH58" s="2"/>
      <c r="BI58" s="16"/>
      <c r="BJ58" s="2"/>
    </row>
    <row r="59" spans="1:62" ht="45">
      <c r="A59" s="1">
        <v>58</v>
      </c>
      <c r="B59" s="1" t="s">
        <v>157</v>
      </c>
      <c r="C59" s="1" t="s">
        <v>158</v>
      </c>
      <c r="D59" s="2" t="s">
        <v>27</v>
      </c>
      <c r="E59" s="1" t="s">
        <v>36</v>
      </c>
      <c r="F59" s="2" t="s">
        <v>197</v>
      </c>
      <c r="G59" s="2">
        <v>1000</v>
      </c>
      <c r="H59" s="17">
        <f t="shared" si="0"/>
        <v>1000</v>
      </c>
      <c r="I59" s="8">
        <v>100</v>
      </c>
      <c r="J59" s="19">
        <f t="shared" si="3"/>
        <v>100</v>
      </c>
      <c r="K59" s="21">
        <f t="shared" si="1"/>
        <v>10</v>
      </c>
      <c r="L59" s="21" t="str">
        <f t="shared" si="2"/>
        <v>Yes</v>
      </c>
      <c r="M59" s="33"/>
      <c r="N59" s="2" t="s">
        <v>363</v>
      </c>
      <c r="O59" s="18" t="s">
        <v>363</v>
      </c>
      <c r="P59" s="2" t="s">
        <v>554</v>
      </c>
      <c r="Q59" s="16" t="s">
        <v>245</v>
      </c>
      <c r="R59" s="2" t="s">
        <v>706</v>
      </c>
      <c r="S59" s="17" t="s">
        <v>764</v>
      </c>
      <c r="T59" s="33"/>
      <c r="U59" s="2" t="s">
        <v>376</v>
      </c>
      <c r="V59" s="17"/>
      <c r="W59" s="2" t="s">
        <v>376</v>
      </c>
      <c r="X59" s="17"/>
      <c r="Y59" s="2" t="s">
        <v>376</v>
      </c>
      <c r="Z59" s="16"/>
      <c r="AA59" s="33"/>
      <c r="AB59" s="2" t="s">
        <v>376</v>
      </c>
      <c r="AC59" s="17"/>
      <c r="AD59" s="2" t="s">
        <v>376</v>
      </c>
      <c r="AE59" s="17"/>
      <c r="AF59" s="2" t="s">
        <v>376</v>
      </c>
      <c r="AG59" s="17"/>
      <c r="AH59" s="33"/>
      <c r="AI59" s="2"/>
      <c r="AJ59" s="17"/>
      <c r="AK59" s="2"/>
      <c r="AL59" s="17"/>
      <c r="AM59" s="33"/>
      <c r="AN59" s="2"/>
      <c r="AO59" s="17"/>
      <c r="AP59" s="2"/>
      <c r="AQ59" s="17"/>
      <c r="AR59" s="33"/>
      <c r="AS59" s="2"/>
      <c r="AT59" s="16"/>
      <c r="AU59" s="2"/>
      <c r="AV59" s="16"/>
      <c r="AW59" s="33"/>
      <c r="AX59" s="2"/>
      <c r="AY59" s="16"/>
      <c r="AZ59" s="2"/>
      <c r="BA59" s="16"/>
      <c r="BB59" s="2"/>
      <c r="BC59" s="16"/>
      <c r="BD59" s="2"/>
      <c r="BE59" s="16"/>
      <c r="BF59" s="2" t="s">
        <v>676</v>
      </c>
      <c r="BG59" s="16" t="s">
        <v>819</v>
      </c>
      <c r="BH59" s="2" t="s">
        <v>683</v>
      </c>
      <c r="BI59" s="16" t="s">
        <v>606</v>
      </c>
      <c r="BJ59" s="2"/>
    </row>
    <row r="60" spans="1:62" ht="15">
      <c r="A60" s="1">
        <v>59</v>
      </c>
      <c r="B60" s="1" t="s">
        <v>159</v>
      </c>
      <c r="C60" s="1" t="s">
        <v>160</v>
      </c>
      <c r="D60" s="2" t="s">
        <v>29</v>
      </c>
      <c r="E60" s="1" t="s">
        <v>36</v>
      </c>
      <c r="F60" s="2" t="s">
        <v>197</v>
      </c>
      <c r="G60" s="2">
        <v>1200</v>
      </c>
      <c r="H60" s="17">
        <f t="shared" si="0"/>
        <v>1200</v>
      </c>
      <c r="I60" s="8">
        <v>100</v>
      </c>
      <c r="J60" s="19">
        <f t="shared" si="3"/>
        <v>100</v>
      </c>
      <c r="K60" s="21">
        <f t="shared" si="1"/>
        <v>8.3333333333333321</v>
      </c>
      <c r="L60" s="21" t="str">
        <f t="shared" si="2"/>
        <v>Yes</v>
      </c>
      <c r="M60" s="33"/>
      <c r="N60" s="5">
        <v>42979</v>
      </c>
      <c r="O60" s="18" t="s">
        <v>752</v>
      </c>
      <c r="P60" s="2" t="s">
        <v>423</v>
      </c>
      <c r="Q60" s="16" t="s">
        <v>423</v>
      </c>
      <c r="R60" s="2" t="s">
        <v>641</v>
      </c>
      <c r="S60" s="17" t="s">
        <v>764</v>
      </c>
      <c r="T60" s="33"/>
      <c r="U60" s="2" t="s">
        <v>376</v>
      </c>
      <c r="V60" s="17"/>
      <c r="W60" s="2" t="s">
        <v>376</v>
      </c>
      <c r="X60" s="17"/>
      <c r="Y60" s="2" t="s">
        <v>376</v>
      </c>
      <c r="Z60" s="16"/>
      <c r="AA60" s="33"/>
      <c r="AB60" s="5">
        <v>42979</v>
      </c>
      <c r="AC60" s="44" t="s">
        <v>752</v>
      </c>
      <c r="AD60" s="2" t="s">
        <v>423</v>
      </c>
      <c r="AE60" s="17" t="s">
        <v>423</v>
      </c>
      <c r="AF60" s="2" t="s">
        <v>376</v>
      </c>
      <c r="AG60" s="17"/>
      <c r="AH60" s="33"/>
      <c r="AI60" s="5">
        <v>42795</v>
      </c>
      <c r="AJ60" s="44" t="s">
        <v>798</v>
      </c>
      <c r="AK60" s="2" t="s">
        <v>460</v>
      </c>
      <c r="AL60" s="17" t="s">
        <v>418</v>
      </c>
      <c r="AM60" s="33"/>
      <c r="AN60" s="2" t="s">
        <v>376</v>
      </c>
      <c r="AO60" s="17"/>
      <c r="AP60" s="2" t="s">
        <v>376</v>
      </c>
      <c r="AQ60" s="17"/>
      <c r="AR60" s="33"/>
      <c r="AS60" s="5">
        <v>42795</v>
      </c>
      <c r="AT60" s="48" t="s">
        <v>805</v>
      </c>
      <c r="AU60" s="2" t="s">
        <v>418</v>
      </c>
      <c r="AV60" s="16" t="s">
        <v>418</v>
      </c>
      <c r="AW60" s="33"/>
      <c r="AX60" s="2"/>
      <c r="AY60" s="16"/>
      <c r="AZ60" s="2"/>
      <c r="BA60" s="16"/>
      <c r="BB60" s="2"/>
      <c r="BC60" s="16"/>
      <c r="BD60" s="4"/>
      <c r="BE60" s="16"/>
      <c r="BF60" s="4" t="s">
        <v>403</v>
      </c>
      <c r="BG60" s="16" t="s">
        <v>403</v>
      </c>
      <c r="BH60" s="4"/>
      <c r="BI60" s="16"/>
      <c r="BJ60" s="4"/>
    </row>
    <row r="61" spans="1:62" ht="30">
      <c r="A61" s="1">
        <v>60</v>
      </c>
      <c r="B61" s="1" t="s">
        <v>161</v>
      </c>
      <c r="C61" s="1" t="s">
        <v>162</v>
      </c>
      <c r="D61" s="2" t="s">
        <v>17</v>
      </c>
      <c r="E61" s="1" t="s">
        <v>36</v>
      </c>
      <c r="F61" s="2" t="s">
        <v>197</v>
      </c>
      <c r="G61" s="2">
        <v>140</v>
      </c>
      <c r="H61" s="17">
        <f t="shared" si="0"/>
        <v>140</v>
      </c>
      <c r="I61" s="8">
        <v>50</v>
      </c>
      <c r="J61" s="19">
        <f t="shared" si="3"/>
        <v>50</v>
      </c>
      <c r="K61" s="21">
        <f t="shared" si="1"/>
        <v>35.714285714285715</v>
      </c>
      <c r="L61" s="21" t="str">
        <f t="shared" si="2"/>
        <v>Yes</v>
      </c>
      <c r="M61" s="33"/>
      <c r="N61" s="2" t="s">
        <v>376</v>
      </c>
      <c r="O61" s="18"/>
      <c r="P61" s="2" t="s">
        <v>376</v>
      </c>
      <c r="Q61" s="16"/>
      <c r="R61" s="2" t="s">
        <v>376</v>
      </c>
      <c r="S61" s="17"/>
      <c r="T61" s="33"/>
      <c r="U61" s="2" t="s">
        <v>376</v>
      </c>
      <c r="V61" s="17"/>
      <c r="W61" s="2" t="s">
        <v>376</v>
      </c>
      <c r="X61" s="17"/>
      <c r="Y61" s="2" t="s">
        <v>376</v>
      </c>
      <c r="Z61" s="16"/>
      <c r="AA61" s="33"/>
      <c r="AB61" s="2" t="s">
        <v>719</v>
      </c>
      <c r="AC61" s="17"/>
      <c r="AD61" s="2" t="s">
        <v>555</v>
      </c>
      <c r="AE61" s="17"/>
      <c r="AF61" s="2"/>
      <c r="AG61" s="17"/>
      <c r="AH61" s="33"/>
      <c r="AI61" s="2" t="s">
        <v>556</v>
      </c>
      <c r="AJ61" s="17" t="s">
        <v>798</v>
      </c>
      <c r="AK61" s="2" t="s">
        <v>418</v>
      </c>
      <c r="AL61" s="17" t="s">
        <v>418</v>
      </c>
      <c r="AM61" s="33"/>
      <c r="AN61" s="2" t="s">
        <v>376</v>
      </c>
      <c r="AO61" s="17"/>
      <c r="AP61" s="2" t="s">
        <v>376</v>
      </c>
      <c r="AQ61" s="17"/>
      <c r="AR61" s="33"/>
      <c r="AS61" s="2"/>
      <c r="AT61" s="16"/>
      <c r="AU61" s="2"/>
      <c r="AV61" s="16"/>
      <c r="AW61" s="33"/>
      <c r="AX61" s="2" t="s">
        <v>338</v>
      </c>
      <c r="AY61" s="16" t="s">
        <v>863</v>
      </c>
      <c r="AZ61" s="2" t="s">
        <v>557</v>
      </c>
      <c r="BA61" s="16" t="s">
        <v>891</v>
      </c>
      <c r="BB61" s="2" t="s">
        <v>3</v>
      </c>
      <c r="BC61" s="16" t="s">
        <v>3</v>
      </c>
      <c r="BD61" s="2" t="s">
        <v>558</v>
      </c>
      <c r="BE61" s="16" t="s">
        <v>814</v>
      </c>
      <c r="BF61" s="2" t="s">
        <v>403</v>
      </c>
      <c r="BG61" s="16" t="s">
        <v>403</v>
      </c>
      <c r="BH61" s="2" t="s">
        <v>333</v>
      </c>
      <c r="BI61" s="16" t="s">
        <v>834</v>
      </c>
      <c r="BJ61" s="2" t="s">
        <v>559</v>
      </c>
    </row>
    <row r="62" spans="1:62" ht="60">
      <c r="A62" s="1">
        <v>61</v>
      </c>
      <c r="B62" s="1" t="s">
        <v>163</v>
      </c>
      <c r="C62" s="1" t="s">
        <v>164</v>
      </c>
      <c r="D62" s="2" t="s">
        <v>26</v>
      </c>
      <c r="E62" s="1" t="s">
        <v>36</v>
      </c>
      <c r="F62" s="2" t="s">
        <v>197</v>
      </c>
      <c r="G62" s="2">
        <v>1080</v>
      </c>
      <c r="H62" s="17">
        <f t="shared" si="0"/>
        <v>1080</v>
      </c>
      <c r="I62" s="8">
        <v>340</v>
      </c>
      <c r="J62" s="19">
        <f t="shared" si="3"/>
        <v>340</v>
      </c>
      <c r="K62" s="21">
        <f t="shared" si="1"/>
        <v>31.481481481481481</v>
      </c>
      <c r="L62" s="21" t="str">
        <f t="shared" si="2"/>
        <v>Yes</v>
      </c>
      <c r="M62" s="33"/>
      <c r="N62" s="2"/>
      <c r="O62" s="18"/>
      <c r="P62" s="2" t="s">
        <v>423</v>
      </c>
      <c r="Q62" s="16" t="s">
        <v>423</v>
      </c>
      <c r="R62" s="2" t="s">
        <v>707</v>
      </c>
      <c r="S62" s="17" t="s">
        <v>764</v>
      </c>
      <c r="T62" s="33"/>
      <c r="U62" s="2" t="s">
        <v>560</v>
      </c>
      <c r="V62" s="17" t="s">
        <v>597</v>
      </c>
      <c r="W62" s="2" t="s">
        <v>423</v>
      </c>
      <c r="X62" s="17" t="s">
        <v>423</v>
      </c>
      <c r="Y62" s="2" t="s">
        <v>707</v>
      </c>
      <c r="Z62" s="16" t="s">
        <v>764</v>
      </c>
      <c r="AA62" s="33"/>
      <c r="AB62" s="2" t="s">
        <v>561</v>
      </c>
      <c r="AC62" s="17" t="s">
        <v>752</v>
      </c>
      <c r="AD62" s="2" t="s">
        <v>213</v>
      </c>
      <c r="AE62" s="17" t="s">
        <v>423</v>
      </c>
      <c r="AF62" s="2" t="s">
        <v>708</v>
      </c>
      <c r="AG62" s="17" t="s">
        <v>764</v>
      </c>
      <c r="AH62" s="33"/>
      <c r="AI62" s="2" t="s">
        <v>562</v>
      </c>
      <c r="AJ62" s="17"/>
      <c r="AK62" s="2" t="s">
        <v>418</v>
      </c>
      <c r="AL62" s="17" t="s">
        <v>418</v>
      </c>
      <c r="AM62" s="33"/>
      <c r="AN62" s="2" t="s">
        <v>563</v>
      </c>
      <c r="AO62" s="17" t="s">
        <v>798</v>
      </c>
      <c r="AP62" s="2" t="s">
        <v>418</v>
      </c>
      <c r="AQ62" s="17" t="s">
        <v>418</v>
      </c>
      <c r="AR62" s="33"/>
      <c r="AS62" s="2" t="s">
        <v>564</v>
      </c>
      <c r="AT62" s="16"/>
      <c r="AU62" s="2" t="s">
        <v>418</v>
      </c>
      <c r="AV62" s="16" t="s">
        <v>418</v>
      </c>
      <c r="AW62" s="33"/>
      <c r="AX62" s="2" t="s">
        <v>565</v>
      </c>
      <c r="AY62" s="16"/>
      <c r="AZ62" s="2" t="s">
        <v>566</v>
      </c>
      <c r="BA62" s="16" t="s">
        <v>22</v>
      </c>
      <c r="BB62" s="2" t="s">
        <v>3</v>
      </c>
      <c r="BC62" s="16" t="s">
        <v>3</v>
      </c>
      <c r="BD62" s="2" t="s">
        <v>567</v>
      </c>
      <c r="BE62" s="16" t="s">
        <v>808</v>
      </c>
      <c r="BF62" s="2" t="s">
        <v>568</v>
      </c>
      <c r="BG62" s="16" t="s">
        <v>819</v>
      </c>
      <c r="BH62" s="2" t="s">
        <v>333</v>
      </c>
      <c r="BI62" s="16" t="s">
        <v>834</v>
      </c>
      <c r="BJ62" s="2" t="s">
        <v>569</v>
      </c>
    </row>
    <row r="63" spans="1:62" ht="30">
      <c r="A63" s="1">
        <v>62</v>
      </c>
      <c r="B63" s="1" t="s">
        <v>165</v>
      </c>
      <c r="C63" s="1" t="s">
        <v>166</v>
      </c>
      <c r="D63" s="2" t="s">
        <v>12</v>
      </c>
      <c r="E63" s="1" t="s">
        <v>687</v>
      </c>
      <c r="F63" s="2" t="s">
        <v>197</v>
      </c>
      <c r="G63" s="2">
        <v>300</v>
      </c>
      <c r="H63" s="17">
        <f t="shared" si="0"/>
        <v>300</v>
      </c>
      <c r="I63" s="8" t="s">
        <v>210</v>
      </c>
      <c r="J63" s="19">
        <v>75</v>
      </c>
      <c r="K63" s="21">
        <f t="shared" si="1"/>
        <v>25</v>
      </c>
      <c r="L63" s="21" t="str">
        <f t="shared" si="2"/>
        <v>Yes</v>
      </c>
      <c r="M63" s="33"/>
      <c r="N63" s="2" t="s">
        <v>570</v>
      </c>
      <c r="O63" s="18" t="s">
        <v>752</v>
      </c>
      <c r="P63" s="2" t="s">
        <v>423</v>
      </c>
      <c r="Q63" s="16" t="s">
        <v>423</v>
      </c>
      <c r="R63" s="2" t="s">
        <v>709</v>
      </c>
      <c r="S63" s="17" t="s">
        <v>764</v>
      </c>
      <c r="T63" s="33"/>
      <c r="U63" s="2" t="s">
        <v>376</v>
      </c>
      <c r="V63" s="17"/>
      <c r="W63" s="2" t="s">
        <v>376</v>
      </c>
      <c r="X63" s="17"/>
      <c r="Y63" s="2" t="s">
        <v>376</v>
      </c>
      <c r="Z63" s="16"/>
      <c r="AA63" s="33"/>
      <c r="AB63" s="2" t="s">
        <v>718</v>
      </c>
      <c r="AC63" s="17" t="s">
        <v>363</v>
      </c>
      <c r="AD63" s="2" t="s">
        <v>658</v>
      </c>
      <c r="AE63" s="17" t="s">
        <v>423</v>
      </c>
      <c r="AF63" s="2" t="s">
        <v>571</v>
      </c>
      <c r="AG63" s="17" t="s">
        <v>364</v>
      </c>
      <c r="AH63" s="33"/>
      <c r="AI63" s="2" t="s">
        <v>572</v>
      </c>
      <c r="AJ63" s="17" t="s">
        <v>309</v>
      </c>
      <c r="AK63" s="2" t="s">
        <v>418</v>
      </c>
      <c r="AL63" s="17" t="s">
        <v>418</v>
      </c>
      <c r="AM63" s="33"/>
      <c r="AN63" s="2" t="s">
        <v>376</v>
      </c>
      <c r="AO63" s="17"/>
      <c r="AP63" s="2" t="s">
        <v>376</v>
      </c>
      <c r="AQ63" s="17"/>
      <c r="AR63" s="33"/>
      <c r="AS63" s="2" t="s">
        <v>573</v>
      </c>
      <c r="AT63" s="16" t="s">
        <v>309</v>
      </c>
      <c r="AU63" s="2" t="s">
        <v>418</v>
      </c>
      <c r="AV63" s="16" t="s">
        <v>418</v>
      </c>
      <c r="AW63" s="33"/>
      <c r="AX63" s="2" t="s">
        <v>574</v>
      </c>
      <c r="AY63" s="16" t="s">
        <v>14</v>
      </c>
      <c r="AZ63" s="2" t="s">
        <v>575</v>
      </c>
      <c r="BA63" s="16" t="s">
        <v>890</v>
      </c>
      <c r="BB63" s="2" t="s">
        <v>3</v>
      </c>
      <c r="BC63" s="16" t="s">
        <v>3</v>
      </c>
      <c r="BD63" s="2" t="s">
        <v>576</v>
      </c>
      <c r="BE63" s="16" t="s">
        <v>807</v>
      </c>
      <c r="BF63" s="2" t="s">
        <v>403</v>
      </c>
      <c r="BG63" s="16" t="s">
        <v>403</v>
      </c>
      <c r="BH63" s="2" t="s">
        <v>333</v>
      </c>
      <c r="BI63" s="16" t="s">
        <v>834</v>
      </c>
      <c r="BJ63" s="2" t="s">
        <v>577</v>
      </c>
    </row>
    <row r="64" spans="1:62" ht="30">
      <c r="A64" s="1">
        <v>63</v>
      </c>
      <c r="B64" s="1" t="s">
        <v>167</v>
      </c>
      <c r="C64" s="1" t="s">
        <v>168</v>
      </c>
      <c r="D64" s="2" t="s">
        <v>30</v>
      </c>
      <c r="E64" s="1" t="s">
        <v>687</v>
      </c>
      <c r="F64" s="2" t="s">
        <v>198</v>
      </c>
      <c r="G64" s="6">
        <v>100000</v>
      </c>
      <c r="H64" s="17">
        <f t="shared" si="0"/>
        <v>100000</v>
      </c>
      <c r="I64" s="8">
        <v>2500</v>
      </c>
      <c r="J64" s="19">
        <f t="shared" si="3"/>
        <v>2500</v>
      </c>
      <c r="K64" s="21">
        <f t="shared" si="1"/>
        <v>2.5</v>
      </c>
      <c r="L64" s="21" t="str">
        <f t="shared" si="2"/>
        <v>Yes</v>
      </c>
      <c r="M64" s="33"/>
      <c r="N64" s="2" t="s">
        <v>578</v>
      </c>
      <c r="O64" s="18" t="s">
        <v>363</v>
      </c>
      <c r="P64" s="2" t="s">
        <v>245</v>
      </c>
      <c r="Q64" s="16" t="s">
        <v>245</v>
      </c>
      <c r="R64" s="2" t="s">
        <v>579</v>
      </c>
      <c r="S64" s="17" t="s">
        <v>764</v>
      </c>
      <c r="T64" s="33"/>
      <c r="U64" s="2"/>
      <c r="V64" s="17"/>
      <c r="W64" s="2"/>
      <c r="X64" s="17"/>
      <c r="Y64" s="2"/>
      <c r="Z64" s="16"/>
      <c r="AA64" s="33"/>
      <c r="AB64" s="2" t="s">
        <v>363</v>
      </c>
      <c r="AC64" s="17" t="s">
        <v>363</v>
      </c>
      <c r="AD64" s="4" t="s">
        <v>580</v>
      </c>
      <c r="AE64" s="17" t="s">
        <v>245</v>
      </c>
      <c r="AF64" s="2" t="s">
        <v>579</v>
      </c>
      <c r="AG64" s="17" t="s">
        <v>364</v>
      </c>
      <c r="AH64" s="33"/>
      <c r="AI64" s="2" t="s">
        <v>583</v>
      </c>
      <c r="AJ64" s="17" t="s">
        <v>309</v>
      </c>
      <c r="AK64" s="2" t="s">
        <v>418</v>
      </c>
      <c r="AL64" s="17" t="s">
        <v>418</v>
      </c>
      <c r="AM64" s="33"/>
      <c r="AN64" s="2" t="s">
        <v>413</v>
      </c>
      <c r="AO64" s="17"/>
      <c r="AP64" s="2" t="s">
        <v>418</v>
      </c>
      <c r="AQ64" s="17" t="s">
        <v>418</v>
      </c>
      <c r="AR64" s="33"/>
      <c r="AS64" s="2" t="s">
        <v>413</v>
      </c>
      <c r="AT64" s="16"/>
      <c r="AU64" s="2" t="s">
        <v>418</v>
      </c>
      <c r="AV64" s="16" t="s">
        <v>418</v>
      </c>
      <c r="AW64" s="33"/>
      <c r="AX64" s="2" t="s">
        <v>581</v>
      </c>
      <c r="AY64" s="16" t="s">
        <v>857</v>
      </c>
      <c r="AZ64" s="2" t="s">
        <v>584</v>
      </c>
      <c r="BA64" s="16" t="s">
        <v>889</v>
      </c>
      <c r="BB64" s="2" t="s">
        <v>3</v>
      </c>
      <c r="BC64" s="16" t="s">
        <v>3</v>
      </c>
      <c r="BD64" s="2" t="s">
        <v>582</v>
      </c>
      <c r="BE64" s="16" t="s">
        <v>813</v>
      </c>
      <c r="BF64" s="2" t="s">
        <v>403</v>
      </c>
      <c r="BG64" s="16" t="s">
        <v>403</v>
      </c>
      <c r="BH64" s="2" t="s">
        <v>333</v>
      </c>
      <c r="BI64" s="16" t="s">
        <v>834</v>
      </c>
      <c r="BJ64" s="2"/>
    </row>
    <row r="65" spans="1:62" ht="45">
      <c r="A65" s="1">
        <v>64</v>
      </c>
      <c r="B65" s="1" t="s">
        <v>169</v>
      </c>
      <c r="C65" s="1" t="s">
        <v>170</v>
      </c>
      <c r="D65" s="2" t="s">
        <v>171</v>
      </c>
      <c r="E65" s="1" t="s">
        <v>376</v>
      </c>
      <c r="F65" s="2" t="s">
        <v>197</v>
      </c>
      <c r="G65" s="2">
        <v>3800</v>
      </c>
      <c r="H65" s="17">
        <f t="shared" si="0"/>
        <v>3800</v>
      </c>
      <c r="I65" s="8">
        <v>1100</v>
      </c>
      <c r="J65" s="19">
        <f t="shared" si="3"/>
        <v>1100</v>
      </c>
      <c r="K65" s="21">
        <f t="shared" si="1"/>
        <v>28.947368421052634</v>
      </c>
      <c r="L65" s="21" t="str">
        <f t="shared" si="2"/>
        <v>Yes</v>
      </c>
      <c r="M65" s="33"/>
      <c r="N65" s="2"/>
      <c r="O65" s="18"/>
      <c r="P65" s="2"/>
      <c r="Q65" s="16"/>
      <c r="R65" s="2" t="s">
        <v>642</v>
      </c>
      <c r="S65" s="17" t="s">
        <v>764</v>
      </c>
      <c r="T65" s="33"/>
      <c r="U65" s="2" t="s">
        <v>585</v>
      </c>
      <c r="V65" s="17" t="s">
        <v>597</v>
      </c>
      <c r="W65" s="2" t="s">
        <v>720</v>
      </c>
      <c r="X65" s="17" t="s">
        <v>756</v>
      </c>
      <c r="Y65" s="2" t="s">
        <v>642</v>
      </c>
      <c r="Z65" s="16" t="s">
        <v>764</v>
      </c>
      <c r="AA65" s="33"/>
      <c r="AB65" s="2" t="s">
        <v>717</v>
      </c>
      <c r="AC65" s="17" t="s">
        <v>363</v>
      </c>
      <c r="AD65" s="2" t="s">
        <v>586</v>
      </c>
      <c r="AE65" s="17" t="s">
        <v>245</v>
      </c>
      <c r="AF65" s="2" t="s">
        <v>640</v>
      </c>
      <c r="AG65" s="17" t="s">
        <v>764</v>
      </c>
      <c r="AH65" s="33"/>
      <c r="AI65" s="2" t="s">
        <v>587</v>
      </c>
      <c r="AJ65" s="17" t="s">
        <v>798</v>
      </c>
      <c r="AK65" s="2" t="s">
        <v>418</v>
      </c>
      <c r="AL65" s="17" t="s">
        <v>418</v>
      </c>
      <c r="AM65" s="33"/>
      <c r="AN65" s="2" t="s">
        <v>588</v>
      </c>
      <c r="AO65" s="17" t="s">
        <v>798</v>
      </c>
      <c r="AP65" s="2" t="s">
        <v>418</v>
      </c>
      <c r="AQ65" s="17" t="s">
        <v>418</v>
      </c>
      <c r="AR65" s="33"/>
      <c r="AS65" s="2" t="s">
        <v>588</v>
      </c>
      <c r="AT65" s="16" t="s">
        <v>798</v>
      </c>
      <c r="AU65" s="2" t="s">
        <v>376</v>
      </c>
      <c r="AV65" s="16"/>
      <c r="AW65" s="33"/>
      <c r="AX65" s="2" t="s">
        <v>589</v>
      </c>
      <c r="AY65" s="16" t="s">
        <v>864</v>
      </c>
      <c r="AZ65" s="2" t="s">
        <v>590</v>
      </c>
      <c r="BA65" s="16" t="s">
        <v>891</v>
      </c>
      <c r="BB65" s="2" t="s">
        <v>3</v>
      </c>
      <c r="BC65" s="16" t="s">
        <v>3</v>
      </c>
      <c r="BD65" s="2" t="s">
        <v>591</v>
      </c>
      <c r="BE65" s="16" t="s">
        <v>808</v>
      </c>
      <c r="BF65" s="2" t="s">
        <v>594</v>
      </c>
      <c r="BG65" s="16" t="s">
        <v>823</v>
      </c>
      <c r="BH65" s="2" t="s">
        <v>684</v>
      </c>
      <c r="BI65" s="16" t="s">
        <v>606</v>
      </c>
      <c r="BJ65" s="2" t="s">
        <v>592</v>
      </c>
    </row>
    <row r="66" spans="1:62" ht="30">
      <c r="A66" s="1">
        <v>65</v>
      </c>
      <c r="B66" s="1" t="s">
        <v>172</v>
      </c>
      <c r="C66" s="1" t="s">
        <v>173</v>
      </c>
      <c r="D66" s="2" t="s">
        <v>174</v>
      </c>
      <c r="E66" s="1"/>
      <c r="F66" s="2" t="s">
        <v>198</v>
      </c>
      <c r="G66" s="2">
        <v>5000</v>
      </c>
      <c r="H66" s="17">
        <f t="shared" si="0"/>
        <v>5000</v>
      </c>
      <c r="I66" s="8">
        <v>1500</v>
      </c>
      <c r="J66" s="19">
        <f t="shared" si="3"/>
        <v>1500</v>
      </c>
      <c r="K66" s="21">
        <f t="shared" si="1"/>
        <v>30</v>
      </c>
      <c r="L66" s="21" t="str">
        <f t="shared" si="2"/>
        <v>Yes</v>
      </c>
      <c r="M66" s="33"/>
      <c r="N66" s="4" t="s">
        <v>595</v>
      </c>
      <c r="O66" s="18" t="s">
        <v>752</v>
      </c>
      <c r="P66" s="2" t="s">
        <v>633</v>
      </c>
      <c r="Q66" s="16" t="s">
        <v>756</v>
      </c>
      <c r="R66" s="2" t="s">
        <v>710</v>
      </c>
      <c r="S66" s="19" t="s">
        <v>764</v>
      </c>
      <c r="T66" s="33"/>
      <c r="U66" s="2" t="s">
        <v>596</v>
      </c>
      <c r="V66" s="17"/>
      <c r="W66" s="2" t="s">
        <v>596</v>
      </c>
      <c r="X66" s="17"/>
      <c r="Y66" s="2" t="s">
        <v>596</v>
      </c>
      <c r="Z66" s="16"/>
      <c r="AA66" s="33"/>
      <c r="AB66" s="2" t="s">
        <v>244</v>
      </c>
      <c r="AC66" s="17" t="s">
        <v>363</v>
      </c>
      <c r="AD66" s="2" t="s">
        <v>245</v>
      </c>
      <c r="AE66" s="17" t="s">
        <v>245</v>
      </c>
      <c r="AF66" s="2" t="s">
        <v>383</v>
      </c>
      <c r="AG66" s="17" t="s">
        <v>364</v>
      </c>
      <c r="AH66" s="33"/>
      <c r="AI66" s="2" t="s">
        <v>234</v>
      </c>
      <c r="AJ66" s="17" t="s">
        <v>798</v>
      </c>
      <c r="AK66" s="2" t="s">
        <v>418</v>
      </c>
      <c r="AL66" s="17" t="s">
        <v>418</v>
      </c>
      <c r="AM66" s="33"/>
      <c r="AN66" s="2"/>
      <c r="AO66" s="17"/>
      <c r="AP66" s="2"/>
      <c r="AQ66" s="17"/>
      <c r="AR66" s="33"/>
      <c r="AS66" s="2" t="s">
        <v>234</v>
      </c>
      <c r="AT66" s="16" t="s">
        <v>798</v>
      </c>
      <c r="AU66" s="2"/>
      <c r="AV66" s="16"/>
      <c r="AW66" s="33"/>
      <c r="AX66" s="2"/>
      <c r="AY66" s="16"/>
      <c r="AZ66" s="2" t="s">
        <v>593</v>
      </c>
      <c r="BA66" s="16" t="s">
        <v>890</v>
      </c>
      <c r="BB66" s="2" t="s">
        <v>3</v>
      </c>
      <c r="BC66" s="16" t="s">
        <v>3</v>
      </c>
      <c r="BD66" s="2" t="s">
        <v>596</v>
      </c>
      <c r="BE66" s="16"/>
      <c r="BF66" s="2" t="s">
        <v>671</v>
      </c>
      <c r="BG66" s="16" t="s">
        <v>823</v>
      </c>
      <c r="BH66" s="2" t="s">
        <v>333</v>
      </c>
      <c r="BI66" s="16" t="s">
        <v>834</v>
      </c>
      <c r="BJ66" s="2"/>
    </row>
    <row r="67" spans="1:62" ht="60">
      <c r="A67" s="1">
        <v>66</v>
      </c>
      <c r="B67" s="1" t="s">
        <v>175</v>
      </c>
      <c r="C67" s="1" t="s">
        <v>596</v>
      </c>
      <c r="D67" s="2" t="s">
        <v>24</v>
      </c>
      <c r="E67" s="1" t="s">
        <v>36</v>
      </c>
      <c r="F67" s="2" t="s">
        <v>197</v>
      </c>
      <c r="G67" s="2">
        <v>1800</v>
      </c>
      <c r="H67" s="17">
        <f t="shared" ref="H67:H84" si="4">G67</f>
        <v>1800</v>
      </c>
      <c r="I67" s="8">
        <v>800</v>
      </c>
      <c r="J67" s="19">
        <f t="shared" si="3"/>
        <v>800</v>
      </c>
      <c r="K67" s="21">
        <f t="shared" ref="K67:K84" si="5">(J67/H67)*100</f>
        <v>44.444444444444443</v>
      </c>
      <c r="L67" s="21" t="str">
        <f t="shared" ref="L67:L84" si="6">IF(K67&gt;0,"Yes", "No")</f>
        <v>Yes</v>
      </c>
      <c r="M67" s="33"/>
      <c r="N67" s="2" t="s">
        <v>363</v>
      </c>
      <c r="O67" s="18" t="s">
        <v>363</v>
      </c>
      <c r="P67" s="2" t="s">
        <v>245</v>
      </c>
      <c r="Q67" s="16" t="s">
        <v>245</v>
      </c>
      <c r="R67" s="2" t="s">
        <v>383</v>
      </c>
      <c r="S67" s="17" t="s">
        <v>364</v>
      </c>
      <c r="T67" s="33"/>
      <c r="U67" s="2" t="s">
        <v>597</v>
      </c>
      <c r="V67" s="17" t="s">
        <v>597</v>
      </c>
      <c r="W67" s="2" t="s">
        <v>598</v>
      </c>
      <c r="X67" s="17" t="s">
        <v>756</v>
      </c>
      <c r="Y67" s="2" t="s">
        <v>599</v>
      </c>
      <c r="Z67" s="16" t="s">
        <v>764</v>
      </c>
      <c r="AA67" s="33"/>
      <c r="AB67" s="2" t="s">
        <v>363</v>
      </c>
      <c r="AC67" s="17" t="s">
        <v>363</v>
      </c>
      <c r="AD67" s="2" t="s">
        <v>245</v>
      </c>
      <c r="AE67" s="17" t="s">
        <v>245</v>
      </c>
      <c r="AF67" s="2" t="s">
        <v>600</v>
      </c>
      <c r="AG67" s="17" t="s">
        <v>764</v>
      </c>
      <c r="AH67" s="33"/>
      <c r="AI67" s="2" t="s">
        <v>601</v>
      </c>
      <c r="AJ67" s="17" t="s">
        <v>798</v>
      </c>
      <c r="AK67" s="2" t="s">
        <v>418</v>
      </c>
      <c r="AL67" s="17" t="s">
        <v>418</v>
      </c>
      <c r="AM67" s="33"/>
      <c r="AN67" s="2" t="s">
        <v>602</v>
      </c>
      <c r="AO67" s="17" t="s">
        <v>798</v>
      </c>
      <c r="AP67" s="2" t="s">
        <v>418</v>
      </c>
      <c r="AQ67" s="17" t="s">
        <v>418</v>
      </c>
      <c r="AR67" s="33"/>
      <c r="AS67" s="2" t="s">
        <v>309</v>
      </c>
      <c r="AT67" s="16" t="s">
        <v>309</v>
      </c>
      <c r="AU67" s="2" t="s">
        <v>418</v>
      </c>
      <c r="AV67" s="16" t="s">
        <v>418</v>
      </c>
      <c r="AW67" s="33"/>
      <c r="AX67" s="2" t="s">
        <v>338</v>
      </c>
      <c r="AY67" s="16" t="s">
        <v>863</v>
      </c>
      <c r="AZ67" s="2" t="s">
        <v>603</v>
      </c>
      <c r="BA67" s="16" t="s">
        <v>889</v>
      </c>
      <c r="BB67" s="2" t="s">
        <v>3</v>
      </c>
      <c r="BC67" s="16" t="s">
        <v>3</v>
      </c>
      <c r="BD67" s="2" t="s">
        <v>604</v>
      </c>
      <c r="BE67" s="16" t="s">
        <v>809</v>
      </c>
      <c r="BF67" s="2" t="s">
        <v>605</v>
      </c>
      <c r="BG67" s="16" t="s">
        <v>819</v>
      </c>
      <c r="BH67" s="2" t="s">
        <v>606</v>
      </c>
      <c r="BI67" s="16" t="s">
        <v>606</v>
      </c>
      <c r="BJ67" s="2" t="s">
        <v>607</v>
      </c>
    </row>
    <row r="68" spans="1:62" ht="45">
      <c r="A68" s="1">
        <v>67</v>
      </c>
      <c r="B68" s="1" t="s">
        <v>176</v>
      </c>
      <c r="C68" s="1" t="s">
        <v>177</v>
      </c>
      <c r="D68" s="2" t="s">
        <v>24</v>
      </c>
      <c r="E68" s="1" t="s">
        <v>36</v>
      </c>
      <c r="F68" s="2" t="s">
        <v>199</v>
      </c>
      <c r="G68" s="2">
        <v>80</v>
      </c>
      <c r="H68" s="17">
        <f t="shared" si="4"/>
        <v>80</v>
      </c>
      <c r="I68" s="8">
        <v>12</v>
      </c>
      <c r="J68" s="19">
        <f t="shared" ref="J68:J84" si="7">I68</f>
        <v>12</v>
      </c>
      <c r="K68" s="21">
        <f t="shared" si="5"/>
        <v>15</v>
      </c>
      <c r="L68" s="21" t="str">
        <f t="shared" si="6"/>
        <v>Yes</v>
      </c>
      <c r="M68" s="33"/>
      <c r="N68" s="2" t="s">
        <v>244</v>
      </c>
      <c r="O68" s="18" t="s">
        <v>363</v>
      </c>
      <c r="P68" s="2" t="s">
        <v>245</v>
      </c>
      <c r="Q68" s="16" t="s">
        <v>245</v>
      </c>
      <c r="R68" s="2" t="s">
        <v>616</v>
      </c>
      <c r="S68" s="17" t="s">
        <v>764</v>
      </c>
      <c r="T68" s="33"/>
      <c r="U68" s="2" t="s">
        <v>608</v>
      </c>
      <c r="V68" s="17"/>
      <c r="W68" s="2" t="s">
        <v>596</v>
      </c>
      <c r="X68" s="17"/>
      <c r="Y68" s="2" t="s">
        <v>596</v>
      </c>
      <c r="Z68" s="16"/>
      <c r="AA68" s="33"/>
      <c r="AB68" s="2" t="s">
        <v>244</v>
      </c>
      <c r="AC68" s="17" t="s">
        <v>363</v>
      </c>
      <c r="AD68" s="2" t="s">
        <v>245</v>
      </c>
      <c r="AE68" s="17" t="s">
        <v>245</v>
      </c>
      <c r="AF68" s="2" t="s">
        <v>319</v>
      </c>
      <c r="AG68" s="17" t="s">
        <v>764</v>
      </c>
      <c r="AH68" s="33"/>
      <c r="AI68" s="2" t="s">
        <v>609</v>
      </c>
      <c r="AJ68" s="17" t="s">
        <v>798</v>
      </c>
      <c r="AK68" s="2" t="s">
        <v>610</v>
      </c>
      <c r="AL68" s="17" t="s">
        <v>418</v>
      </c>
      <c r="AM68" s="33"/>
      <c r="AN68" s="2" t="s">
        <v>596</v>
      </c>
      <c r="AO68" s="17"/>
      <c r="AP68" s="2" t="s">
        <v>596</v>
      </c>
      <c r="AQ68" s="17"/>
      <c r="AR68" s="33"/>
      <c r="AS68" s="2" t="s">
        <v>611</v>
      </c>
      <c r="AT68" s="16" t="s">
        <v>797</v>
      </c>
      <c r="AU68" s="2" t="s">
        <v>610</v>
      </c>
      <c r="AV68" s="16" t="s">
        <v>418</v>
      </c>
      <c r="AW68" s="33"/>
      <c r="AX68" s="2" t="s">
        <v>596</v>
      </c>
      <c r="AY68" s="16"/>
      <c r="AZ68" s="2" t="s">
        <v>612</v>
      </c>
      <c r="BA68" s="16" t="s">
        <v>891</v>
      </c>
      <c r="BB68" s="2" t="s">
        <v>3</v>
      </c>
      <c r="BC68" s="16" t="s">
        <v>3</v>
      </c>
      <c r="BD68" s="2" t="s">
        <v>613</v>
      </c>
      <c r="BE68" s="16" t="s">
        <v>807</v>
      </c>
      <c r="BF68" s="2" t="s">
        <v>605</v>
      </c>
      <c r="BG68" s="16" t="s">
        <v>819</v>
      </c>
      <c r="BH68" s="2" t="s">
        <v>614</v>
      </c>
      <c r="BI68" s="16" t="s">
        <v>387</v>
      </c>
      <c r="BJ68" s="2" t="s">
        <v>615</v>
      </c>
    </row>
    <row r="69" spans="1:62" ht="15">
      <c r="A69" s="1">
        <v>68</v>
      </c>
      <c r="B69" s="1" t="s">
        <v>23</v>
      </c>
      <c r="C69" s="1" t="s">
        <v>178</v>
      </c>
      <c r="D69" s="2" t="s">
        <v>21</v>
      </c>
      <c r="E69" s="1" t="s">
        <v>36</v>
      </c>
      <c r="F69" s="2" t="s">
        <v>197</v>
      </c>
      <c r="G69" s="2">
        <v>600</v>
      </c>
      <c r="H69" s="17">
        <f t="shared" si="4"/>
        <v>600</v>
      </c>
      <c r="I69" s="8">
        <v>100</v>
      </c>
      <c r="J69" s="19">
        <f t="shared" si="7"/>
        <v>100</v>
      </c>
      <c r="K69" s="21">
        <f t="shared" si="5"/>
        <v>16.666666666666664</v>
      </c>
      <c r="L69" s="21" t="str">
        <f t="shared" si="6"/>
        <v>Yes</v>
      </c>
      <c r="M69" s="33"/>
      <c r="N69" s="2" t="s">
        <v>363</v>
      </c>
      <c r="O69" s="18" t="s">
        <v>363</v>
      </c>
      <c r="P69" s="2" t="s">
        <v>245</v>
      </c>
      <c r="Q69" s="16" t="s">
        <v>245</v>
      </c>
      <c r="R69" s="2" t="s">
        <v>616</v>
      </c>
      <c r="S69" s="17" t="s">
        <v>764</v>
      </c>
      <c r="T69" s="33"/>
      <c r="U69" s="2" t="s">
        <v>376</v>
      </c>
      <c r="V69" s="17"/>
      <c r="W69" s="2" t="s">
        <v>376</v>
      </c>
      <c r="X69" s="17"/>
      <c r="Y69" s="2" t="s">
        <v>376</v>
      </c>
      <c r="Z69" s="16"/>
      <c r="AA69" s="33"/>
      <c r="AB69" s="2"/>
      <c r="AC69" s="17"/>
      <c r="AD69" s="2"/>
      <c r="AE69" s="17"/>
      <c r="AF69" s="2"/>
      <c r="AG69" s="17"/>
      <c r="AH69" s="33"/>
      <c r="AI69" s="2" t="s">
        <v>617</v>
      </c>
      <c r="AJ69" s="17" t="s">
        <v>798</v>
      </c>
      <c r="AK69" s="2" t="s">
        <v>610</v>
      </c>
      <c r="AL69" s="17" t="s">
        <v>418</v>
      </c>
      <c r="AM69" s="33"/>
      <c r="AN69" s="2"/>
      <c r="AO69" s="17"/>
      <c r="AP69" s="2"/>
      <c r="AQ69" s="17"/>
      <c r="AR69" s="33"/>
      <c r="AS69" s="2"/>
      <c r="AT69" s="16"/>
      <c r="AU69" s="2"/>
      <c r="AV69" s="16"/>
      <c r="AW69" s="33"/>
      <c r="AX69" s="2"/>
      <c r="AY69" s="16"/>
      <c r="AZ69" s="2"/>
      <c r="BA69" s="16"/>
      <c r="BB69" s="2" t="s">
        <v>3</v>
      </c>
      <c r="BC69" s="16" t="s">
        <v>3</v>
      </c>
      <c r="BD69" s="2" t="s">
        <v>618</v>
      </c>
      <c r="BE69" s="16" t="s">
        <v>809</v>
      </c>
      <c r="BF69" s="2" t="s">
        <v>403</v>
      </c>
      <c r="BG69" s="16" t="s">
        <v>403</v>
      </c>
      <c r="BH69" s="2"/>
      <c r="BI69" s="16"/>
      <c r="BJ69" s="2"/>
    </row>
    <row r="70" spans="1:62" ht="45">
      <c r="A70" s="1">
        <v>69</v>
      </c>
      <c r="B70" s="1" t="s">
        <v>179</v>
      </c>
      <c r="C70" s="1" t="s">
        <v>180</v>
      </c>
      <c r="D70" s="2" t="s">
        <v>181</v>
      </c>
      <c r="E70" s="1"/>
      <c r="F70" s="2" t="s">
        <v>197</v>
      </c>
      <c r="G70" s="2">
        <v>1700</v>
      </c>
      <c r="H70" s="17">
        <f t="shared" si="4"/>
        <v>1700</v>
      </c>
      <c r="I70" s="8">
        <v>1700</v>
      </c>
      <c r="J70" s="19">
        <f t="shared" si="7"/>
        <v>1700</v>
      </c>
      <c r="K70" s="21">
        <f t="shared" si="5"/>
        <v>100</v>
      </c>
      <c r="L70" s="21" t="str">
        <f t="shared" si="6"/>
        <v>Yes</v>
      </c>
      <c r="M70" s="33"/>
      <c r="N70" s="4" t="s">
        <v>619</v>
      </c>
      <c r="O70" s="18"/>
      <c r="P70" s="2" t="s">
        <v>554</v>
      </c>
      <c r="Q70" s="16"/>
      <c r="R70" s="2" t="s">
        <v>620</v>
      </c>
      <c r="S70" s="17" t="s">
        <v>764</v>
      </c>
      <c r="T70" s="33"/>
      <c r="U70" s="2" t="s">
        <v>376</v>
      </c>
      <c r="V70" s="17"/>
      <c r="W70" s="2" t="s">
        <v>376</v>
      </c>
      <c r="X70" s="17"/>
      <c r="Y70" s="2" t="s">
        <v>376</v>
      </c>
      <c r="Z70" s="16"/>
      <c r="AA70" s="33"/>
      <c r="AB70" s="2" t="s">
        <v>363</v>
      </c>
      <c r="AC70" s="17" t="s">
        <v>363</v>
      </c>
      <c r="AD70" s="2" t="s">
        <v>245</v>
      </c>
      <c r="AE70" s="17" t="s">
        <v>245</v>
      </c>
      <c r="AF70" s="2" t="s">
        <v>621</v>
      </c>
      <c r="AG70" s="17" t="s">
        <v>764</v>
      </c>
      <c r="AH70" s="33"/>
      <c r="AI70" s="2" t="s">
        <v>622</v>
      </c>
      <c r="AJ70" s="17" t="s">
        <v>798</v>
      </c>
      <c r="AK70" s="2" t="s">
        <v>623</v>
      </c>
      <c r="AL70" s="17" t="s">
        <v>418</v>
      </c>
      <c r="AM70" s="33"/>
      <c r="AN70" s="2" t="s">
        <v>376</v>
      </c>
      <c r="AO70" s="17"/>
      <c r="AP70" s="2" t="s">
        <v>376</v>
      </c>
      <c r="AQ70" s="17"/>
      <c r="AR70" s="33"/>
      <c r="AS70" s="2" t="s">
        <v>624</v>
      </c>
      <c r="AT70" s="16" t="s">
        <v>798</v>
      </c>
      <c r="AU70" s="2" t="s">
        <v>623</v>
      </c>
      <c r="AV70" s="16" t="s">
        <v>418</v>
      </c>
      <c r="AW70" s="33"/>
      <c r="AX70" s="2" t="s">
        <v>625</v>
      </c>
      <c r="AY70" s="16" t="s">
        <v>862</v>
      </c>
      <c r="AZ70" s="2" t="s">
        <v>262</v>
      </c>
      <c r="BA70" s="16" t="s">
        <v>889</v>
      </c>
      <c r="BB70" s="2" t="s">
        <v>3</v>
      </c>
      <c r="BC70" s="16" t="s">
        <v>3</v>
      </c>
      <c r="BD70" s="2" t="s">
        <v>626</v>
      </c>
      <c r="BE70" s="16" t="s">
        <v>809</v>
      </c>
      <c r="BF70" s="2" t="s">
        <v>605</v>
      </c>
      <c r="BG70" s="16" t="s">
        <v>819</v>
      </c>
      <c r="BH70" s="2" t="s">
        <v>606</v>
      </c>
      <c r="BI70" s="16" t="s">
        <v>606</v>
      </c>
      <c r="BJ70" s="2"/>
    </row>
    <row r="71" spans="1:62" ht="15">
      <c r="A71" s="1">
        <v>70</v>
      </c>
      <c r="B71" s="1" t="s">
        <v>182</v>
      </c>
      <c r="C71" s="1" t="s">
        <v>183</v>
      </c>
      <c r="D71" s="2" t="s">
        <v>33</v>
      </c>
      <c r="E71" s="1" t="s">
        <v>36</v>
      </c>
      <c r="F71" s="2" t="s">
        <v>204</v>
      </c>
      <c r="G71" s="3">
        <v>800</v>
      </c>
      <c r="H71" s="17">
        <f t="shared" si="4"/>
        <v>800</v>
      </c>
      <c r="I71" s="8">
        <v>160</v>
      </c>
      <c r="J71" s="19">
        <f t="shared" si="7"/>
        <v>160</v>
      </c>
      <c r="K71" s="21">
        <f t="shared" si="5"/>
        <v>20</v>
      </c>
      <c r="L71" s="21" t="str">
        <f t="shared" si="6"/>
        <v>Yes</v>
      </c>
      <c r="M71" s="33"/>
      <c r="N71" s="2"/>
      <c r="O71" s="18"/>
      <c r="P71" s="2"/>
      <c r="Q71" s="16"/>
      <c r="R71" s="2"/>
      <c r="S71" s="17"/>
      <c r="T71" s="33"/>
      <c r="U71" s="2"/>
      <c r="V71" s="17"/>
      <c r="W71" s="2"/>
      <c r="X71" s="17"/>
      <c r="Y71" s="2"/>
      <c r="Z71" s="16"/>
      <c r="AA71" s="33"/>
      <c r="AB71" s="2" t="s">
        <v>716</v>
      </c>
      <c r="AC71" s="17" t="s">
        <v>752</v>
      </c>
      <c r="AD71" s="2" t="s">
        <v>423</v>
      </c>
      <c r="AE71" s="17" t="s">
        <v>423</v>
      </c>
      <c r="AF71" s="2" t="s">
        <v>383</v>
      </c>
      <c r="AG71" s="17" t="s">
        <v>364</v>
      </c>
      <c r="AH71" s="33"/>
      <c r="AI71" s="2"/>
      <c r="AJ71" s="17"/>
      <c r="AK71" s="2" t="s">
        <v>418</v>
      </c>
      <c r="AL71" s="17" t="s">
        <v>418</v>
      </c>
      <c r="AM71" s="33"/>
      <c r="AN71" s="4"/>
      <c r="AO71" s="17"/>
      <c r="AP71" s="2"/>
      <c r="AQ71" s="17"/>
      <c r="AR71" s="33"/>
      <c r="AS71" s="2"/>
      <c r="AT71" s="16"/>
      <c r="AU71" s="2"/>
      <c r="AV71" s="16"/>
      <c r="AW71" s="33"/>
      <c r="AX71" s="2"/>
      <c r="AY71" s="16"/>
      <c r="AZ71" s="2"/>
      <c r="BA71" s="16"/>
      <c r="BB71" s="2"/>
      <c r="BC71" s="16"/>
      <c r="BD71" s="2"/>
      <c r="BE71" s="16"/>
      <c r="BF71" s="2"/>
      <c r="BG71" s="16"/>
      <c r="BH71" s="2"/>
      <c r="BI71" s="16"/>
      <c r="BJ71" s="2"/>
    </row>
    <row r="72" spans="1:62" ht="60">
      <c r="A72" s="1">
        <v>71</v>
      </c>
      <c r="B72" s="1" t="s">
        <v>184</v>
      </c>
      <c r="C72" s="1" t="s">
        <v>185</v>
      </c>
      <c r="D72" s="2" t="s">
        <v>27</v>
      </c>
      <c r="E72" s="1" t="s">
        <v>36</v>
      </c>
      <c r="F72" s="2" t="s">
        <v>197</v>
      </c>
      <c r="G72" s="2">
        <v>700</v>
      </c>
      <c r="H72" s="17"/>
      <c r="I72" s="8">
        <v>0</v>
      </c>
      <c r="J72" s="19"/>
      <c r="K72" s="21"/>
      <c r="L72" s="21" t="str">
        <f t="shared" si="6"/>
        <v>No</v>
      </c>
      <c r="M72" s="33"/>
      <c r="N72" s="2"/>
      <c r="O72" s="18"/>
      <c r="P72" s="2"/>
      <c r="Q72" s="16"/>
      <c r="R72" s="2"/>
      <c r="S72" s="17"/>
      <c r="T72" s="33"/>
      <c r="U72" s="2"/>
      <c r="V72" s="17"/>
      <c r="W72" s="2"/>
      <c r="X72" s="17"/>
      <c r="Y72" s="2"/>
      <c r="Z72" s="16"/>
      <c r="AA72" s="33"/>
      <c r="AB72" s="2"/>
      <c r="AC72" s="17"/>
      <c r="AD72" s="2"/>
      <c r="AE72" s="17"/>
      <c r="AF72" s="2"/>
      <c r="AG72" s="17"/>
      <c r="AH72" s="33"/>
      <c r="AI72" s="2"/>
      <c r="AJ72" s="17"/>
      <c r="AK72" s="2"/>
      <c r="AL72" s="17"/>
      <c r="AM72" s="33"/>
      <c r="AN72" s="2"/>
      <c r="AO72" s="17"/>
      <c r="AP72" s="2"/>
      <c r="AQ72" s="17"/>
      <c r="AR72" s="33"/>
      <c r="AS72" s="2"/>
      <c r="AT72" s="16"/>
      <c r="AU72" s="2"/>
      <c r="AV72" s="16"/>
      <c r="AW72" s="33"/>
      <c r="AX72" s="2"/>
      <c r="AY72" s="16"/>
      <c r="AZ72" s="2"/>
      <c r="BA72" s="16"/>
      <c r="BB72" s="2"/>
      <c r="BC72" s="16"/>
      <c r="BD72" s="2"/>
      <c r="BE72" s="16"/>
      <c r="BF72" s="2"/>
      <c r="BG72" s="16"/>
      <c r="BH72" s="2"/>
      <c r="BI72" s="16"/>
      <c r="BJ72" s="2" t="s">
        <v>461</v>
      </c>
    </row>
    <row r="73" spans="1:62" ht="15">
      <c r="A73" s="1">
        <v>72</v>
      </c>
      <c r="B73" s="1" t="s">
        <v>186</v>
      </c>
      <c r="C73" s="1" t="s">
        <v>187</v>
      </c>
      <c r="D73" s="2" t="s">
        <v>9</v>
      </c>
      <c r="E73" s="1" t="s">
        <v>36</v>
      </c>
      <c r="F73" s="2" t="s">
        <v>204</v>
      </c>
      <c r="G73" s="2">
        <v>500</v>
      </c>
      <c r="H73" s="17"/>
      <c r="I73" s="8">
        <v>0</v>
      </c>
      <c r="J73" s="19"/>
      <c r="K73" s="21"/>
      <c r="L73" s="21" t="str">
        <f t="shared" si="6"/>
        <v>No</v>
      </c>
      <c r="M73" s="33"/>
      <c r="N73" s="2"/>
      <c r="O73" s="18"/>
      <c r="P73" s="2"/>
      <c r="Q73" s="16"/>
      <c r="R73" s="2"/>
      <c r="S73" s="17"/>
      <c r="T73" s="33"/>
      <c r="U73" s="2"/>
      <c r="V73" s="17"/>
      <c r="W73" s="2"/>
      <c r="X73" s="17"/>
      <c r="Y73" s="2"/>
      <c r="Z73" s="16"/>
      <c r="AA73" s="33"/>
      <c r="AB73" s="2"/>
      <c r="AC73" s="17"/>
      <c r="AD73" s="2"/>
      <c r="AE73" s="17"/>
      <c r="AF73" s="2"/>
      <c r="AG73" s="17"/>
      <c r="AH73" s="33"/>
      <c r="AI73" s="2"/>
      <c r="AJ73" s="17"/>
      <c r="AK73" s="2"/>
      <c r="AL73" s="17"/>
      <c r="AM73" s="33"/>
      <c r="AN73" s="2"/>
      <c r="AO73" s="17"/>
      <c r="AP73" s="2"/>
      <c r="AQ73" s="17"/>
      <c r="AR73" s="33"/>
      <c r="AS73" s="2"/>
      <c r="AT73" s="16"/>
      <c r="AU73" s="2"/>
      <c r="AV73" s="16"/>
      <c r="AW73" s="33"/>
      <c r="AX73" s="2"/>
      <c r="AY73" s="16"/>
      <c r="AZ73" s="2" t="s">
        <v>462</v>
      </c>
      <c r="BA73" s="16" t="s">
        <v>891</v>
      </c>
      <c r="BB73" s="2"/>
      <c r="BC73" s="16"/>
      <c r="BD73" s="2"/>
      <c r="BE73" s="16"/>
      <c r="BF73" s="2"/>
      <c r="BG73" s="16"/>
      <c r="BH73" s="2"/>
      <c r="BI73" s="16"/>
      <c r="BJ73" s="2"/>
    </row>
    <row r="74" spans="1:62" ht="15">
      <c r="A74" s="1">
        <v>73</v>
      </c>
      <c r="B74" s="1" t="s">
        <v>188</v>
      </c>
      <c r="C74" s="1" t="s">
        <v>189</v>
      </c>
      <c r="D74" s="2" t="s">
        <v>26</v>
      </c>
      <c r="E74" s="1" t="s">
        <v>36</v>
      </c>
      <c r="F74" s="2" t="s">
        <v>197</v>
      </c>
      <c r="G74" s="2">
        <v>180</v>
      </c>
      <c r="H74" s="17"/>
      <c r="I74" s="8"/>
      <c r="J74" s="19"/>
      <c r="K74" s="21"/>
      <c r="L74" s="21" t="str">
        <f t="shared" si="6"/>
        <v>No</v>
      </c>
      <c r="M74" s="33"/>
      <c r="N74" s="2"/>
      <c r="O74" s="18"/>
      <c r="P74" s="2"/>
      <c r="Q74" s="16"/>
      <c r="R74" s="2"/>
      <c r="S74" s="17"/>
      <c r="T74" s="33"/>
      <c r="U74" s="2"/>
      <c r="V74" s="17"/>
      <c r="W74" s="2"/>
      <c r="X74" s="17"/>
      <c r="Y74" s="2"/>
      <c r="Z74" s="16"/>
      <c r="AA74" s="33"/>
      <c r="AB74" s="2"/>
      <c r="AC74" s="17"/>
      <c r="AD74" s="2"/>
      <c r="AE74" s="17"/>
      <c r="AF74" s="2"/>
      <c r="AG74" s="17"/>
      <c r="AH74" s="33"/>
      <c r="AI74" s="2"/>
      <c r="AJ74" s="17"/>
      <c r="AK74" s="2"/>
      <c r="AL74" s="17"/>
      <c r="AM74" s="33"/>
      <c r="AN74" s="2"/>
      <c r="AO74" s="17"/>
      <c r="AP74" s="2"/>
      <c r="AQ74" s="17"/>
      <c r="AR74" s="33"/>
      <c r="AS74" s="2"/>
      <c r="AT74" s="16"/>
      <c r="AU74" s="2"/>
      <c r="AV74" s="16"/>
      <c r="AW74" s="33"/>
      <c r="AX74" s="2"/>
      <c r="AY74" s="16"/>
      <c r="AZ74" s="2"/>
      <c r="BA74" s="16"/>
      <c r="BB74" s="2"/>
      <c r="BC74" s="16"/>
      <c r="BD74" s="2"/>
      <c r="BE74" s="16"/>
      <c r="BF74" s="2"/>
      <c r="BG74" s="16"/>
      <c r="BH74" s="2"/>
      <c r="BI74" s="16"/>
      <c r="BJ74" s="2"/>
    </row>
    <row r="75" spans="1:62" ht="15">
      <c r="A75" s="1">
        <v>74</v>
      </c>
      <c r="B75" s="1" t="s">
        <v>190</v>
      </c>
      <c r="C75" s="1" t="s">
        <v>191</v>
      </c>
      <c r="D75" s="2" t="s">
        <v>15</v>
      </c>
      <c r="E75" s="1" t="s">
        <v>36</v>
      </c>
      <c r="F75" s="2" t="s">
        <v>197</v>
      </c>
      <c r="G75" s="2">
        <v>800</v>
      </c>
      <c r="H75" s="17"/>
      <c r="I75" s="8">
        <v>0</v>
      </c>
      <c r="J75" s="19"/>
      <c r="K75" s="21"/>
      <c r="L75" s="21" t="str">
        <f t="shared" si="6"/>
        <v>No</v>
      </c>
      <c r="M75" s="33"/>
      <c r="N75" s="4"/>
      <c r="O75" s="18"/>
      <c r="P75" s="2"/>
      <c r="Q75" s="16"/>
      <c r="R75" s="2"/>
      <c r="S75" s="17"/>
      <c r="T75" s="33"/>
      <c r="U75" s="2"/>
      <c r="V75" s="17"/>
      <c r="W75" s="2"/>
      <c r="X75" s="17"/>
      <c r="Y75" s="2"/>
      <c r="Z75" s="16"/>
      <c r="AA75" s="33"/>
      <c r="AB75" s="2"/>
      <c r="AC75" s="17"/>
      <c r="AD75" s="2"/>
      <c r="AE75" s="17"/>
      <c r="AF75" s="2"/>
      <c r="AG75" s="17"/>
      <c r="AH75" s="33"/>
      <c r="AI75" s="2"/>
      <c r="AJ75" s="17"/>
      <c r="AK75" s="2"/>
      <c r="AL75" s="17"/>
      <c r="AM75" s="33"/>
      <c r="AN75" s="2"/>
      <c r="AO75" s="17"/>
      <c r="AP75" s="2"/>
      <c r="AQ75" s="17"/>
      <c r="AR75" s="33"/>
      <c r="AS75" s="2"/>
      <c r="AT75" s="16"/>
      <c r="AU75" s="2"/>
      <c r="AV75" s="16"/>
      <c r="AW75" s="33"/>
      <c r="AX75" s="2"/>
      <c r="AY75" s="16"/>
      <c r="AZ75" s="2"/>
      <c r="BA75" s="16"/>
      <c r="BB75" s="2"/>
      <c r="BC75" s="16"/>
      <c r="BD75" s="2"/>
      <c r="BE75" s="16"/>
      <c r="BF75" s="2"/>
      <c r="BG75" s="16"/>
      <c r="BH75" s="2"/>
      <c r="BI75" s="16"/>
      <c r="BJ75" s="2"/>
    </row>
    <row r="76" spans="1:62" ht="15">
      <c r="A76" s="1">
        <v>75</v>
      </c>
      <c r="B76" s="1" t="s">
        <v>192</v>
      </c>
      <c r="C76" s="1" t="s">
        <v>193</v>
      </c>
      <c r="D76" s="2" t="s">
        <v>15</v>
      </c>
      <c r="E76" s="1" t="s">
        <v>36</v>
      </c>
      <c r="F76" s="2" t="s">
        <v>205</v>
      </c>
      <c r="G76" s="2">
        <v>800</v>
      </c>
      <c r="H76" s="17"/>
      <c r="I76" s="8">
        <v>0</v>
      </c>
      <c r="J76" s="19"/>
      <c r="K76" s="21"/>
      <c r="L76" s="21" t="str">
        <f t="shared" si="6"/>
        <v>No</v>
      </c>
      <c r="M76" s="33"/>
      <c r="N76" s="2"/>
      <c r="O76" s="18"/>
      <c r="P76" s="2"/>
      <c r="Q76" s="16"/>
      <c r="R76" s="2"/>
      <c r="S76" s="17"/>
      <c r="T76" s="33"/>
      <c r="U76" s="2"/>
      <c r="V76" s="17"/>
      <c r="W76" s="2"/>
      <c r="X76" s="17"/>
      <c r="Y76" s="2"/>
      <c r="Z76" s="16"/>
      <c r="AA76" s="33"/>
      <c r="AB76" s="2"/>
      <c r="AC76" s="17"/>
      <c r="AD76" s="2"/>
      <c r="AE76" s="17"/>
      <c r="AF76" s="2"/>
      <c r="AG76" s="17"/>
      <c r="AH76" s="33"/>
      <c r="AI76" s="2"/>
      <c r="AJ76" s="17"/>
      <c r="AK76" s="2"/>
      <c r="AL76" s="17"/>
      <c r="AM76" s="33"/>
      <c r="AN76" s="2"/>
      <c r="AO76" s="17"/>
      <c r="AP76" s="2"/>
      <c r="AQ76" s="17"/>
      <c r="AR76" s="33"/>
      <c r="AS76" s="2"/>
      <c r="AT76" s="16"/>
      <c r="AU76" s="2"/>
      <c r="AV76" s="16"/>
      <c r="AW76" s="33"/>
      <c r="AX76" s="2"/>
      <c r="AY76" s="16"/>
      <c r="AZ76" s="2"/>
      <c r="BA76" s="16"/>
      <c r="BB76" s="2"/>
      <c r="BC76" s="16"/>
      <c r="BD76" s="2"/>
      <c r="BE76" s="16"/>
      <c r="BF76" s="2"/>
      <c r="BG76" s="16"/>
      <c r="BH76" s="2"/>
      <c r="BI76" s="16"/>
      <c r="BJ76" s="2"/>
    </row>
    <row r="77" spans="1:62" ht="45">
      <c r="A77" s="1">
        <v>76</v>
      </c>
      <c r="B77" s="1" t="s">
        <v>196</v>
      </c>
      <c r="C77" s="1" t="s">
        <v>194</v>
      </c>
      <c r="D77" s="2" t="s">
        <v>24</v>
      </c>
      <c r="E77" s="1" t="s">
        <v>36</v>
      </c>
      <c r="F77" s="2" t="s">
        <v>197</v>
      </c>
      <c r="G77" s="2">
        <v>500</v>
      </c>
      <c r="H77" s="17"/>
      <c r="I77" s="8">
        <v>0</v>
      </c>
      <c r="J77" s="19"/>
      <c r="K77" s="21"/>
      <c r="L77" s="21" t="str">
        <f t="shared" si="6"/>
        <v>No</v>
      </c>
      <c r="M77" s="33"/>
      <c r="N77" s="2" t="s">
        <v>376</v>
      </c>
      <c r="O77" s="18"/>
      <c r="P77" s="2" t="s">
        <v>376</v>
      </c>
      <c r="Q77" s="16"/>
      <c r="R77" s="2" t="s">
        <v>376</v>
      </c>
      <c r="S77" s="17"/>
      <c r="T77" s="33"/>
      <c r="U77" s="2" t="s">
        <v>376</v>
      </c>
      <c r="V77" s="17"/>
      <c r="W77" s="2" t="s">
        <v>376</v>
      </c>
      <c r="X77" s="17"/>
      <c r="Y77" s="2" t="s">
        <v>376</v>
      </c>
      <c r="Z77" s="16"/>
      <c r="AA77" s="33"/>
      <c r="AB77" s="2" t="s">
        <v>376</v>
      </c>
      <c r="AC77" s="17"/>
      <c r="AD77" s="2" t="s">
        <v>376</v>
      </c>
      <c r="AE77" s="17"/>
      <c r="AF77" s="2" t="s">
        <v>376</v>
      </c>
      <c r="AG77" s="17"/>
      <c r="AH77" s="33"/>
      <c r="AI77" s="2" t="s">
        <v>376</v>
      </c>
      <c r="AJ77" s="17"/>
      <c r="AK77" s="2" t="s">
        <v>376</v>
      </c>
      <c r="AL77" s="17"/>
      <c r="AM77" s="33"/>
      <c r="AN77" s="2" t="s">
        <v>376</v>
      </c>
      <c r="AO77" s="17"/>
      <c r="AP77" s="2" t="s">
        <v>376</v>
      </c>
      <c r="AQ77" s="17"/>
      <c r="AR77" s="33"/>
      <c r="AS77" s="2" t="s">
        <v>376</v>
      </c>
      <c r="AT77" s="16"/>
      <c r="AU77" s="2" t="s">
        <v>376</v>
      </c>
      <c r="AV77" s="16"/>
      <c r="AW77" s="33"/>
      <c r="AX77" s="2" t="s">
        <v>376</v>
      </c>
      <c r="AY77" s="16"/>
      <c r="AZ77" s="2" t="s">
        <v>376</v>
      </c>
      <c r="BA77" s="16"/>
      <c r="BB77" s="2" t="s">
        <v>376</v>
      </c>
      <c r="BC77" s="16"/>
      <c r="BD77" s="2" t="s">
        <v>376</v>
      </c>
      <c r="BE77" s="16"/>
      <c r="BF77" s="2" t="s">
        <v>376</v>
      </c>
      <c r="BG77" s="16"/>
      <c r="BH77" s="2" t="s">
        <v>376</v>
      </c>
      <c r="BI77" s="16"/>
      <c r="BJ77" s="2" t="s">
        <v>463</v>
      </c>
    </row>
    <row r="78" spans="1:62" ht="30">
      <c r="A78" s="1">
        <v>77</v>
      </c>
      <c r="B78" s="1" t="s">
        <v>735</v>
      </c>
      <c r="C78" s="1"/>
      <c r="D78" s="2" t="s">
        <v>195</v>
      </c>
      <c r="E78" s="1" t="s">
        <v>36</v>
      </c>
      <c r="F78" s="2" t="s">
        <v>197</v>
      </c>
      <c r="G78" s="2">
        <v>3500</v>
      </c>
      <c r="H78" s="17">
        <f t="shared" si="4"/>
        <v>3500</v>
      </c>
      <c r="I78" s="8">
        <v>700</v>
      </c>
      <c r="J78" s="19">
        <f t="shared" si="7"/>
        <v>700</v>
      </c>
      <c r="K78" s="21">
        <f t="shared" si="5"/>
        <v>20</v>
      </c>
      <c r="L78" s="21" t="str">
        <f t="shared" si="6"/>
        <v>Yes</v>
      </c>
      <c r="M78" s="33"/>
      <c r="N78" s="2" t="s">
        <v>363</v>
      </c>
      <c r="O78" s="18" t="s">
        <v>363</v>
      </c>
      <c r="P78" s="2" t="s">
        <v>634</v>
      </c>
      <c r="Q78" s="16" t="s">
        <v>245</v>
      </c>
      <c r="R78" s="2" t="s">
        <v>464</v>
      </c>
      <c r="S78" s="17" t="s">
        <v>364</v>
      </c>
      <c r="T78" s="33"/>
      <c r="U78" s="2"/>
      <c r="V78" s="17"/>
      <c r="W78" s="2"/>
      <c r="X78" s="17"/>
      <c r="Y78" s="2"/>
      <c r="Z78" s="16"/>
      <c r="AA78" s="33"/>
      <c r="AB78" s="2" t="s">
        <v>363</v>
      </c>
      <c r="AC78" s="17" t="s">
        <v>363</v>
      </c>
      <c r="AD78" s="2" t="s">
        <v>245</v>
      </c>
      <c r="AE78" s="17" t="s">
        <v>245</v>
      </c>
      <c r="AF78" s="2" t="s">
        <v>714</v>
      </c>
      <c r="AG78" s="17" t="s">
        <v>364</v>
      </c>
      <c r="AH78" s="33"/>
      <c r="AI78" s="2" t="s">
        <v>465</v>
      </c>
      <c r="AJ78" s="17"/>
      <c r="AK78" s="2" t="s">
        <v>715</v>
      </c>
      <c r="AL78" s="17" t="s">
        <v>790</v>
      </c>
      <c r="AM78" s="33"/>
      <c r="AN78" s="2"/>
      <c r="AO78" s="17"/>
      <c r="AP78" s="2" t="s">
        <v>418</v>
      </c>
      <c r="AQ78" s="17" t="s">
        <v>418</v>
      </c>
      <c r="AR78" s="33"/>
      <c r="AS78" s="2" t="s">
        <v>465</v>
      </c>
      <c r="AT78" s="16"/>
      <c r="AU78" s="2" t="s">
        <v>418</v>
      </c>
      <c r="AV78" s="16" t="s">
        <v>418</v>
      </c>
      <c r="AW78" s="33"/>
      <c r="AX78" s="2" t="s">
        <v>466</v>
      </c>
      <c r="AY78" s="16" t="s">
        <v>861</v>
      </c>
      <c r="AZ78" s="2" t="s">
        <v>467</v>
      </c>
      <c r="BA78" s="16" t="s">
        <v>891</v>
      </c>
      <c r="BB78" s="2" t="s">
        <v>3</v>
      </c>
      <c r="BC78" s="16" t="s">
        <v>3</v>
      </c>
      <c r="BD78" s="2" t="s">
        <v>468</v>
      </c>
      <c r="BE78" s="16" t="s">
        <v>808</v>
      </c>
      <c r="BF78" s="2" t="s">
        <v>678</v>
      </c>
      <c r="BG78" s="16" t="s">
        <v>906</v>
      </c>
      <c r="BH78" s="2" t="s">
        <v>606</v>
      </c>
      <c r="BI78" s="16" t="s">
        <v>606</v>
      </c>
      <c r="BJ78" s="2" t="s">
        <v>469</v>
      </c>
    </row>
    <row r="79" spans="1:62" ht="15">
      <c r="A79" s="1">
        <v>78</v>
      </c>
      <c r="B79" s="1" t="s">
        <v>735</v>
      </c>
      <c r="C79" s="1"/>
      <c r="D79" s="2" t="s">
        <v>15</v>
      </c>
      <c r="E79" s="1" t="s">
        <v>36</v>
      </c>
      <c r="F79" s="2" t="s">
        <v>197</v>
      </c>
      <c r="G79" s="2">
        <v>450</v>
      </c>
      <c r="H79" s="17">
        <f t="shared" si="4"/>
        <v>450</v>
      </c>
      <c r="I79" s="8">
        <v>150</v>
      </c>
      <c r="J79" s="19">
        <f t="shared" si="7"/>
        <v>150</v>
      </c>
      <c r="K79" s="21">
        <f t="shared" si="5"/>
        <v>33.333333333333329</v>
      </c>
      <c r="L79" s="21" t="str">
        <f t="shared" si="6"/>
        <v>Yes</v>
      </c>
      <c r="M79" s="33"/>
      <c r="N79" s="2" t="s">
        <v>363</v>
      </c>
      <c r="O79" s="18" t="s">
        <v>363</v>
      </c>
      <c r="P79" s="2" t="s">
        <v>245</v>
      </c>
      <c r="Q79" s="16" t="s">
        <v>245</v>
      </c>
      <c r="R79" s="2" t="s">
        <v>711</v>
      </c>
      <c r="S79" s="17" t="s">
        <v>764</v>
      </c>
      <c r="T79" s="33"/>
      <c r="U79" s="2"/>
      <c r="V79" s="17"/>
      <c r="W79" s="2"/>
      <c r="X79" s="17"/>
      <c r="Y79" s="2"/>
      <c r="Z79" s="16"/>
      <c r="AA79" s="33"/>
      <c r="AB79" s="2"/>
      <c r="AC79" s="17"/>
      <c r="AD79" s="2"/>
      <c r="AE79" s="17"/>
      <c r="AF79" s="2"/>
      <c r="AG79" s="17"/>
      <c r="AH79" s="33"/>
      <c r="AI79" s="2"/>
      <c r="AJ79" s="17"/>
      <c r="AK79" s="2"/>
      <c r="AL79" s="17"/>
      <c r="AM79" s="33"/>
      <c r="AN79" s="2" t="s">
        <v>470</v>
      </c>
      <c r="AO79" s="17"/>
      <c r="AP79" s="2"/>
      <c r="AQ79" s="17"/>
      <c r="AR79" s="33"/>
      <c r="AS79" s="2" t="s">
        <v>470</v>
      </c>
      <c r="AT79" s="16" t="s">
        <v>798</v>
      </c>
      <c r="AU79" s="2" t="s">
        <v>418</v>
      </c>
      <c r="AV79" s="16" t="s">
        <v>418</v>
      </c>
      <c r="AW79" s="33"/>
      <c r="AX79" s="2" t="s">
        <v>471</v>
      </c>
      <c r="AY79" s="16"/>
      <c r="AZ79" s="2" t="s">
        <v>472</v>
      </c>
      <c r="BA79" s="16" t="s">
        <v>891</v>
      </c>
      <c r="BB79" s="2"/>
      <c r="BC79" s="16"/>
      <c r="BD79" s="2"/>
      <c r="BE79" s="16"/>
      <c r="BF79" s="2" t="s">
        <v>403</v>
      </c>
      <c r="BG79" s="16" t="s">
        <v>403</v>
      </c>
      <c r="BH79" s="2" t="s">
        <v>333</v>
      </c>
      <c r="BI79" s="16" t="s">
        <v>834</v>
      </c>
      <c r="BJ79" s="2"/>
    </row>
    <row r="80" spans="1:62" ht="15">
      <c r="A80" s="1">
        <v>79</v>
      </c>
      <c r="B80" s="1" t="s">
        <v>735</v>
      </c>
      <c r="C80" s="1"/>
      <c r="D80" s="2" t="s">
        <v>18</v>
      </c>
      <c r="E80" s="1" t="s">
        <v>687</v>
      </c>
      <c r="F80" s="2" t="s">
        <v>197</v>
      </c>
      <c r="G80" s="2">
        <v>1000</v>
      </c>
      <c r="H80" s="17">
        <f t="shared" si="4"/>
        <v>1000</v>
      </c>
      <c r="I80" s="8">
        <v>160</v>
      </c>
      <c r="J80" s="19">
        <f t="shared" si="7"/>
        <v>160</v>
      </c>
      <c r="K80" s="21">
        <f t="shared" si="5"/>
        <v>16</v>
      </c>
      <c r="L80" s="21" t="str">
        <f t="shared" si="6"/>
        <v>Yes</v>
      </c>
      <c r="M80" s="33"/>
      <c r="N80" s="2" t="s">
        <v>473</v>
      </c>
      <c r="O80" s="18" t="s">
        <v>752</v>
      </c>
      <c r="P80" s="2" t="s">
        <v>423</v>
      </c>
      <c r="Q80" s="16" t="s">
        <v>423</v>
      </c>
      <c r="R80" s="2" t="s">
        <v>383</v>
      </c>
      <c r="S80" s="17" t="s">
        <v>364</v>
      </c>
      <c r="T80" s="33"/>
      <c r="U80" s="2" t="s">
        <v>376</v>
      </c>
      <c r="V80" s="17"/>
      <c r="W80" s="2" t="s">
        <v>376</v>
      </c>
      <c r="X80" s="17"/>
      <c r="Y80" s="2" t="s">
        <v>376</v>
      </c>
      <c r="Z80" s="16"/>
      <c r="AA80" s="33"/>
      <c r="AB80" s="2" t="s">
        <v>376</v>
      </c>
      <c r="AC80" s="17"/>
      <c r="AD80" s="2" t="s">
        <v>376</v>
      </c>
      <c r="AE80" s="17"/>
      <c r="AF80" s="2" t="s">
        <v>376</v>
      </c>
      <c r="AG80" s="17"/>
      <c r="AH80" s="33"/>
      <c r="AI80" s="2"/>
      <c r="AJ80" s="17"/>
      <c r="AK80" s="2"/>
      <c r="AL80" s="17"/>
      <c r="AM80" s="33"/>
      <c r="AN80" s="2"/>
      <c r="AO80" s="17"/>
      <c r="AP80" s="2"/>
      <c r="AQ80" s="17"/>
      <c r="AR80" s="33"/>
      <c r="AS80" s="2"/>
      <c r="AT80" s="16"/>
      <c r="AU80" s="2"/>
      <c r="AV80" s="16"/>
      <c r="AW80" s="33"/>
      <c r="AX80" s="2"/>
      <c r="AY80" s="16"/>
      <c r="AZ80" s="2"/>
      <c r="BA80" s="16"/>
      <c r="BB80" s="2"/>
      <c r="BC80" s="16"/>
      <c r="BD80" s="2"/>
      <c r="BE80" s="16"/>
      <c r="BF80" s="2"/>
      <c r="BG80" s="16"/>
      <c r="BH80" s="2"/>
      <c r="BI80" s="16"/>
      <c r="BJ80" s="2"/>
    </row>
    <row r="81" spans="1:68" ht="45">
      <c r="A81" s="1">
        <v>80</v>
      </c>
      <c r="B81" s="1" t="s">
        <v>735</v>
      </c>
      <c r="C81" s="1"/>
      <c r="D81" s="2"/>
      <c r="E81" s="1"/>
      <c r="F81" s="2"/>
      <c r="G81" s="2"/>
      <c r="H81" s="17"/>
      <c r="I81" s="8"/>
      <c r="J81" s="19"/>
      <c r="K81" s="21"/>
      <c r="L81" s="21" t="str">
        <f t="shared" si="6"/>
        <v>No</v>
      </c>
      <c r="M81" s="33"/>
      <c r="N81" s="2" t="s">
        <v>474</v>
      </c>
      <c r="O81" s="18"/>
      <c r="P81" s="2"/>
      <c r="Q81" s="16"/>
      <c r="R81" s="2"/>
      <c r="S81" s="17"/>
      <c r="T81" s="33"/>
      <c r="U81" s="2"/>
      <c r="V81" s="17"/>
      <c r="W81" s="2"/>
      <c r="X81" s="17"/>
      <c r="Y81" s="2"/>
      <c r="Z81" s="16"/>
      <c r="AA81" s="33"/>
      <c r="AB81" s="2" t="s">
        <v>475</v>
      </c>
      <c r="AC81" s="17" t="s">
        <v>752</v>
      </c>
      <c r="AD81" s="2" t="s">
        <v>302</v>
      </c>
      <c r="AE81" s="17" t="s">
        <v>778</v>
      </c>
      <c r="AF81" s="2" t="s">
        <v>643</v>
      </c>
      <c r="AG81" s="17" t="s">
        <v>764</v>
      </c>
      <c r="AH81" s="33"/>
      <c r="AI81" s="2" t="s">
        <v>476</v>
      </c>
      <c r="AJ81" s="17" t="s">
        <v>797</v>
      </c>
      <c r="AK81" s="2" t="s">
        <v>418</v>
      </c>
      <c r="AL81" s="17" t="s">
        <v>418</v>
      </c>
      <c r="AM81" s="33"/>
      <c r="AN81" s="2"/>
      <c r="AO81" s="17"/>
      <c r="AP81" s="2"/>
      <c r="AQ81" s="17"/>
      <c r="AR81" s="33"/>
      <c r="AS81" s="2"/>
      <c r="AT81" s="16"/>
      <c r="AU81" s="2"/>
      <c r="AV81" s="16"/>
      <c r="AW81" s="33"/>
      <c r="AX81" s="2" t="s">
        <v>477</v>
      </c>
      <c r="AY81" s="16" t="s">
        <v>858</v>
      </c>
      <c r="AZ81" s="2" t="s">
        <v>478</v>
      </c>
      <c r="BA81" s="16" t="s">
        <v>891</v>
      </c>
      <c r="BB81" s="2" t="s">
        <v>3</v>
      </c>
      <c r="BC81" s="16" t="s">
        <v>3</v>
      </c>
      <c r="BD81" s="2" t="s">
        <v>479</v>
      </c>
      <c r="BE81" s="16" t="s">
        <v>815</v>
      </c>
      <c r="BF81" s="2" t="s">
        <v>403</v>
      </c>
      <c r="BG81" s="16" t="s">
        <v>403</v>
      </c>
      <c r="BH81" s="2" t="s">
        <v>387</v>
      </c>
      <c r="BI81" s="16" t="s">
        <v>387</v>
      </c>
      <c r="BJ81" s="2"/>
    </row>
    <row r="82" spans="1:68" ht="30">
      <c r="A82" s="1">
        <v>81</v>
      </c>
      <c r="B82" s="1" t="s">
        <v>735</v>
      </c>
      <c r="C82" s="1"/>
      <c r="D82" s="2"/>
      <c r="E82" s="1"/>
      <c r="F82" s="2" t="s">
        <v>197</v>
      </c>
      <c r="G82" s="2">
        <v>300</v>
      </c>
      <c r="H82" s="17">
        <f t="shared" si="4"/>
        <v>300</v>
      </c>
      <c r="I82" s="8">
        <v>300</v>
      </c>
      <c r="J82" s="19">
        <f t="shared" si="7"/>
        <v>300</v>
      </c>
      <c r="K82" s="21">
        <f t="shared" si="5"/>
        <v>100</v>
      </c>
      <c r="L82" s="21" t="str">
        <f t="shared" si="6"/>
        <v>Yes</v>
      </c>
      <c r="M82" s="33"/>
      <c r="N82" s="2" t="s">
        <v>482</v>
      </c>
      <c r="O82" s="18" t="s">
        <v>752</v>
      </c>
      <c r="P82" s="2" t="s">
        <v>655</v>
      </c>
      <c r="Q82" s="16" t="s">
        <v>423</v>
      </c>
      <c r="R82" s="2" t="s">
        <v>705</v>
      </c>
      <c r="S82" s="17" t="s">
        <v>764</v>
      </c>
      <c r="T82" s="33"/>
      <c r="U82" s="2"/>
      <c r="V82" s="17"/>
      <c r="W82" s="2"/>
      <c r="X82" s="17"/>
      <c r="Y82" s="2"/>
      <c r="Z82" s="16"/>
      <c r="AA82" s="33"/>
      <c r="AB82" s="2" t="s">
        <v>482</v>
      </c>
      <c r="AC82" s="17" t="s">
        <v>752</v>
      </c>
      <c r="AD82" s="2" t="s">
        <v>423</v>
      </c>
      <c r="AE82" s="17" t="s">
        <v>423</v>
      </c>
      <c r="AF82" s="2" t="s">
        <v>705</v>
      </c>
      <c r="AG82" s="17" t="s">
        <v>764</v>
      </c>
      <c r="AH82" s="33"/>
      <c r="AI82" s="2" t="s">
        <v>483</v>
      </c>
      <c r="AJ82" s="17" t="s">
        <v>797</v>
      </c>
      <c r="AK82" s="2" t="s">
        <v>418</v>
      </c>
      <c r="AL82" s="17" t="s">
        <v>418</v>
      </c>
      <c r="AM82" s="33"/>
      <c r="AN82" s="2"/>
      <c r="AO82" s="17"/>
      <c r="AP82" s="2"/>
      <c r="AQ82" s="17"/>
      <c r="AR82" s="33"/>
      <c r="AS82" s="2" t="s">
        <v>484</v>
      </c>
      <c r="AT82" s="16" t="s">
        <v>798</v>
      </c>
      <c r="AU82" s="2" t="s">
        <v>418</v>
      </c>
      <c r="AV82" s="16" t="s">
        <v>418</v>
      </c>
      <c r="AW82" s="33"/>
      <c r="AX82" s="2" t="s">
        <v>485</v>
      </c>
      <c r="AY82" s="16" t="s">
        <v>859</v>
      </c>
      <c r="AZ82" s="2" t="s">
        <v>486</v>
      </c>
      <c r="BA82" s="16"/>
      <c r="BB82" s="2" t="s">
        <v>3</v>
      </c>
      <c r="BC82" s="16" t="s">
        <v>3</v>
      </c>
      <c r="BD82" s="2" t="s">
        <v>41</v>
      </c>
      <c r="BE82" s="16" t="s">
        <v>809</v>
      </c>
      <c r="BF82" s="2" t="s">
        <v>253</v>
      </c>
      <c r="BG82" s="16" t="s">
        <v>819</v>
      </c>
      <c r="BH82" s="2" t="s">
        <v>333</v>
      </c>
      <c r="BI82" s="16" t="s">
        <v>834</v>
      </c>
      <c r="BJ82" s="2"/>
    </row>
    <row r="83" spans="1:68" ht="30">
      <c r="A83" s="1">
        <v>82</v>
      </c>
      <c r="B83" s="1" t="s">
        <v>735</v>
      </c>
      <c r="C83" s="1"/>
      <c r="D83" s="2"/>
      <c r="E83" s="1"/>
      <c r="F83" s="2"/>
      <c r="G83" s="2"/>
      <c r="H83" s="17"/>
      <c r="I83" s="8"/>
      <c r="J83" s="19"/>
      <c r="K83" s="21"/>
      <c r="L83" s="21" t="str">
        <f t="shared" si="6"/>
        <v>No</v>
      </c>
      <c r="M83" s="33"/>
      <c r="N83" s="2"/>
      <c r="O83" s="18"/>
      <c r="P83" s="2"/>
      <c r="Q83" s="16"/>
      <c r="R83" s="2"/>
      <c r="S83" s="17"/>
      <c r="T83" s="33"/>
      <c r="U83" s="2"/>
      <c r="V83" s="17"/>
      <c r="W83" s="2"/>
      <c r="X83" s="17"/>
      <c r="Y83" s="2"/>
      <c r="Z83" s="16"/>
      <c r="AA83" s="33"/>
      <c r="AB83" s="2" t="s">
        <v>363</v>
      </c>
      <c r="AC83" s="17" t="s">
        <v>363</v>
      </c>
      <c r="AD83" s="2" t="s">
        <v>245</v>
      </c>
      <c r="AE83" s="17" t="s">
        <v>245</v>
      </c>
      <c r="AF83" s="2" t="s">
        <v>383</v>
      </c>
      <c r="AG83" s="17" t="s">
        <v>364</v>
      </c>
      <c r="AH83" s="33"/>
      <c r="AI83" s="2"/>
      <c r="AJ83" s="17"/>
      <c r="AK83" s="2"/>
      <c r="AL83" s="17"/>
      <c r="AM83" s="33"/>
      <c r="AN83" s="2"/>
      <c r="AO83" s="17"/>
      <c r="AP83" s="2"/>
      <c r="AQ83" s="17"/>
      <c r="AR83" s="33"/>
      <c r="AS83" s="2"/>
      <c r="AT83" s="16"/>
      <c r="AU83" s="2"/>
      <c r="AV83" s="16"/>
      <c r="AW83" s="33"/>
      <c r="AX83" s="2" t="s">
        <v>477</v>
      </c>
      <c r="AY83" s="16" t="s">
        <v>858</v>
      </c>
      <c r="AZ83" s="4" t="s">
        <v>480</v>
      </c>
      <c r="BA83" s="16" t="s">
        <v>891</v>
      </c>
      <c r="BB83" s="2" t="s">
        <v>3</v>
      </c>
      <c r="BC83" s="16" t="s">
        <v>3</v>
      </c>
      <c r="BD83" s="2" t="s">
        <v>481</v>
      </c>
      <c r="BE83" s="16" t="s">
        <v>808</v>
      </c>
      <c r="BF83" s="2" t="s">
        <v>403</v>
      </c>
      <c r="BG83" s="16" t="s">
        <v>403</v>
      </c>
      <c r="BH83" s="2" t="s">
        <v>606</v>
      </c>
      <c r="BI83" s="16" t="s">
        <v>606</v>
      </c>
      <c r="BJ83" s="2"/>
    </row>
    <row r="84" spans="1:68" ht="27" customHeight="1">
      <c r="A84" s="8">
        <v>83</v>
      </c>
      <c r="B84" s="8" t="s">
        <v>207</v>
      </c>
      <c r="C84" s="8" t="s">
        <v>208</v>
      </c>
      <c r="D84" s="4" t="s">
        <v>195</v>
      </c>
      <c r="E84" s="8" t="s">
        <v>36</v>
      </c>
      <c r="F84" s="4" t="s">
        <v>197</v>
      </c>
      <c r="G84" s="4">
        <v>900</v>
      </c>
      <c r="H84" s="17">
        <f t="shared" si="4"/>
        <v>900</v>
      </c>
      <c r="I84" s="8">
        <v>300</v>
      </c>
      <c r="J84" s="19">
        <f t="shared" si="7"/>
        <v>300</v>
      </c>
      <c r="K84" s="21">
        <f t="shared" si="5"/>
        <v>33.333333333333329</v>
      </c>
      <c r="L84" s="21" t="str">
        <f t="shared" si="6"/>
        <v>Yes</v>
      </c>
      <c r="M84" s="33"/>
      <c r="N84" s="2" t="s">
        <v>487</v>
      </c>
      <c r="O84" s="18" t="s">
        <v>752</v>
      </c>
      <c r="P84" s="2" t="s">
        <v>659</v>
      </c>
      <c r="Q84" s="16" t="s">
        <v>756</v>
      </c>
      <c r="R84" s="2" t="s">
        <v>712</v>
      </c>
      <c r="S84" s="17" t="s">
        <v>764</v>
      </c>
      <c r="T84" s="33"/>
      <c r="U84" s="2" t="s">
        <v>488</v>
      </c>
      <c r="V84" s="17"/>
      <c r="W84" s="2" t="s">
        <v>489</v>
      </c>
      <c r="X84" s="17"/>
      <c r="Y84" s="2" t="s">
        <v>490</v>
      </c>
      <c r="Z84" s="16" t="s">
        <v>764</v>
      </c>
      <c r="AA84" s="33"/>
      <c r="AB84" s="2" t="s">
        <v>491</v>
      </c>
      <c r="AC84" s="17" t="s">
        <v>752</v>
      </c>
      <c r="AD84" s="2" t="s">
        <v>554</v>
      </c>
      <c r="AE84" s="17" t="s">
        <v>423</v>
      </c>
      <c r="AF84" s="2" t="s">
        <v>713</v>
      </c>
      <c r="AG84" s="17" t="s">
        <v>764</v>
      </c>
      <c r="AH84" s="33"/>
      <c r="AI84" s="2" t="s">
        <v>376</v>
      </c>
      <c r="AJ84" s="17"/>
      <c r="AK84" s="2" t="s">
        <v>376</v>
      </c>
      <c r="AL84" s="17"/>
      <c r="AM84" s="33"/>
      <c r="AN84" s="2" t="s">
        <v>376</v>
      </c>
      <c r="AO84" s="17"/>
      <c r="AP84" s="2" t="s">
        <v>376</v>
      </c>
      <c r="AQ84" s="17"/>
      <c r="AR84" s="33"/>
      <c r="AS84" s="2" t="s">
        <v>376</v>
      </c>
      <c r="AT84" s="16"/>
      <c r="AU84" s="2" t="s">
        <v>376</v>
      </c>
      <c r="AV84" s="16"/>
      <c r="AW84" s="33"/>
      <c r="AX84" s="2" t="s">
        <v>492</v>
      </c>
      <c r="AY84" s="16" t="s">
        <v>860</v>
      </c>
      <c r="AZ84" s="2" t="s">
        <v>493</v>
      </c>
      <c r="BA84" s="16" t="s">
        <v>891</v>
      </c>
      <c r="BB84" s="2" t="s">
        <v>3</v>
      </c>
      <c r="BC84" s="16" t="s">
        <v>3</v>
      </c>
      <c r="BD84" s="2" t="s">
        <v>494</v>
      </c>
      <c r="BE84" s="16" t="s">
        <v>807</v>
      </c>
      <c r="BF84" s="2" t="s">
        <v>253</v>
      </c>
      <c r="BG84" s="16" t="s">
        <v>819</v>
      </c>
      <c r="BH84" s="2" t="s">
        <v>387</v>
      </c>
      <c r="BI84" s="16" t="s">
        <v>387</v>
      </c>
      <c r="BJ84" s="2"/>
    </row>
    <row r="86" spans="1:68" ht="30">
      <c r="H86" s="10" t="s">
        <v>741</v>
      </c>
      <c r="J86" s="9" t="s">
        <v>741</v>
      </c>
      <c r="K86" s="22" t="s">
        <v>742</v>
      </c>
      <c r="L86" s="25" t="s">
        <v>39</v>
      </c>
      <c r="M86" s="34"/>
      <c r="O86" s="30" t="s">
        <v>751</v>
      </c>
      <c r="Q86" s="30" t="s">
        <v>757</v>
      </c>
      <c r="S86" s="30" t="s">
        <v>768</v>
      </c>
      <c r="T86" s="34"/>
      <c r="V86" s="30" t="s">
        <v>773</v>
      </c>
      <c r="X86" s="30" t="s">
        <v>757</v>
      </c>
      <c r="Z86" s="30" t="s">
        <v>768</v>
      </c>
      <c r="AA86" s="34"/>
      <c r="AB86" s="40"/>
      <c r="AC86" s="40" t="s">
        <v>774</v>
      </c>
      <c r="AE86" s="30" t="s">
        <v>757</v>
      </c>
      <c r="AG86" s="30" t="s">
        <v>768</v>
      </c>
      <c r="AH86" s="34"/>
      <c r="AJ86" s="30" t="s">
        <v>797</v>
      </c>
      <c r="AL86" s="30" t="s">
        <v>791</v>
      </c>
      <c r="AM86" s="34"/>
      <c r="AO86" s="30" t="s">
        <v>797</v>
      </c>
      <c r="AQ86" s="30" t="s">
        <v>791</v>
      </c>
      <c r="AR86" s="34"/>
      <c r="AT86" s="30" t="s">
        <v>797</v>
      </c>
      <c r="AV86" s="30" t="s">
        <v>791</v>
      </c>
      <c r="AW86" s="34"/>
      <c r="AY86" s="30" t="s">
        <v>870</v>
      </c>
      <c r="BA86" s="30" t="s">
        <v>893</v>
      </c>
      <c r="BC86" s="30" t="s">
        <v>39</v>
      </c>
      <c r="BE86" s="30" t="s">
        <v>811</v>
      </c>
      <c r="BG86" s="30" t="s">
        <v>825</v>
      </c>
      <c r="BI86" s="30" t="s">
        <v>835</v>
      </c>
    </row>
    <row r="87" spans="1:68">
      <c r="H87" s="10">
        <f>SUM(H2:H84)</f>
        <v>369005</v>
      </c>
      <c r="J87" s="9">
        <f>SUM(J2:J84)</f>
        <v>59892</v>
      </c>
      <c r="K87" s="23">
        <f>AVERAGE(K2:K84)</f>
        <v>32.296881139174012</v>
      </c>
      <c r="L87" s="23">
        <f>COUNTIF(L2:L84, "Yes")</f>
        <v>72</v>
      </c>
      <c r="M87" s="35"/>
      <c r="O87" s="10">
        <f>COUNTIF(O2:O84,"after harvest")</f>
        <v>43</v>
      </c>
      <c r="Q87" s="10">
        <f>COUNTIF(Q2:Q84,"drill")</f>
        <v>40</v>
      </c>
      <c r="S87" s="10">
        <f>COUNTIF(S2:S84,"cereal rye")</f>
        <v>29</v>
      </c>
      <c r="T87" s="35"/>
      <c r="V87" s="10">
        <f>COUNTIF(V2:V84,"male row destruction")</f>
        <v>11</v>
      </c>
      <c r="X87" s="10">
        <f>COUNTIF(X2:X84,"drill")</f>
        <v>1</v>
      </c>
      <c r="Z87" s="10">
        <f>COUNTIF(Z2:Z84,"cereal rye")</f>
        <v>0</v>
      </c>
      <c r="AA87" s="35"/>
      <c r="AB87" s="41"/>
      <c r="AC87" s="41">
        <f>COUNTIF(AC2:AC84, "after harvest")</f>
        <v>41</v>
      </c>
      <c r="AE87" s="10">
        <f>COUNTIF(AE2:AE84, "drill")</f>
        <v>38</v>
      </c>
      <c r="AG87" s="10">
        <f>COUNTIF(AG2:AG84,"Cereal rye")</f>
        <v>20</v>
      </c>
      <c r="AH87" s="35"/>
      <c r="AJ87" s="10">
        <f>COUNTIF(AJ2:AJ84, "1 week")</f>
        <v>5</v>
      </c>
      <c r="AL87" s="10">
        <f>COUNTIF(AL2:AL84,"herbicides")</f>
        <v>52</v>
      </c>
      <c r="AM87" s="35"/>
      <c r="AO87" s="10">
        <f>COUNTIF(AO2:AO84, "1 week")</f>
        <v>0</v>
      </c>
      <c r="AQ87" s="10">
        <f>COUNTIF(AQ2:AQ84,"herbicides")</f>
        <v>11</v>
      </c>
      <c r="AR87" s="35"/>
      <c r="AT87" s="10">
        <f>COUNTIF(AT2:AT84, "1 week")</f>
        <v>9</v>
      </c>
      <c r="AV87" s="10">
        <f>COUNTIF(AV2:AV84,"herbicides")</f>
        <v>44</v>
      </c>
      <c r="AW87" s="35"/>
      <c r="AY87" s="10">
        <f>COUNTIF(AY2:AY84, "*weed suppression*")</f>
        <v>12</v>
      </c>
      <c r="BA87" s="10">
        <f>COUNTIF(BA2:BA84, "*planting cc*")</f>
        <v>23</v>
      </c>
      <c r="BC87" s="10">
        <f>COUNTIF(BC2:BC84,"yes")</f>
        <v>50</v>
      </c>
      <c r="BE87" s="10">
        <f>COUNTIF(BE2:BE84,"*winter*")</f>
        <v>30</v>
      </c>
      <c r="BG87" s="10">
        <f>COUNTIF(BG2:BG84, "glyphosate") +1</f>
        <v>29</v>
      </c>
      <c r="BH87" s="49">
        <f>BG87/BG95</f>
        <v>0.43939393939393939</v>
      </c>
      <c r="BI87" s="10">
        <f>COUNTIF(BI2:BI84, "cc termination")</f>
        <v>16</v>
      </c>
    </row>
    <row r="88" spans="1:68" ht="15">
      <c r="L88" s="26" t="s">
        <v>40</v>
      </c>
      <c r="M88" s="36"/>
      <c r="O88" s="30" t="s">
        <v>752</v>
      </c>
      <c r="Q88" s="30" t="s">
        <v>758</v>
      </c>
      <c r="S88" s="30" t="s">
        <v>769</v>
      </c>
      <c r="T88" s="36"/>
      <c r="V88" s="30" t="s">
        <v>774</v>
      </c>
      <c r="X88" s="30" t="s">
        <v>759</v>
      </c>
      <c r="Z88" s="30" t="s">
        <v>769</v>
      </c>
      <c r="AA88" s="36"/>
      <c r="AB88" s="42"/>
      <c r="AC88" s="42" t="s">
        <v>782</v>
      </c>
      <c r="AE88" s="30" t="s">
        <v>758</v>
      </c>
      <c r="AG88" s="30" t="s">
        <v>769</v>
      </c>
      <c r="AH88" s="36"/>
      <c r="AJ88" s="30" t="s">
        <v>798</v>
      </c>
      <c r="AL88" s="30" t="s">
        <v>792</v>
      </c>
      <c r="AM88" s="36"/>
      <c r="AO88" s="30" t="s">
        <v>798</v>
      </c>
      <c r="AQ88" s="30" t="s">
        <v>792</v>
      </c>
      <c r="AR88" s="36"/>
      <c r="AT88" s="30" t="s">
        <v>798</v>
      </c>
      <c r="AV88" s="30" t="s">
        <v>792</v>
      </c>
      <c r="AW88" s="36"/>
      <c r="AY88" s="30" t="s">
        <v>869</v>
      </c>
      <c r="BA88" s="30" t="s">
        <v>894</v>
      </c>
      <c r="BC88" s="30" t="s">
        <v>40</v>
      </c>
      <c r="BE88" s="30" t="s">
        <v>810</v>
      </c>
      <c r="BG88" s="30" t="s">
        <v>826</v>
      </c>
      <c r="BI88" s="30" t="s">
        <v>836</v>
      </c>
    </row>
    <row r="89" spans="1:68">
      <c r="K89" s="22" t="s">
        <v>744</v>
      </c>
      <c r="L89" s="23">
        <f>COUNTIF(L2:L84,"No")</f>
        <v>10</v>
      </c>
      <c r="M89" s="35"/>
      <c r="O89" s="10">
        <f>COUNTIF(O2:O84,"prior to harvest")</f>
        <v>16</v>
      </c>
      <c r="Q89" s="10">
        <f>COUNTIF(Q2:Q84,"aerial seeding")</f>
        <v>16</v>
      </c>
      <c r="S89" s="10">
        <f>COUNTIF(S2:S84,"mix")</f>
        <v>33</v>
      </c>
      <c r="T89" s="35"/>
      <c r="V89" s="10">
        <f>COUNTIF(V2:V84,"after harvest")</f>
        <v>2</v>
      </c>
      <c r="X89" s="10">
        <f>COUNTIF(X2:X84,"interseed")</f>
        <v>10</v>
      </c>
      <c r="Z89" s="10">
        <f>COUNTIF(Z2:Z84,"mix")</f>
        <v>13</v>
      </c>
      <c r="AA89" s="35"/>
      <c r="AB89" s="41"/>
      <c r="AC89" s="41">
        <f>COUNTIF(AC2:AC84, "prior to harvest")</f>
        <v>15</v>
      </c>
      <c r="AE89" s="10">
        <f>COUNTIF(AE2:AE84,"aerial seeding")</f>
        <v>15</v>
      </c>
      <c r="AG89" s="10">
        <f>COUNTIF(AG2:AG84,"mix")</f>
        <v>27</v>
      </c>
      <c r="AH89" s="35"/>
      <c r="AJ89" s="10">
        <f>COUNTIF(AJ2:AJ84, "2 weeks")</f>
        <v>29</v>
      </c>
      <c r="AL89" s="10">
        <f>COUNTIF(AL2:AL84, "non-herbicides")</f>
        <v>3</v>
      </c>
      <c r="AM89" s="35"/>
      <c r="AO89" s="10">
        <f>COUNTIF(AO2:AO84, "2 weeks")</f>
        <v>7</v>
      </c>
      <c r="AQ89" s="10">
        <f>COUNTIF(AQ2:AQ84, "non-herbicides")</f>
        <v>0</v>
      </c>
      <c r="AR89" s="35"/>
      <c r="AT89" s="10">
        <f>COUNTIF(AT2:AT84, "2 weeks")</f>
        <v>16</v>
      </c>
      <c r="AV89" s="10">
        <f>COUNTIF(AV2:AV84, "non-herbicides")</f>
        <v>2</v>
      </c>
      <c r="AW89" s="35"/>
      <c r="AY89" s="10">
        <f>COUNTIF(AY2:AY84, "*increased OM*")</f>
        <v>10</v>
      </c>
      <c r="BA89" s="10">
        <f>COUNTIF(BA2:BA84,"*terminating cc*")</f>
        <v>15</v>
      </c>
      <c r="BC89" s="10">
        <f>COUNTIF(BC2:BC84,"no")</f>
        <v>4</v>
      </c>
      <c r="BE89" s="10">
        <f>COUNTIF(BE2:BE84,"*earlysum*")</f>
        <v>10</v>
      </c>
      <c r="BG89" s="10">
        <f>COUNTIF(BG2:BG84,"*2,4-d*")</f>
        <v>33</v>
      </c>
      <c r="BI89" s="10">
        <f>COUNTIF(BI2:BI84,"crop planting")</f>
        <v>10</v>
      </c>
    </row>
    <row r="90" spans="1:68" ht="15">
      <c r="K90" s="22">
        <f>MIN(K2:K84)</f>
        <v>2.5</v>
      </c>
      <c r="L90" s="26" t="s">
        <v>38</v>
      </c>
      <c r="M90" s="36"/>
      <c r="O90" s="30" t="s">
        <v>38</v>
      </c>
      <c r="Q90" s="30" t="s">
        <v>759</v>
      </c>
      <c r="S90" s="30" t="s">
        <v>38</v>
      </c>
      <c r="T90" s="36"/>
      <c r="V90" s="30" t="s">
        <v>38</v>
      </c>
      <c r="X90" s="30" t="s">
        <v>758</v>
      </c>
      <c r="Z90" s="30" t="s">
        <v>38</v>
      </c>
      <c r="AA90" s="36"/>
      <c r="AB90" s="42"/>
      <c r="AC90" s="42" t="s">
        <v>38</v>
      </c>
      <c r="AE90" s="30" t="s">
        <v>38</v>
      </c>
      <c r="AG90" s="30" t="s">
        <v>38</v>
      </c>
      <c r="AH90" s="36"/>
      <c r="AJ90" s="30" t="s">
        <v>309</v>
      </c>
      <c r="AL90" s="30" t="s">
        <v>38</v>
      </c>
      <c r="AM90" s="36"/>
      <c r="AO90" s="30" t="s">
        <v>309</v>
      </c>
      <c r="AQ90" s="30" t="s">
        <v>38</v>
      </c>
      <c r="AR90" s="36"/>
      <c r="AT90" s="30" t="s">
        <v>309</v>
      </c>
      <c r="AV90" s="30" t="s">
        <v>38</v>
      </c>
      <c r="AW90" s="36"/>
      <c r="AY90" s="30" t="s">
        <v>873</v>
      </c>
      <c r="BA90" s="30" t="s">
        <v>895</v>
      </c>
      <c r="BC90" s="30" t="s">
        <v>38</v>
      </c>
      <c r="BE90" s="30" t="s">
        <v>812</v>
      </c>
      <c r="BG90" s="30" t="s">
        <v>827</v>
      </c>
      <c r="BI90" s="30" t="s">
        <v>837</v>
      </c>
    </row>
    <row r="91" spans="1:68">
      <c r="L91" s="23">
        <f>L89+L87</f>
        <v>82</v>
      </c>
      <c r="M91" s="35"/>
      <c r="O91" s="29">
        <f>O89+O87</f>
        <v>59</v>
      </c>
      <c r="Q91" s="10">
        <f>COUNTIF(Q2:Q84,"interseed")</f>
        <v>5</v>
      </c>
      <c r="S91" s="10">
        <f>S87+S89</f>
        <v>62</v>
      </c>
      <c r="T91" s="35"/>
      <c r="V91" s="10">
        <f>V87+V89</f>
        <v>13</v>
      </c>
      <c r="X91" s="10">
        <f>COUNTIF(X2:X84,"aerial seeding")</f>
        <v>2</v>
      </c>
      <c r="Z91" s="10">
        <f>Z89+Z87</f>
        <v>13</v>
      </c>
      <c r="AA91" s="35"/>
      <c r="AB91" s="41"/>
      <c r="AC91" s="41">
        <f>AC87+AC89</f>
        <v>56</v>
      </c>
      <c r="AE91" s="10">
        <f>AE87+AE89</f>
        <v>53</v>
      </c>
      <c r="AG91" s="10">
        <f>AG87+AG89</f>
        <v>47</v>
      </c>
      <c r="AH91" s="35"/>
      <c r="AJ91" s="10">
        <f>COUNTIF(AJ2:AJ84, "at planting")</f>
        <v>6</v>
      </c>
      <c r="AL91" s="10">
        <f>(AL87+AL89)</f>
        <v>55</v>
      </c>
      <c r="AM91" s="35"/>
      <c r="AO91" s="10">
        <f>COUNTIF(AO2:AO84, "at planting")</f>
        <v>0</v>
      </c>
      <c r="AQ91" s="10">
        <f>(AQ87+AQ89)</f>
        <v>11</v>
      </c>
      <c r="AR91" s="35"/>
      <c r="AT91" s="10">
        <f>COUNTIF(AT2:AT84, "at planting")</f>
        <v>10</v>
      </c>
      <c r="AV91" s="10">
        <f>(AV87+AV89)</f>
        <v>46</v>
      </c>
      <c r="AW91" s="35"/>
      <c r="AY91" s="10">
        <f>COUNTIF(AY2:AY84,"*erosion control*")</f>
        <v>19</v>
      </c>
      <c r="BA91" s="10">
        <f>COUNTIF(BA2:BA84,"*herbicide carryover*")</f>
        <v>3</v>
      </c>
      <c r="BC91" s="10">
        <f>BC87+BC89</f>
        <v>54</v>
      </c>
      <c r="BE91" s="10">
        <f>COUNTIF(BE2:BE84, "*summer*")</f>
        <v>21</v>
      </c>
      <c r="BG91" s="10">
        <f>COUNTIF(BG2:BG84, "*glufosinate*")</f>
        <v>4</v>
      </c>
      <c r="BI91" s="10">
        <f>COUNTIF(BI2:BI84,"both")</f>
        <v>21</v>
      </c>
      <c r="BP91" s="10"/>
    </row>
    <row r="92" spans="1:68" ht="30">
      <c r="K92" s="22" t="s">
        <v>745</v>
      </c>
      <c r="L92" s="25" t="s">
        <v>743</v>
      </c>
      <c r="M92" s="34"/>
      <c r="O92" s="30" t="s">
        <v>753</v>
      </c>
      <c r="Q92" s="30" t="s">
        <v>38</v>
      </c>
      <c r="S92" s="30" t="s">
        <v>770</v>
      </c>
      <c r="T92" s="34"/>
      <c r="V92" s="30" t="s">
        <v>775</v>
      </c>
      <c r="X92" s="30" t="s">
        <v>38</v>
      </c>
      <c r="Z92" s="30" t="s">
        <v>770</v>
      </c>
      <c r="AA92" s="34"/>
      <c r="AB92" s="40"/>
      <c r="AC92" s="40" t="s">
        <v>776</v>
      </c>
      <c r="AE92" s="30" t="s">
        <v>760</v>
      </c>
      <c r="AG92" s="30" t="s">
        <v>770</v>
      </c>
      <c r="AH92" s="34"/>
      <c r="AJ92" s="30" t="s">
        <v>38</v>
      </c>
      <c r="AL92" s="30" t="s">
        <v>793</v>
      </c>
      <c r="AM92" s="34"/>
      <c r="AO92" s="30" t="s">
        <v>38</v>
      </c>
      <c r="AQ92" s="30" t="s">
        <v>793</v>
      </c>
      <c r="AR92" s="34"/>
      <c r="AT92" s="30" t="s">
        <v>38</v>
      </c>
      <c r="AV92" s="30" t="s">
        <v>793</v>
      </c>
      <c r="AW92" s="34"/>
      <c r="AY92" s="30" t="s">
        <v>871</v>
      </c>
      <c r="BA92" s="30" t="s">
        <v>896</v>
      </c>
      <c r="BC92" s="30" t="s">
        <v>743</v>
      </c>
      <c r="BE92" s="30" t="s">
        <v>38</v>
      </c>
      <c r="BG92" s="30" t="s">
        <v>828</v>
      </c>
      <c r="BI92" s="30" t="s">
        <v>838</v>
      </c>
    </row>
    <row r="93" spans="1:68">
      <c r="K93" s="22">
        <f>MAX(K2:K84)</f>
        <v>100</v>
      </c>
      <c r="L93" s="24">
        <f>(L87/L91)*100</f>
        <v>87.804878048780495</v>
      </c>
      <c r="M93" s="37"/>
      <c r="O93" s="28">
        <f>(O87/O91)*100</f>
        <v>72.881355932203391</v>
      </c>
      <c r="Q93" s="10">
        <f>Q87+Q89+Q91</f>
        <v>61</v>
      </c>
      <c r="S93" s="28">
        <f>(S87/S91)*100</f>
        <v>46.774193548387096</v>
      </c>
      <c r="T93" s="37"/>
      <c r="V93" s="28">
        <f>(V87/V91)*100</f>
        <v>84.615384615384613</v>
      </c>
      <c r="X93" s="10">
        <f>(X87+X89+X91)</f>
        <v>13</v>
      </c>
      <c r="Z93" s="10">
        <f>(Z87/Z89)*100</f>
        <v>0</v>
      </c>
      <c r="AA93" s="37"/>
      <c r="AB93" s="43"/>
      <c r="AC93" s="39">
        <f>(AC87/AC91)*100</f>
        <v>73.214285714285708</v>
      </c>
      <c r="AE93" s="28">
        <f>(AE87/AE91)*100</f>
        <v>71.698113207547166</v>
      </c>
      <c r="AG93" s="28">
        <f>(AG87/AG91)*100</f>
        <v>42.553191489361701</v>
      </c>
      <c r="AH93" s="37"/>
      <c r="AJ93" s="10">
        <f>AJ87+AJ89+AJ91</f>
        <v>40</v>
      </c>
      <c r="AL93" s="28">
        <f>(AL87/AL91)*100</f>
        <v>94.545454545454547</v>
      </c>
      <c r="AM93" s="37"/>
      <c r="AO93" s="10">
        <f>AO87+AO89+AO91</f>
        <v>7</v>
      </c>
      <c r="AQ93" s="28">
        <f>(AQ87/AQ91)*100</f>
        <v>100</v>
      </c>
      <c r="AR93" s="37"/>
      <c r="AT93" s="10">
        <f>AT87+AT89+AT91</f>
        <v>35</v>
      </c>
      <c r="AV93" s="28">
        <f>(AV87/AV91)*100</f>
        <v>95.652173913043484</v>
      </c>
      <c r="AW93" s="37"/>
      <c r="AY93" s="10">
        <f>COUNTIF(AY2:AY84,"*soil tilth*")</f>
        <v>8</v>
      </c>
      <c r="BA93" s="10">
        <f>COUNTIF(BA2:BA84,"*yield reduction*")</f>
        <v>1</v>
      </c>
      <c r="BC93" s="28">
        <f>(BC87/BC91)*100</f>
        <v>92.592592592592595</v>
      </c>
      <c r="BE93" s="10">
        <v>38</v>
      </c>
      <c r="BG93" s="10">
        <f>COUNTIF(BG2:BG84,"*paraquat*")</f>
        <v>6</v>
      </c>
      <c r="BI93" s="10">
        <f>COUNTIF(BI2:BI84,"dont")</f>
        <v>1</v>
      </c>
    </row>
    <row r="94" spans="1:68" ht="15">
      <c r="O94" s="30" t="s">
        <v>754</v>
      </c>
      <c r="Q94" s="30" t="s">
        <v>760</v>
      </c>
      <c r="S94" s="31" t="s">
        <v>771</v>
      </c>
      <c r="V94" s="30" t="s">
        <v>776</v>
      </c>
      <c r="X94" s="30" t="s">
        <v>760</v>
      </c>
      <c r="Z94" s="30" t="s">
        <v>771</v>
      </c>
      <c r="AC94" s="40" t="s">
        <v>783</v>
      </c>
      <c r="AE94" s="30" t="s">
        <v>761</v>
      </c>
      <c r="AG94" s="31" t="s">
        <v>771</v>
      </c>
      <c r="AJ94" s="30" t="s">
        <v>800</v>
      </c>
      <c r="AL94" s="31" t="s">
        <v>794</v>
      </c>
      <c r="AO94" s="30" t="s">
        <v>800</v>
      </c>
      <c r="AQ94" s="31" t="s">
        <v>794</v>
      </c>
      <c r="AT94" s="30" t="s">
        <v>800</v>
      </c>
      <c r="AV94" s="31" t="s">
        <v>794</v>
      </c>
      <c r="AY94" s="30" t="s">
        <v>872</v>
      </c>
      <c r="BA94" s="30" t="s">
        <v>897</v>
      </c>
      <c r="BC94" s="30" t="s">
        <v>787</v>
      </c>
      <c r="BE94" s="30" t="s">
        <v>816</v>
      </c>
      <c r="BG94" s="30" t="s">
        <v>38</v>
      </c>
      <c r="BI94" s="30" t="s">
        <v>38</v>
      </c>
    </row>
    <row r="95" spans="1:68">
      <c r="O95" s="28">
        <f>(O89/O91)*100</f>
        <v>27.118644067796609</v>
      </c>
      <c r="Q95" s="28">
        <f>(Q87/Q93)*100</f>
        <v>65.573770491803273</v>
      </c>
      <c r="S95" s="28">
        <f>(S89/S91)*100</f>
        <v>53.225806451612897</v>
      </c>
      <c r="V95" s="28">
        <f>(V89/V91)*100</f>
        <v>15.384615384615385</v>
      </c>
      <c r="X95" s="28">
        <f>(X87/X93)*100</f>
        <v>7.6923076923076925</v>
      </c>
      <c r="Z95" s="10">
        <f>(Z89/Z91)*100</f>
        <v>100</v>
      </c>
      <c r="AC95" s="39">
        <f>(AC89/AC91)*100</f>
        <v>26.785714285714285</v>
      </c>
      <c r="AE95" s="28">
        <f>(AE89/AE91)*100</f>
        <v>28.30188679245283</v>
      </c>
      <c r="AG95" s="28">
        <f>(AG89/AG91)*100</f>
        <v>57.446808510638306</v>
      </c>
      <c r="AJ95" s="10">
        <f>(AJ87/AJ93)*100</f>
        <v>12.5</v>
      </c>
      <c r="AL95" s="28">
        <f>(AL89/AL91)*100</f>
        <v>5.4545454545454541</v>
      </c>
      <c r="AO95" s="10">
        <f>(AO87/AO93)*100</f>
        <v>0</v>
      </c>
      <c r="AQ95" s="28">
        <f>(AQ89/AQ91)*100</f>
        <v>0</v>
      </c>
      <c r="AT95" s="28">
        <f>(AT87/AT93)*100</f>
        <v>25.714285714285712</v>
      </c>
      <c r="AV95" s="28">
        <f>(AV89/AV91)*100</f>
        <v>4.3478260869565215</v>
      </c>
      <c r="AY95" s="10">
        <f>COUNTIF(AY2:AY84, "*water infiltration*")</f>
        <v>1</v>
      </c>
      <c r="BA95" s="10">
        <f>COUNTIF(BA2:BA84,"*cost*")</f>
        <v>2</v>
      </c>
      <c r="BC95" s="28">
        <f>(BC89/BC91)*100</f>
        <v>7.4074074074074066</v>
      </c>
      <c r="BE95" s="28">
        <f>(BE87/BE93)*100</f>
        <v>78.94736842105263</v>
      </c>
      <c r="BG95" s="10">
        <f>COUNTIF(BG2:BG84, "**")</f>
        <v>66</v>
      </c>
      <c r="BI95" s="10">
        <f>BI87+BI89+BI91+BI93</f>
        <v>48</v>
      </c>
    </row>
    <row r="96" spans="1:68" ht="30">
      <c r="Q96" s="30" t="s">
        <v>761</v>
      </c>
      <c r="X96" s="31" t="s">
        <v>762</v>
      </c>
      <c r="AJ96" s="30" t="s">
        <v>801</v>
      </c>
      <c r="AO96" s="30" t="s">
        <v>801</v>
      </c>
      <c r="AT96" s="31" t="s">
        <v>801</v>
      </c>
      <c r="AY96" s="30" t="s">
        <v>874</v>
      </c>
      <c r="BA96" s="30" t="s">
        <v>38</v>
      </c>
      <c r="BE96" s="30" t="s">
        <v>817</v>
      </c>
      <c r="BG96" s="30" t="s">
        <v>829</v>
      </c>
      <c r="BI96" s="30" t="s">
        <v>840</v>
      </c>
    </row>
    <row r="97" spans="2:61">
      <c r="B97" s="9" t="s">
        <v>746</v>
      </c>
      <c r="Q97" s="28">
        <f>(Q89/Q93)*100</f>
        <v>26.229508196721312</v>
      </c>
      <c r="X97" s="28">
        <f>(X89/X93)*100</f>
        <v>76.923076923076934</v>
      </c>
      <c r="AJ97" s="10">
        <f>(AJ89/AJ93)*100</f>
        <v>72.5</v>
      </c>
      <c r="AO97" s="10">
        <f>(AO89/AO93)*100</f>
        <v>100</v>
      </c>
      <c r="AT97" s="28">
        <f>(AT89/AT93)*100</f>
        <v>45.714285714285715</v>
      </c>
      <c r="AY97" s="10">
        <f>COUNTIF(AY2:AY84, "*improved fertility*")</f>
        <v>1</v>
      </c>
      <c r="BA97" s="10">
        <v>41</v>
      </c>
      <c r="BE97" s="28">
        <f>(BE89/BE93)*100</f>
        <v>26.315789473684209</v>
      </c>
      <c r="BG97" s="28">
        <f>(BG87/BG95)*100</f>
        <v>43.939393939393938</v>
      </c>
      <c r="BI97" s="28">
        <f>(BI87/BI95)*100</f>
        <v>33.333333333333329</v>
      </c>
    </row>
    <row r="98" spans="2:61" ht="30">
      <c r="Q98" s="30" t="s">
        <v>762</v>
      </c>
      <c r="X98" s="31" t="s">
        <v>761</v>
      </c>
      <c r="AJ98" s="30" t="s">
        <v>802</v>
      </c>
      <c r="AO98" s="30" t="s">
        <v>802</v>
      </c>
      <c r="AT98" s="31" t="s">
        <v>802</v>
      </c>
      <c r="AY98" s="30" t="s">
        <v>875</v>
      </c>
      <c r="BA98" s="30" t="s">
        <v>899</v>
      </c>
      <c r="BE98" s="30" t="s">
        <v>818</v>
      </c>
      <c r="BG98" s="31" t="s">
        <v>830</v>
      </c>
      <c r="BI98" s="31" t="s">
        <v>841</v>
      </c>
    </row>
    <row r="99" spans="2:61">
      <c r="Q99" s="28">
        <f>(Q91/Q93)*100</f>
        <v>8.1967213114754092</v>
      </c>
      <c r="X99" s="28">
        <f>(X91/X93)*100</f>
        <v>15.384615384615385</v>
      </c>
      <c r="AJ99" s="28">
        <f>(AJ91/AJ93)*100</f>
        <v>15</v>
      </c>
      <c r="AO99" s="28">
        <f>(AO91/AO93)*100</f>
        <v>0</v>
      </c>
      <c r="AT99" s="28">
        <f>(AT91/AT93)*100</f>
        <v>28.571428571428569</v>
      </c>
      <c r="AY99" s="10">
        <f>COUNTIF(AY2:AY84, "*less chemicals*")</f>
        <v>4</v>
      </c>
      <c r="BA99" s="10">
        <f>(BA87/BA97)*100</f>
        <v>56.09756097560976</v>
      </c>
      <c r="BE99" s="28">
        <f>(BE91/BE93)*100</f>
        <v>55.26315789473685</v>
      </c>
      <c r="BG99" s="28">
        <f>(BG89/BG95)*100</f>
        <v>50</v>
      </c>
      <c r="BI99" s="28">
        <f>(BI89/BI95)*100</f>
        <v>20.833333333333336</v>
      </c>
    </row>
    <row r="100" spans="2:61" ht="15">
      <c r="B100" s="9">
        <f>H87</f>
        <v>369005</v>
      </c>
      <c r="C100" s="27" t="s">
        <v>747</v>
      </c>
      <c r="AY100" s="30" t="s">
        <v>876</v>
      </c>
      <c r="BA100" s="30" t="s">
        <v>903</v>
      </c>
      <c r="BG100" s="31" t="s">
        <v>831</v>
      </c>
      <c r="BI100" s="31" t="s">
        <v>842</v>
      </c>
    </row>
    <row r="101" spans="2:61">
      <c r="B101" s="9">
        <f>J87</f>
        <v>59892</v>
      </c>
      <c r="C101" s="27" t="s">
        <v>748</v>
      </c>
      <c r="AY101" s="10">
        <f>COUNTIF(AY2:AY84,"*grazing*")</f>
        <v>2</v>
      </c>
      <c r="BA101" s="10">
        <f>(BA89/BA97)*100</f>
        <v>36.585365853658537</v>
      </c>
      <c r="BG101" s="28">
        <f>(BG91/BG95)*100</f>
        <v>6.0606060606060606</v>
      </c>
      <c r="BI101" s="28">
        <f>(BI91/BI95)*100</f>
        <v>43.75</v>
      </c>
    </row>
    <row r="102" spans="2:61" ht="30">
      <c r="B102" s="23">
        <f>K87</f>
        <v>32.296881139174012</v>
      </c>
      <c r="C102" s="27" t="s">
        <v>749</v>
      </c>
      <c r="Q102" s="28"/>
      <c r="Y102" s="10" t="s">
        <v>780</v>
      </c>
      <c r="AY102" s="30" t="s">
        <v>38</v>
      </c>
      <c r="BA102" s="30" t="s">
        <v>902</v>
      </c>
      <c r="BG102" s="31" t="s">
        <v>832</v>
      </c>
      <c r="BI102" s="31" t="s">
        <v>843</v>
      </c>
    </row>
    <row r="103" spans="2:61">
      <c r="B103" s="23"/>
      <c r="C103" s="27"/>
      <c r="AY103" s="10">
        <v>42</v>
      </c>
      <c r="BA103" s="10">
        <f>(BA91/BA97)*100</f>
        <v>7.3170731707317067</v>
      </c>
      <c r="BG103" s="28">
        <f>(BG93/BG95)*100</f>
        <v>9.0909090909090917</v>
      </c>
      <c r="BI103" s="28">
        <f>(BI93/BI95)*100</f>
        <v>2.083333333333333</v>
      </c>
    </row>
    <row r="104" spans="2:61" ht="15">
      <c r="C104" s="27"/>
      <c r="AY104" s="30" t="s">
        <v>877</v>
      </c>
      <c r="BA104" s="30" t="s">
        <v>901</v>
      </c>
      <c r="BG104" s="28" t="s">
        <v>904</v>
      </c>
    </row>
    <row r="105" spans="2:61">
      <c r="C105" s="27"/>
      <c r="AY105" s="10">
        <f>(AY87/AY103)*100</f>
        <v>28.571428571428569</v>
      </c>
      <c r="BA105" s="10">
        <f>(BA93/BA97)*100</f>
        <v>2.4390243902439024</v>
      </c>
      <c r="BG105" s="28">
        <f>(2/BG95)*100</f>
        <v>3.0303030303030303</v>
      </c>
    </row>
    <row r="106" spans="2:61" ht="15">
      <c r="C106" s="27"/>
      <c r="AY106" s="30" t="s">
        <v>878</v>
      </c>
      <c r="BA106" s="30" t="s">
        <v>900</v>
      </c>
      <c r="BG106" s="28"/>
    </row>
    <row r="107" spans="2:61" ht="15">
      <c r="C107" s="27"/>
      <c r="AY107" s="10">
        <f>(AY89/AY103)*100</f>
        <v>23.809523809523807</v>
      </c>
      <c r="BA107" s="10">
        <f>(BA95/BA97)*100</f>
        <v>4.8780487804878048</v>
      </c>
      <c r="BG107" s="30" t="s">
        <v>905</v>
      </c>
    </row>
    <row r="108" spans="2:61" ht="15">
      <c r="C108" s="27"/>
      <c r="AY108" s="30" t="s">
        <v>879</v>
      </c>
      <c r="BG108" s="10">
        <f>COUNTIF($BG$2:$BG$84, "glyphosate &amp; 2,4-d")</f>
        <v>27</v>
      </c>
      <c r="BH108" s="49">
        <f>BG108/BG95</f>
        <v>0.40909090909090912</v>
      </c>
    </row>
    <row r="109" spans="2:61">
      <c r="C109" s="27"/>
      <c r="AY109" s="10">
        <f>(AY91/AY103)*100</f>
        <v>45.238095238095241</v>
      </c>
    </row>
    <row r="110" spans="2:61" ht="15">
      <c r="C110" s="27"/>
      <c r="AY110" s="30" t="s">
        <v>880</v>
      </c>
    </row>
    <row r="111" spans="2:61" ht="15">
      <c r="C111" s="27"/>
      <c r="AY111" s="10">
        <f>(AY93/AY103)*100</f>
        <v>19.047619047619047</v>
      </c>
      <c r="BG111" s="30" t="s">
        <v>823</v>
      </c>
    </row>
    <row r="112" spans="2:61" ht="15">
      <c r="AY112" s="30" t="s">
        <v>881</v>
      </c>
      <c r="BG112" s="10">
        <f>COUNTIF($BG$2:$BG$84, "glyphosate paraquat &amp; 2,4-d")</f>
        <v>4</v>
      </c>
      <c r="BH112" s="49">
        <f>BG112/BG95</f>
        <v>6.0606060606060608E-2</v>
      </c>
    </row>
    <row r="113" spans="51:60">
      <c r="AY113" s="10">
        <f>(AY95/AY103)*100</f>
        <v>2.3809523809523809</v>
      </c>
      <c r="BH113" s="28"/>
    </row>
    <row r="114" spans="51:60" ht="15">
      <c r="AY114" s="30" t="s">
        <v>882</v>
      </c>
      <c r="BH114" s="28"/>
    </row>
    <row r="115" spans="51:60">
      <c r="AY115" s="10">
        <f>(AY97/AY103)*100</f>
        <v>2.3809523809523809</v>
      </c>
      <c r="BH115" s="28"/>
    </row>
    <row r="116" spans="51:60" ht="15">
      <c r="AY116" s="30" t="s">
        <v>883</v>
      </c>
      <c r="BG116" s="10" t="s">
        <v>907</v>
      </c>
      <c r="BH116" s="28"/>
    </row>
    <row r="117" spans="51:60">
      <c r="AY117" s="10">
        <f>(AY99/AY103)*100</f>
        <v>9.5238095238095237</v>
      </c>
      <c r="BG117" s="10">
        <f>COUNTIF($BG$2:$BG$84, "glyphosate &amp; glufosinate")</f>
        <v>2</v>
      </c>
      <c r="BH117" s="49">
        <f>BG117/BG95</f>
        <v>3.0303030303030304E-2</v>
      </c>
    </row>
    <row r="118" spans="51:60" ht="15">
      <c r="AY118" s="30" t="s">
        <v>884</v>
      </c>
      <c r="BH118" s="49"/>
    </row>
    <row r="119" spans="51:60" ht="15">
      <c r="AY119" s="10">
        <f>(AY101/AY103)*100</f>
        <v>4.7619047619047619</v>
      </c>
      <c r="BG119" s="10" t="s">
        <v>908</v>
      </c>
      <c r="BH119" s="49"/>
    </row>
    <row r="120" spans="51:60" ht="15">
      <c r="AY120" s="30" t="s">
        <v>885</v>
      </c>
      <c r="BG120" s="10">
        <f>COUNTIF($BG$2:$BG$84, "glyphosate &amp; other")</f>
        <v>2</v>
      </c>
      <c r="BH120" s="49">
        <f>BG120/BG95</f>
        <v>3.0303030303030304E-2</v>
      </c>
    </row>
    <row r="121" spans="51:60">
      <c r="AY121" s="10">
        <v>2.38</v>
      </c>
      <c r="BH121" s="49"/>
    </row>
    <row r="122" spans="51:60" ht="15">
      <c r="AY122" s="30" t="s">
        <v>886</v>
      </c>
      <c r="BH122" s="49"/>
    </row>
    <row r="123" spans="51:60" ht="30">
      <c r="AY123" s="10">
        <v>2.38</v>
      </c>
      <c r="BG123" s="10" t="s">
        <v>822</v>
      </c>
      <c r="BH123" s="49"/>
    </row>
    <row r="124" spans="51:60" ht="15">
      <c r="AY124" s="30" t="s">
        <v>898</v>
      </c>
      <c r="BG124" s="10">
        <f>COUNTIF($BG$2:$BG$84, "glyphosate glufosinate paraquat &amp; 2,4-d")</f>
        <v>2</v>
      </c>
      <c r="BH124" s="49">
        <f>BG124/BG95</f>
        <v>3.0303030303030304E-2</v>
      </c>
    </row>
    <row r="125" spans="51:60">
      <c r="AY125" s="10">
        <v>2.38</v>
      </c>
    </row>
  </sheetData>
  <autoFilter ref="BA1:BA125" xr:uid="{00000000-0009-0000-0000-000000000000}"/>
  <sortState ref="A2:E83">
    <sortCondition ref="A2:A83"/>
  </sortState>
  <dataValidations disablePrompts="1" count="1">
    <dataValidation type="list" allowBlank="1" showInputMessage="1" showErrorMessage="1" sqref="P2" xr:uid="{00000000-0002-0000-0000-000000000000}">
      <formula1>#REF!</formula1>
    </dataValidation>
  </dataValidations>
  <hyperlinks>
    <hyperlink ref="C13" r:id="rId1" xr:uid="{00000000-0004-0000-0000-000000000000}"/>
    <hyperlink ref="C16" r:id="rId2" xr:uid="{00000000-0004-0000-0000-000001000000}"/>
  </hyperlinks>
  <pageMargins left="0.7" right="0.7" top="0.75" bottom="0.75" header="0.3" footer="0.3"/>
  <pageSetup paperSize="5" orientation="landscape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Werle</dc:creator>
  <cp:lastModifiedBy>Review</cp:lastModifiedBy>
  <cp:lastPrinted>2017-03-31T13:02:30Z</cp:lastPrinted>
  <dcterms:created xsi:type="dcterms:W3CDTF">2016-08-29T15:48:23Z</dcterms:created>
  <dcterms:modified xsi:type="dcterms:W3CDTF">2019-04-23T22:32:17Z</dcterms:modified>
</cp:coreProperties>
</file>