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ropbox/Questionário /"/>
    </mc:Choice>
  </mc:AlternateContent>
  <xr:revisionPtr revIDLastSave="0" documentId="13_ncr:1_{ED167AA0-D8BB-DC46-BC4C-2F758EE993D1}" xr6:coauthVersionLast="36" xr6:coauthVersionMax="36" xr10:uidLastSave="{00000000-0000-0000-0000-000000000000}"/>
  <bookViews>
    <workbookView xWindow="-35860" yWindow="1400" windowWidth="32100" windowHeight="19960" xr2:uid="{002DC8D2-F1D8-244B-88A5-9151E23F60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5" i="1" l="1"/>
  <c r="B929" i="1"/>
  <c r="B1233" i="1"/>
  <c r="B1221" i="1"/>
  <c r="B1205" i="1"/>
  <c r="B987" i="1"/>
  <c r="B918" i="1"/>
  <c r="B906" i="1" l="1"/>
  <c r="B890" i="1"/>
  <c r="B583" i="1"/>
  <c r="B567" i="1"/>
  <c r="B562" i="1"/>
  <c r="B561" i="1"/>
  <c r="B518" i="1"/>
  <c r="B140" i="1"/>
  <c r="B311" i="1"/>
  <c r="B305" i="1"/>
  <c r="B287" i="1"/>
  <c r="B291" i="1"/>
  <c r="B1202" i="1" l="1"/>
  <c r="B1201" i="1"/>
  <c r="C1201" i="1" s="1"/>
  <c r="B1200" i="1"/>
  <c r="C1200" i="1" s="1"/>
  <c r="B1203" i="1"/>
  <c r="C1202" i="1" s="1"/>
  <c r="B1199" i="1"/>
  <c r="B1249" i="1"/>
  <c r="B1248" i="1"/>
  <c r="B1247" i="1"/>
  <c r="B1246" i="1"/>
  <c r="B1245" i="1"/>
  <c r="B1244" i="1"/>
  <c r="B1242" i="1"/>
  <c r="B1241" i="1"/>
  <c r="B1240" i="1"/>
  <c r="B1239" i="1"/>
  <c r="B1238" i="1"/>
  <c r="B1237" i="1"/>
  <c r="B1236" i="1"/>
  <c r="B1235" i="1"/>
  <c r="B1234" i="1"/>
  <c r="B1231" i="1"/>
  <c r="B1230" i="1"/>
  <c r="B1229" i="1"/>
  <c r="B1228" i="1"/>
  <c r="B1227" i="1"/>
  <c r="B1226" i="1"/>
  <c r="B1225" i="1"/>
  <c r="B1224" i="1"/>
  <c r="B1223" i="1"/>
  <c r="B1222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115" i="1"/>
  <c r="B1114" i="1"/>
  <c r="C1114" i="1" s="1"/>
  <c r="B1113" i="1"/>
  <c r="C1113" i="1" s="1"/>
  <c r="B1112" i="1"/>
  <c r="B1111" i="1"/>
  <c r="C1111" i="1" s="1"/>
  <c r="B1161" i="1"/>
  <c r="B1160" i="1"/>
  <c r="B1159" i="1"/>
  <c r="B1158" i="1"/>
  <c r="B1157" i="1"/>
  <c r="B1156" i="1"/>
  <c r="B1154" i="1"/>
  <c r="B1153" i="1"/>
  <c r="B1152" i="1"/>
  <c r="B1151" i="1"/>
  <c r="B1150" i="1"/>
  <c r="B1149" i="1"/>
  <c r="B1148" i="1"/>
  <c r="B1147" i="1"/>
  <c r="B1146" i="1"/>
  <c r="B1145" i="1"/>
  <c r="B1143" i="1"/>
  <c r="B1142" i="1"/>
  <c r="B1141" i="1"/>
  <c r="B1140" i="1"/>
  <c r="B1139" i="1"/>
  <c r="B1138" i="1"/>
  <c r="B1137" i="1"/>
  <c r="B1136" i="1"/>
  <c r="B1135" i="1"/>
  <c r="B1134" i="1"/>
  <c r="B1133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040" i="1"/>
  <c r="B1039" i="1"/>
  <c r="B1038" i="1"/>
  <c r="B1037" i="1"/>
  <c r="B1036" i="1"/>
  <c r="C1036" i="1" s="1"/>
  <c r="B1086" i="1"/>
  <c r="B1085" i="1"/>
  <c r="B1084" i="1"/>
  <c r="B1083" i="1"/>
  <c r="B1082" i="1"/>
  <c r="B1081" i="1"/>
  <c r="B1079" i="1"/>
  <c r="B1078" i="1"/>
  <c r="B1077" i="1"/>
  <c r="B1076" i="1"/>
  <c r="B1075" i="1"/>
  <c r="B1074" i="1"/>
  <c r="B1073" i="1"/>
  <c r="B1072" i="1"/>
  <c r="B1071" i="1"/>
  <c r="B1070" i="1"/>
  <c r="B1068" i="1"/>
  <c r="B1067" i="1"/>
  <c r="B1066" i="1"/>
  <c r="B1065" i="1"/>
  <c r="B1064" i="1"/>
  <c r="B1063" i="1"/>
  <c r="B1062" i="1"/>
  <c r="B1061" i="1"/>
  <c r="B1060" i="1"/>
  <c r="B1059" i="1"/>
  <c r="B1058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956" i="1"/>
  <c r="B955" i="1"/>
  <c r="B954" i="1"/>
  <c r="B957" i="1"/>
  <c r="B953" i="1"/>
  <c r="B1003" i="1"/>
  <c r="B1002" i="1"/>
  <c r="B1001" i="1"/>
  <c r="B1000" i="1"/>
  <c r="B999" i="1"/>
  <c r="B998" i="1"/>
  <c r="B996" i="1"/>
  <c r="B995" i="1"/>
  <c r="B994" i="1"/>
  <c r="B993" i="1"/>
  <c r="B992" i="1"/>
  <c r="B991" i="1"/>
  <c r="B990" i="1"/>
  <c r="B989" i="1"/>
  <c r="B988" i="1"/>
  <c r="B985" i="1"/>
  <c r="B984" i="1"/>
  <c r="B983" i="1"/>
  <c r="B982" i="1"/>
  <c r="B981" i="1"/>
  <c r="B980" i="1"/>
  <c r="B979" i="1"/>
  <c r="B978" i="1"/>
  <c r="B977" i="1"/>
  <c r="B976" i="1"/>
  <c r="B975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888" i="1"/>
  <c r="B887" i="1"/>
  <c r="B886" i="1"/>
  <c r="B885" i="1"/>
  <c r="B884" i="1"/>
  <c r="C884" i="1" s="1"/>
  <c r="B934" i="1"/>
  <c r="B933" i="1"/>
  <c r="B932" i="1"/>
  <c r="B931" i="1"/>
  <c r="B930" i="1"/>
  <c r="B927" i="1"/>
  <c r="B926" i="1"/>
  <c r="B925" i="1"/>
  <c r="B924" i="1"/>
  <c r="B923" i="1"/>
  <c r="B922" i="1"/>
  <c r="B921" i="1"/>
  <c r="B920" i="1"/>
  <c r="B919" i="1"/>
  <c r="B916" i="1"/>
  <c r="B915" i="1"/>
  <c r="B914" i="1"/>
  <c r="B913" i="1"/>
  <c r="B912" i="1"/>
  <c r="B911" i="1"/>
  <c r="B910" i="1"/>
  <c r="B909" i="1"/>
  <c r="B908" i="1"/>
  <c r="B907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777" i="1"/>
  <c r="B778" i="1"/>
  <c r="B776" i="1"/>
  <c r="B775" i="1"/>
  <c r="B774" i="1"/>
  <c r="B824" i="1"/>
  <c r="B823" i="1"/>
  <c r="B822" i="1"/>
  <c r="B821" i="1"/>
  <c r="B820" i="1"/>
  <c r="B819" i="1"/>
  <c r="B817" i="1"/>
  <c r="B816" i="1"/>
  <c r="B815" i="1"/>
  <c r="B814" i="1"/>
  <c r="B813" i="1"/>
  <c r="B812" i="1"/>
  <c r="B811" i="1"/>
  <c r="B810" i="1"/>
  <c r="B809" i="1"/>
  <c r="B808" i="1"/>
  <c r="B806" i="1"/>
  <c r="B805" i="1"/>
  <c r="B804" i="1"/>
  <c r="B803" i="1"/>
  <c r="B802" i="1"/>
  <c r="B801" i="1"/>
  <c r="B800" i="1"/>
  <c r="B799" i="1"/>
  <c r="B798" i="1"/>
  <c r="B797" i="1"/>
  <c r="B796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638" i="1"/>
  <c r="B710" i="1"/>
  <c r="B709" i="1"/>
  <c r="B708" i="1"/>
  <c r="B707" i="1"/>
  <c r="B706" i="1"/>
  <c r="C706" i="1" s="1"/>
  <c r="B756" i="1"/>
  <c r="B755" i="1"/>
  <c r="B754" i="1"/>
  <c r="B753" i="1"/>
  <c r="B752" i="1"/>
  <c r="B751" i="1"/>
  <c r="B749" i="1"/>
  <c r="B748" i="1"/>
  <c r="B747" i="1"/>
  <c r="B746" i="1"/>
  <c r="B745" i="1"/>
  <c r="B744" i="1"/>
  <c r="B743" i="1"/>
  <c r="B742" i="1"/>
  <c r="B741" i="1"/>
  <c r="B740" i="1"/>
  <c r="B738" i="1"/>
  <c r="B737" i="1"/>
  <c r="B736" i="1"/>
  <c r="B735" i="1"/>
  <c r="B734" i="1"/>
  <c r="B733" i="1"/>
  <c r="B732" i="1"/>
  <c r="B731" i="1"/>
  <c r="B730" i="1"/>
  <c r="B729" i="1"/>
  <c r="B728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637" i="1"/>
  <c r="B636" i="1"/>
  <c r="B635" i="1"/>
  <c r="B634" i="1"/>
  <c r="B684" i="1"/>
  <c r="B683" i="1"/>
  <c r="B682" i="1"/>
  <c r="B681" i="1"/>
  <c r="B680" i="1"/>
  <c r="B679" i="1"/>
  <c r="B677" i="1"/>
  <c r="B676" i="1"/>
  <c r="B675" i="1"/>
  <c r="B674" i="1"/>
  <c r="B673" i="1"/>
  <c r="B672" i="1"/>
  <c r="B671" i="1"/>
  <c r="B670" i="1"/>
  <c r="B669" i="1"/>
  <c r="B668" i="1"/>
  <c r="B666" i="1"/>
  <c r="B665" i="1"/>
  <c r="B664" i="1"/>
  <c r="B663" i="1"/>
  <c r="B662" i="1"/>
  <c r="B661" i="1"/>
  <c r="B660" i="1"/>
  <c r="B659" i="1"/>
  <c r="B658" i="1"/>
  <c r="B657" i="1"/>
  <c r="B656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565" i="1"/>
  <c r="B564" i="1"/>
  <c r="B563" i="1"/>
  <c r="B483" i="1"/>
  <c r="B484" i="1"/>
  <c r="B53" i="1"/>
  <c r="C1199" i="1" l="1"/>
  <c r="C1039" i="1"/>
  <c r="C1112" i="1"/>
  <c r="C1037" i="1"/>
  <c r="C1038" i="1"/>
  <c r="C953" i="1"/>
  <c r="C954" i="1"/>
  <c r="C955" i="1"/>
  <c r="C956" i="1"/>
  <c r="C886" i="1"/>
  <c r="C887" i="1"/>
  <c r="C885" i="1"/>
  <c r="C774" i="1"/>
  <c r="C775" i="1"/>
  <c r="C776" i="1"/>
  <c r="C709" i="1"/>
  <c r="C708" i="1"/>
  <c r="C777" i="1"/>
  <c r="C564" i="1"/>
  <c r="C707" i="1"/>
  <c r="C634" i="1"/>
  <c r="C637" i="1"/>
  <c r="C561" i="1"/>
  <c r="C635" i="1"/>
  <c r="C636" i="1"/>
  <c r="C563" i="1"/>
  <c r="C562" i="1" l="1"/>
  <c r="B611" i="1"/>
  <c r="B610" i="1"/>
  <c r="B609" i="1"/>
  <c r="B608" i="1"/>
  <c r="B607" i="1"/>
  <c r="B606" i="1"/>
  <c r="B604" i="1"/>
  <c r="B603" i="1"/>
  <c r="B602" i="1"/>
  <c r="B601" i="1"/>
  <c r="B600" i="1"/>
  <c r="B599" i="1"/>
  <c r="B598" i="1"/>
  <c r="B597" i="1"/>
  <c r="B596" i="1"/>
  <c r="B593" i="1"/>
  <c r="B592" i="1"/>
  <c r="B591" i="1"/>
  <c r="B590" i="1"/>
  <c r="B589" i="1"/>
  <c r="B588" i="1"/>
  <c r="B587" i="1"/>
  <c r="B586" i="1"/>
  <c r="B585" i="1"/>
  <c r="B584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27" i="1"/>
  <c r="B526" i="1"/>
  <c r="B525" i="1"/>
  <c r="B524" i="1"/>
  <c r="B523" i="1"/>
  <c r="B522" i="1"/>
  <c r="B520" i="1"/>
  <c r="C518" i="1" s="1"/>
  <c r="B519" i="1"/>
  <c r="B517" i="1"/>
  <c r="B516" i="1"/>
  <c r="B515" i="1"/>
  <c r="C515" i="1" s="1"/>
  <c r="B514" i="1"/>
  <c r="B513" i="1"/>
  <c r="B512" i="1"/>
  <c r="B511" i="1"/>
  <c r="C511" i="1" s="1"/>
  <c r="B510" i="1"/>
  <c r="B508" i="1"/>
  <c r="B506" i="1"/>
  <c r="B504" i="1"/>
  <c r="B503" i="1"/>
  <c r="B507" i="1"/>
  <c r="B505" i="1"/>
  <c r="B502" i="1"/>
  <c r="B501" i="1"/>
  <c r="B500" i="1"/>
  <c r="B499" i="1"/>
  <c r="B498" i="1"/>
  <c r="B494" i="1"/>
  <c r="B495" i="1"/>
  <c r="B493" i="1"/>
  <c r="B491" i="1"/>
  <c r="B489" i="1"/>
  <c r="B490" i="1"/>
  <c r="B492" i="1"/>
  <c r="B488" i="1"/>
  <c r="B487" i="1"/>
  <c r="B486" i="1"/>
  <c r="B485" i="1"/>
  <c r="B481" i="1"/>
  <c r="B480" i="1"/>
  <c r="B479" i="1"/>
  <c r="B478" i="1"/>
  <c r="B477" i="1"/>
  <c r="C477" i="1" s="1"/>
  <c r="B122" i="1"/>
  <c r="B281" i="1"/>
  <c r="B315" i="1"/>
  <c r="C311" i="1" s="1"/>
  <c r="B314" i="1"/>
  <c r="B313" i="1"/>
  <c r="B312" i="1"/>
  <c r="B310" i="1"/>
  <c r="B309" i="1"/>
  <c r="B308" i="1"/>
  <c r="B307" i="1"/>
  <c r="C307" i="1" s="1"/>
  <c r="B306" i="1"/>
  <c r="B303" i="1"/>
  <c r="B302" i="1"/>
  <c r="B300" i="1"/>
  <c r="B301" i="1"/>
  <c r="B299" i="1"/>
  <c r="B298" i="1"/>
  <c r="B297" i="1"/>
  <c r="B130" i="1"/>
  <c r="B295" i="1"/>
  <c r="C291" i="1" s="1"/>
  <c r="B294" i="1"/>
  <c r="B293" i="1"/>
  <c r="B292" i="1"/>
  <c r="B290" i="1"/>
  <c r="B289" i="1"/>
  <c r="B288" i="1"/>
  <c r="B286" i="1"/>
  <c r="B285" i="1"/>
  <c r="B284" i="1"/>
  <c r="B279" i="1"/>
  <c r="B282" i="1"/>
  <c r="B280" i="1"/>
  <c r="B278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1" i="1"/>
  <c r="B144" i="1"/>
  <c r="B143" i="1"/>
  <c r="B142" i="1"/>
  <c r="B138" i="1"/>
  <c r="B137" i="1"/>
  <c r="B136" i="1"/>
  <c r="B135" i="1"/>
  <c r="B134" i="1"/>
  <c r="B133" i="1"/>
  <c r="B132" i="1"/>
  <c r="B131" i="1"/>
  <c r="B127" i="1"/>
  <c r="B128" i="1"/>
  <c r="B126" i="1"/>
  <c r="B125" i="1"/>
  <c r="B40" i="1"/>
  <c r="B39" i="1"/>
  <c r="B38" i="1"/>
  <c r="B37" i="1"/>
  <c r="B36" i="1"/>
  <c r="B35" i="1"/>
  <c r="B34" i="1"/>
  <c r="B33" i="1"/>
  <c r="B27" i="1"/>
  <c r="C1228" i="1" l="1"/>
  <c r="C1222" i="1"/>
  <c r="C1224" i="1"/>
  <c r="C1226" i="1"/>
  <c r="C1223" i="1"/>
  <c r="C1221" i="1"/>
  <c r="C1230" i="1"/>
  <c r="C1229" i="1"/>
  <c r="C1227" i="1"/>
  <c r="C1225" i="1"/>
  <c r="C1247" i="1"/>
  <c r="C1248" i="1"/>
  <c r="C1246" i="1"/>
  <c r="C1244" i="1"/>
  <c r="C1245" i="1"/>
  <c r="C1237" i="1"/>
  <c r="C1234" i="1"/>
  <c r="C1235" i="1"/>
  <c r="C1241" i="1"/>
  <c r="C1238" i="1"/>
  <c r="C1239" i="1"/>
  <c r="C1236" i="1"/>
  <c r="C1240" i="1"/>
  <c r="C1233" i="1"/>
  <c r="B1219" i="1"/>
  <c r="C500" i="1"/>
  <c r="C507" i="1"/>
  <c r="B1131" i="1"/>
  <c r="C1142" i="1"/>
  <c r="C1134" i="1"/>
  <c r="C1136" i="1"/>
  <c r="C1140" i="1"/>
  <c r="C1133" i="1"/>
  <c r="C1141" i="1"/>
  <c r="C1138" i="1"/>
  <c r="C1135" i="1"/>
  <c r="C1139" i="1"/>
  <c r="C1137" i="1"/>
  <c r="C1159" i="1"/>
  <c r="C1157" i="1"/>
  <c r="C1160" i="1"/>
  <c r="C1158" i="1"/>
  <c r="C1156" i="1"/>
  <c r="C1148" i="1"/>
  <c r="C1149" i="1"/>
  <c r="C1146" i="1"/>
  <c r="C1147" i="1"/>
  <c r="C1152" i="1"/>
  <c r="C1153" i="1"/>
  <c r="C1150" i="1"/>
  <c r="C1151" i="1"/>
  <c r="C1145" i="1"/>
  <c r="B1056" i="1"/>
  <c r="C1065" i="1"/>
  <c r="C1067" i="1"/>
  <c r="C1064" i="1"/>
  <c r="C1061" i="1"/>
  <c r="C1060" i="1"/>
  <c r="C1062" i="1"/>
  <c r="C1059" i="1"/>
  <c r="C1058" i="1"/>
  <c r="C1063" i="1"/>
  <c r="C1066" i="1"/>
  <c r="C1084" i="1"/>
  <c r="C1082" i="1"/>
  <c r="C1081" i="1"/>
  <c r="C1083" i="1"/>
  <c r="C1085" i="1"/>
  <c r="C1070" i="1"/>
  <c r="C1074" i="1"/>
  <c r="C1071" i="1"/>
  <c r="C1077" i="1"/>
  <c r="C1075" i="1"/>
  <c r="C1072" i="1"/>
  <c r="C1076" i="1"/>
  <c r="C1073" i="1"/>
  <c r="C1078" i="1"/>
  <c r="C523" i="1"/>
  <c r="B973" i="1"/>
  <c r="C980" i="1"/>
  <c r="C984" i="1"/>
  <c r="C976" i="1"/>
  <c r="C978" i="1"/>
  <c r="C979" i="1"/>
  <c r="C983" i="1"/>
  <c r="C981" i="1"/>
  <c r="C982" i="1"/>
  <c r="C977" i="1"/>
  <c r="C975" i="1"/>
  <c r="C1002" i="1"/>
  <c r="C1000" i="1"/>
  <c r="C1001" i="1"/>
  <c r="C999" i="1"/>
  <c r="C998" i="1"/>
  <c r="C994" i="1"/>
  <c r="C995" i="1"/>
  <c r="C992" i="1"/>
  <c r="C989" i="1"/>
  <c r="C987" i="1"/>
  <c r="C993" i="1"/>
  <c r="C990" i="1"/>
  <c r="C991" i="1"/>
  <c r="C988" i="1"/>
  <c r="B904" i="1"/>
  <c r="B794" i="1"/>
  <c r="C805" i="1"/>
  <c r="C797" i="1"/>
  <c r="C911" i="1"/>
  <c r="C801" i="1"/>
  <c r="C915" i="1"/>
  <c r="C907" i="1"/>
  <c r="C803" i="1"/>
  <c r="C913" i="1"/>
  <c r="C800" i="1"/>
  <c r="C908" i="1"/>
  <c r="C912" i="1"/>
  <c r="C804" i="1"/>
  <c r="C906" i="1"/>
  <c r="C910" i="1"/>
  <c r="C802" i="1"/>
  <c r="C909" i="1"/>
  <c r="C798" i="1"/>
  <c r="C796" i="1"/>
  <c r="C799" i="1"/>
  <c r="C914" i="1"/>
  <c r="C820" i="1"/>
  <c r="C930" i="1"/>
  <c r="C933" i="1"/>
  <c r="C931" i="1"/>
  <c r="C932" i="1"/>
  <c r="C819" i="1"/>
  <c r="C929" i="1"/>
  <c r="C823" i="1"/>
  <c r="C821" i="1"/>
  <c r="C822" i="1"/>
  <c r="C814" i="1"/>
  <c r="C920" i="1"/>
  <c r="C810" i="1"/>
  <c r="C812" i="1"/>
  <c r="C918" i="1"/>
  <c r="C809" i="1"/>
  <c r="C925" i="1"/>
  <c r="C924" i="1"/>
  <c r="C921" i="1"/>
  <c r="C816" i="1"/>
  <c r="C922" i="1"/>
  <c r="C813" i="1"/>
  <c r="C919" i="1"/>
  <c r="C811" i="1"/>
  <c r="C926" i="1"/>
  <c r="C923" i="1"/>
  <c r="C815" i="1"/>
  <c r="C808" i="1"/>
  <c r="B726" i="1"/>
  <c r="C731" i="1"/>
  <c r="C733" i="1"/>
  <c r="C737" i="1"/>
  <c r="C732" i="1"/>
  <c r="C735" i="1"/>
  <c r="C729" i="1"/>
  <c r="C734" i="1"/>
  <c r="C730" i="1"/>
  <c r="C728" i="1"/>
  <c r="C736" i="1"/>
  <c r="C752" i="1"/>
  <c r="C754" i="1"/>
  <c r="C753" i="1"/>
  <c r="C755" i="1"/>
  <c r="C751" i="1"/>
  <c r="C748" i="1"/>
  <c r="C740" i="1"/>
  <c r="C744" i="1"/>
  <c r="C745" i="1"/>
  <c r="C741" i="1"/>
  <c r="C743" i="1"/>
  <c r="C747" i="1"/>
  <c r="C746" i="1"/>
  <c r="C742" i="1"/>
  <c r="B654" i="1"/>
  <c r="C592" i="1"/>
  <c r="C659" i="1"/>
  <c r="C663" i="1"/>
  <c r="C664" i="1"/>
  <c r="C660" i="1"/>
  <c r="C657" i="1"/>
  <c r="C658" i="1"/>
  <c r="C661" i="1"/>
  <c r="C662" i="1"/>
  <c r="C665" i="1"/>
  <c r="C656" i="1"/>
  <c r="C682" i="1"/>
  <c r="C680" i="1"/>
  <c r="C683" i="1"/>
  <c r="C681" i="1"/>
  <c r="C679" i="1"/>
  <c r="C668" i="1"/>
  <c r="C669" i="1"/>
  <c r="C670" i="1"/>
  <c r="C671" i="1"/>
  <c r="C672" i="1"/>
  <c r="C673" i="1"/>
  <c r="C674" i="1"/>
  <c r="C675" i="1"/>
  <c r="C676" i="1"/>
  <c r="C588" i="1"/>
  <c r="C610" i="1"/>
  <c r="C607" i="1"/>
  <c r="C584" i="1"/>
  <c r="C586" i="1"/>
  <c r="C595" i="1"/>
  <c r="C599" i="1"/>
  <c r="C603" i="1"/>
  <c r="C522" i="1"/>
  <c r="C526" i="1"/>
  <c r="C583" i="1"/>
  <c r="C587" i="1"/>
  <c r="C590" i="1"/>
  <c r="C524" i="1"/>
  <c r="C591" i="1"/>
  <c r="C525" i="1"/>
  <c r="C609" i="1"/>
  <c r="B496" i="1"/>
  <c r="C589" i="1"/>
  <c r="C596" i="1"/>
  <c r="C600" i="1"/>
  <c r="C608" i="1"/>
  <c r="C597" i="1"/>
  <c r="C601" i="1"/>
  <c r="C606" i="1"/>
  <c r="C585" i="1"/>
  <c r="C598" i="1"/>
  <c r="C602" i="1"/>
  <c r="B581" i="1"/>
  <c r="C478" i="1"/>
  <c r="C499" i="1"/>
  <c r="C505" i="1"/>
  <c r="C506" i="1"/>
  <c r="C519" i="1"/>
  <c r="C501" i="1"/>
  <c r="C503" i="1"/>
  <c r="C480" i="1"/>
  <c r="C498" i="1"/>
  <c r="C502" i="1"/>
  <c r="C504" i="1"/>
  <c r="C514" i="1"/>
  <c r="C512" i="1"/>
  <c r="C516" i="1"/>
  <c r="C510" i="1"/>
  <c r="C479" i="1"/>
  <c r="C513" i="1"/>
  <c r="C517" i="1"/>
  <c r="C281" i="1"/>
  <c r="C287" i="1"/>
  <c r="C134" i="1"/>
  <c r="C142" i="1"/>
  <c r="C141" i="1"/>
  <c r="C148" i="1"/>
  <c r="C152" i="1"/>
  <c r="C309" i="1"/>
  <c r="C313" i="1"/>
  <c r="C306" i="1"/>
  <c r="C310" i="1"/>
  <c r="C314" i="1"/>
  <c r="C302" i="1"/>
  <c r="C299" i="1"/>
  <c r="C305" i="1"/>
  <c r="C289" i="1"/>
  <c r="C297" i="1"/>
  <c r="C300" i="1"/>
  <c r="C298" i="1"/>
  <c r="C312" i="1"/>
  <c r="C308" i="1"/>
  <c r="C301" i="1"/>
  <c r="C278" i="1"/>
  <c r="C288" i="1"/>
  <c r="C284" i="1"/>
  <c r="C293" i="1"/>
  <c r="C280" i="1"/>
  <c r="C279" i="1"/>
  <c r="C285" i="1"/>
  <c r="C140" i="1"/>
  <c r="C147" i="1"/>
  <c r="C151" i="1"/>
  <c r="C155" i="1"/>
  <c r="C286" i="1"/>
  <c r="C290" i="1"/>
  <c r="C294" i="1"/>
  <c r="C292" i="1"/>
  <c r="C133" i="1"/>
  <c r="C137" i="1"/>
  <c r="C146" i="1"/>
  <c r="C150" i="1"/>
  <c r="C127" i="1"/>
  <c r="C125" i="1"/>
  <c r="C126" i="1"/>
  <c r="C143" i="1"/>
  <c r="C145" i="1"/>
  <c r="C149" i="1"/>
  <c r="C154" i="1"/>
  <c r="C132" i="1"/>
  <c r="C136" i="1"/>
  <c r="C130" i="1"/>
  <c r="C144" i="1"/>
  <c r="C153" i="1"/>
  <c r="C135" i="1"/>
  <c r="C131" i="1"/>
  <c r="C1215" i="1" l="1"/>
  <c r="C1206" i="1"/>
  <c r="C1212" i="1"/>
  <c r="C1205" i="1"/>
  <c r="C1218" i="1"/>
  <c r="C1210" i="1"/>
  <c r="C1216" i="1"/>
  <c r="C1209" i="1"/>
  <c r="C1211" i="1"/>
  <c r="C1214" i="1"/>
  <c r="C1213" i="1"/>
  <c r="C1208" i="1"/>
  <c r="C1207" i="1"/>
  <c r="C1217" i="1"/>
  <c r="C1119" i="1"/>
  <c r="C1128" i="1"/>
  <c r="C1121" i="1"/>
  <c r="C1122" i="1"/>
  <c r="C1123" i="1"/>
  <c r="C1125" i="1"/>
  <c r="C1126" i="1"/>
  <c r="C1127" i="1"/>
  <c r="C1120" i="1"/>
  <c r="C1129" i="1"/>
  <c r="C1130" i="1"/>
  <c r="C1124" i="1"/>
  <c r="C1117" i="1"/>
  <c r="C1118" i="1"/>
  <c r="C1049" i="1"/>
  <c r="C1048" i="1"/>
  <c r="C1042" i="1"/>
  <c r="C1052" i="1"/>
  <c r="C1055" i="1"/>
  <c r="C1044" i="1"/>
  <c r="C1053" i="1"/>
  <c r="C1046" i="1"/>
  <c r="C1043" i="1"/>
  <c r="C1050" i="1"/>
  <c r="C1047" i="1"/>
  <c r="C1045" i="1"/>
  <c r="C1054" i="1"/>
  <c r="C1051" i="1"/>
  <c r="C960" i="1"/>
  <c r="C969" i="1"/>
  <c r="C962" i="1"/>
  <c r="C971" i="1"/>
  <c r="C961" i="1"/>
  <c r="C970" i="1"/>
  <c r="C963" i="1"/>
  <c r="C964" i="1"/>
  <c r="C966" i="1"/>
  <c r="C959" i="1"/>
  <c r="C968" i="1"/>
  <c r="C972" i="1"/>
  <c r="C965" i="1"/>
  <c r="C967" i="1"/>
  <c r="C790" i="1"/>
  <c r="C791" i="1"/>
  <c r="C897" i="1"/>
  <c r="C793" i="1"/>
  <c r="C784" i="1"/>
  <c r="C890" i="1"/>
  <c r="C903" i="1"/>
  <c r="C782" i="1"/>
  <c r="C792" i="1"/>
  <c r="C898" i="1"/>
  <c r="C789" i="1"/>
  <c r="C786" i="1"/>
  <c r="C900" i="1"/>
  <c r="C787" i="1"/>
  <c r="C893" i="1"/>
  <c r="C902" i="1"/>
  <c r="C899" i="1"/>
  <c r="C891" i="1"/>
  <c r="C892" i="1"/>
  <c r="C895" i="1"/>
  <c r="C901" i="1"/>
  <c r="C788" i="1"/>
  <c r="C894" i="1"/>
  <c r="C896" i="1"/>
  <c r="C783" i="1"/>
  <c r="C785" i="1"/>
  <c r="C781" i="1"/>
  <c r="C780" i="1"/>
  <c r="C719" i="1"/>
  <c r="C717" i="1"/>
  <c r="C722" i="1"/>
  <c r="C714" i="1"/>
  <c r="C718" i="1"/>
  <c r="C713" i="1"/>
  <c r="C716" i="1"/>
  <c r="C720" i="1"/>
  <c r="C723" i="1"/>
  <c r="C715" i="1"/>
  <c r="C712" i="1"/>
  <c r="C721" i="1"/>
  <c r="C724" i="1"/>
  <c r="C725" i="1"/>
  <c r="C646" i="1"/>
  <c r="C643" i="1"/>
  <c r="C642" i="1"/>
  <c r="C648" i="1"/>
  <c r="C641" i="1"/>
  <c r="C647" i="1"/>
  <c r="C650" i="1"/>
  <c r="C652" i="1"/>
  <c r="C645" i="1"/>
  <c r="C651" i="1"/>
  <c r="C640" i="1"/>
  <c r="C649" i="1"/>
  <c r="C644" i="1"/>
  <c r="C653" i="1"/>
  <c r="C578" i="1"/>
  <c r="C580" i="1"/>
  <c r="C579" i="1"/>
  <c r="C574" i="1"/>
  <c r="C573" i="1"/>
  <c r="C572" i="1"/>
  <c r="C571" i="1"/>
  <c r="C569" i="1"/>
  <c r="C568" i="1"/>
  <c r="C567" i="1"/>
  <c r="C577" i="1"/>
  <c r="C576" i="1"/>
  <c r="C575" i="1"/>
  <c r="C570" i="1"/>
  <c r="C488" i="1"/>
  <c r="C489" i="1"/>
  <c r="C494" i="1"/>
  <c r="C484" i="1"/>
  <c r="C493" i="1"/>
  <c r="C483" i="1"/>
  <c r="C491" i="1"/>
  <c r="C487" i="1"/>
  <c r="C486" i="1"/>
  <c r="C485" i="1"/>
  <c r="C495" i="1"/>
  <c r="C490" i="1"/>
  <c r="C492" i="1"/>
  <c r="B123" i="1" l="1"/>
  <c r="B121" i="1"/>
  <c r="B120" i="1"/>
  <c r="B119" i="1"/>
  <c r="C121" i="1" l="1"/>
  <c r="C119" i="1"/>
  <c r="C122" i="1"/>
  <c r="C120" i="1"/>
  <c r="B71" i="1"/>
  <c r="B70" i="1"/>
  <c r="B69" i="1"/>
  <c r="B68" i="1"/>
  <c r="B67" i="1"/>
  <c r="B63" i="1"/>
  <c r="C53" i="1" s="1"/>
  <c r="B66" i="1"/>
  <c r="B65" i="1"/>
  <c r="B62" i="1"/>
  <c r="B61" i="1"/>
  <c r="B60" i="1"/>
  <c r="B59" i="1"/>
  <c r="B58" i="1"/>
  <c r="B57" i="1"/>
  <c r="B56" i="1"/>
  <c r="B55" i="1"/>
  <c r="B54" i="1"/>
  <c r="B50" i="1"/>
  <c r="B49" i="1"/>
  <c r="B48" i="1"/>
  <c r="B47" i="1"/>
  <c r="B46" i="1"/>
  <c r="B45" i="1"/>
  <c r="B44" i="1"/>
  <c r="B43" i="1"/>
  <c r="B51" i="1"/>
  <c r="B42" i="1"/>
  <c r="B31" i="1"/>
  <c r="C27" i="1" s="1"/>
  <c r="B30" i="1"/>
  <c r="B29" i="1"/>
  <c r="B28" i="1"/>
  <c r="C67" i="1" l="1"/>
  <c r="C55" i="1"/>
  <c r="C65" i="1"/>
  <c r="C69" i="1"/>
  <c r="C33" i="1"/>
  <c r="C70" i="1"/>
  <c r="C30" i="1"/>
  <c r="C57" i="1"/>
  <c r="C61" i="1"/>
  <c r="C37" i="1"/>
  <c r="C54" i="1"/>
  <c r="C58" i="1"/>
  <c r="C62" i="1"/>
  <c r="C68" i="1"/>
  <c r="C38" i="1"/>
  <c r="C59" i="1"/>
  <c r="C34" i="1"/>
  <c r="C39" i="1"/>
  <c r="C56" i="1"/>
  <c r="C60" i="1"/>
  <c r="C66" i="1"/>
  <c r="C46" i="1"/>
  <c r="C29" i="1"/>
  <c r="C35" i="1"/>
  <c r="C45" i="1"/>
  <c r="C49" i="1"/>
  <c r="C50" i="1"/>
  <c r="C43" i="1"/>
  <c r="C47" i="1"/>
  <c r="C28" i="1"/>
  <c r="C42" i="1"/>
  <c r="C48" i="1"/>
  <c r="C44" i="1"/>
  <c r="C36" i="1"/>
</calcChain>
</file>

<file path=xl/sharedStrings.xml><?xml version="1.0" encoding="utf-8"?>
<sst xmlns="http://schemas.openxmlformats.org/spreadsheetml/2006/main" count="1960" uniqueCount="657">
  <si>
    <t>Progalgodao</t>
  </si>
  <si>
    <t>DessAlgodao</t>
  </si>
  <si>
    <t>PreAlgodao</t>
  </si>
  <si>
    <t>PosAlgodao</t>
  </si>
  <si>
    <t>HerbColAlgodao</t>
  </si>
  <si>
    <t>Dessecante pre-plantio,Pre-emergente,Pos-emergente,Dessecante pre-colheita</t>
  </si>
  <si>
    <t>Glifosato, paraquat</t>
  </si>
  <si>
    <t>Dessecante pre-plantio</t>
  </si>
  <si>
    <t xml:space="preserve">Flumioxazin </t>
  </si>
  <si>
    <t>Dessecante pre-plantio,Pos-emergente,Dessecante pre-colheita</t>
  </si>
  <si>
    <t xml:space="preserve">Glifosato </t>
  </si>
  <si>
    <t>Paraquat</t>
  </si>
  <si>
    <t>Dessecante pre-plantio,Pos-emergente</t>
  </si>
  <si>
    <t>Glufosinato</t>
  </si>
  <si>
    <t>Dessecante pre-plantio,Pre-emergente,Pos-emergente</t>
  </si>
  <si>
    <t>Pos-emergente</t>
  </si>
  <si>
    <t>Pre-emergente,Pos-emergente,Dessecante pre-colheita</t>
  </si>
  <si>
    <t>Pre-emergente</t>
  </si>
  <si>
    <t>Glifosato</t>
  </si>
  <si>
    <t>atrazine</t>
  </si>
  <si>
    <t>Trifluralina</t>
  </si>
  <si>
    <t>Dessecante pre-plantio,Pre-emergente</t>
  </si>
  <si>
    <t>Regiao</t>
  </si>
  <si>
    <t>Centro</t>
  </si>
  <si>
    <t>Sudeste</t>
  </si>
  <si>
    <t>Sul</t>
  </si>
  <si>
    <t>Nordeste, Sudeste, Centro, Sul, Norte</t>
  </si>
  <si>
    <t>Nordeste, Centro, Sudeste, Norte</t>
  </si>
  <si>
    <t>Nordeste, Centro</t>
  </si>
  <si>
    <t>Nordeste</t>
  </si>
  <si>
    <t>Centro,  Sudeste</t>
  </si>
  <si>
    <t xml:space="preserve">Centro, Sudeste </t>
  </si>
  <si>
    <t>Sudeste, Norte</t>
  </si>
  <si>
    <t>Norte</t>
  </si>
  <si>
    <t>Nordeste, Sudeste, Norte</t>
  </si>
  <si>
    <t>Dessecante pre plantio</t>
  </si>
  <si>
    <t>Dessecante pre-colheita</t>
  </si>
  <si>
    <t>Algodao</t>
  </si>
  <si>
    <t>Total</t>
  </si>
  <si>
    <t>Glifosato, Flumioxazin, 2,4-D</t>
  </si>
  <si>
    <t>Glifosato; 2,4-D; Flumioxazin, carfentrazone</t>
  </si>
  <si>
    <t>Flumioxazin, carfentrazone</t>
  </si>
  <si>
    <t>Glifosato, 2,4-D, flumiclorac</t>
  </si>
  <si>
    <t>Glifosato, clomazone</t>
  </si>
  <si>
    <t>Glyphosate</t>
  </si>
  <si>
    <t>Flumioxazin</t>
  </si>
  <si>
    <t>2,4-D</t>
  </si>
  <si>
    <t>clomazone</t>
  </si>
  <si>
    <t>carfentrazone</t>
  </si>
  <si>
    <t>paraquat</t>
  </si>
  <si>
    <t>flumiclorac</t>
  </si>
  <si>
    <t xml:space="preserve">Paraquat </t>
  </si>
  <si>
    <t>s-metolachlor, trifluralina</t>
  </si>
  <si>
    <t>s-metolachlor, Trifluralina</t>
  </si>
  <si>
    <t>clomazone; trifluralina</t>
  </si>
  <si>
    <t>Diuron, s-metolachlor, Flumioxazin , trifluralina</t>
  </si>
  <si>
    <t>s-metolachlor</t>
  </si>
  <si>
    <t>trifluralina</t>
  </si>
  <si>
    <t>diuron</t>
  </si>
  <si>
    <t>prometrina</t>
  </si>
  <si>
    <t>alachlor</t>
  </si>
  <si>
    <t>trifloxulfuron</t>
  </si>
  <si>
    <t>Trifuralina, pedimenthalin,diuron,prometrina, alachlor</t>
  </si>
  <si>
    <t>pedimentalin</t>
  </si>
  <si>
    <t>Glifosato, Glufosinato</t>
  </si>
  <si>
    <t>glufosinato, glifosato</t>
  </si>
  <si>
    <t>Glifosato, glufosinato</t>
  </si>
  <si>
    <t>glufosinato, s-metolachlor, trifloxulfuron, piritiobaque, atrazine, clethodim</t>
  </si>
  <si>
    <t>Clethodim, Haloxifop</t>
  </si>
  <si>
    <t>Haloxifop, glufosinato, Glifosato</t>
  </si>
  <si>
    <t>diuron, tiadizurom</t>
  </si>
  <si>
    <t>diuron, tiadizurom, etefon, ciclanilida</t>
  </si>
  <si>
    <t>chlormequat</t>
  </si>
  <si>
    <t>clomazone, trifloxulfuton, piritiobaque</t>
  </si>
  <si>
    <t>glifosato</t>
  </si>
  <si>
    <t>glufosinato</t>
  </si>
  <si>
    <t>clethodim</t>
  </si>
  <si>
    <t>Clethodin, fluazifop, sethoxodin, propaquizafop</t>
  </si>
  <si>
    <t>sethoxodim</t>
  </si>
  <si>
    <t>Holoxifop</t>
  </si>
  <si>
    <t>bispiribac</t>
  </si>
  <si>
    <t>fluazifop</t>
  </si>
  <si>
    <t>propaquizafop</t>
  </si>
  <si>
    <t>Glifosato, glufosinato, bispiribac</t>
  </si>
  <si>
    <t>Pre-colheita</t>
  </si>
  <si>
    <t>Diuron</t>
  </si>
  <si>
    <t>tiadizurom</t>
  </si>
  <si>
    <t>etefon</t>
  </si>
  <si>
    <t>ciclanilida</t>
  </si>
  <si>
    <t>ProgArroz</t>
  </si>
  <si>
    <t>DessArroz</t>
  </si>
  <si>
    <t>PreArroz</t>
  </si>
  <si>
    <t>PosArroz</t>
  </si>
  <si>
    <t>HerbColArroz</t>
  </si>
  <si>
    <t>imidazolinonas, penoxsulam, bentazon, saflufenacil, carfentrazone</t>
  </si>
  <si>
    <t>Clomazone</t>
  </si>
  <si>
    <t>Pre-emergente,Pos-emergente</t>
  </si>
  <si>
    <t>Imidazolinonas, Quinclorac, Bispiribac, Diclofop</t>
  </si>
  <si>
    <t>Triflurina</t>
  </si>
  <si>
    <t>Imazethapyr</t>
  </si>
  <si>
    <t>Paraquat, glifosato</t>
  </si>
  <si>
    <t>Oxifluorfen</t>
  </si>
  <si>
    <t>Glifosato, 2,4-D</t>
  </si>
  <si>
    <t xml:space="preserve">Gliphosato, 2,4-D </t>
  </si>
  <si>
    <t>2,4-D, Glifosato</t>
  </si>
  <si>
    <t>2,4-D, Metsulfuron</t>
  </si>
  <si>
    <t>imazapic, imazapir</t>
  </si>
  <si>
    <t xml:space="preserve">imazapic, imazapir, Imazetapyr </t>
  </si>
  <si>
    <t>imazapic, imazapir, imazethapyr</t>
  </si>
  <si>
    <t xml:space="preserve">imazapic, imazapir, imazethapyr </t>
  </si>
  <si>
    <t>Bispiribac</t>
  </si>
  <si>
    <t>Cialofop, imazapic, imazapir</t>
  </si>
  <si>
    <t>imazapic, imazapir, Cialofop</t>
  </si>
  <si>
    <t>imazapic, imazapir, online, Cialofop</t>
  </si>
  <si>
    <t>metsulfuron</t>
  </si>
  <si>
    <t>penoxsulam</t>
  </si>
  <si>
    <r>
      <t xml:space="preserve">imazapic, imazapir, penoxsulam, </t>
    </r>
    <r>
      <rPr>
        <b/>
        <sz val="12"/>
        <color theme="1"/>
        <rFont val="Calibri"/>
        <family val="2"/>
        <scheme val="minor"/>
      </rPr>
      <t>Bispiribac</t>
    </r>
    <r>
      <rPr>
        <sz val="12"/>
        <color theme="1"/>
        <rFont val="Calibri"/>
        <family val="2"/>
        <scheme val="minor"/>
      </rPr>
      <t>, Cialofop, Basagran</t>
    </r>
  </si>
  <si>
    <t>imazapic, imazapir, imazethapyr, Bispiribac, basagran, clomazone</t>
  </si>
  <si>
    <t>penoxsulam, metsulfuron,saflufenacil, carfentrazone, pirazosulfuron, bentazon, propanil, Cialofop, imazapic, imazapir</t>
  </si>
  <si>
    <t>Arroz</t>
  </si>
  <si>
    <t>GLIFOSATO</t>
  </si>
  <si>
    <t>imazapir, imazapic, Clomazone</t>
  </si>
  <si>
    <t>Clomazone, Pendimetalin</t>
  </si>
  <si>
    <t>oxyfluorfen</t>
  </si>
  <si>
    <t>Clomazone, pendimethalin</t>
  </si>
  <si>
    <t>Oxadiazon, Oxifluorfen</t>
  </si>
  <si>
    <t>s-metolachlor; oxadiazon</t>
  </si>
  <si>
    <t>Oxadiazon</t>
  </si>
  <si>
    <t>imazapir</t>
  </si>
  <si>
    <t>imazapic</t>
  </si>
  <si>
    <t>imazethapyr</t>
  </si>
  <si>
    <t>Metsulfuron</t>
  </si>
  <si>
    <t>bentazon</t>
  </si>
  <si>
    <t>Imazethapyr, imazapic, imazapir</t>
  </si>
  <si>
    <t>Saflufenacil</t>
  </si>
  <si>
    <t>propanil</t>
  </si>
  <si>
    <t>diclofop</t>
  </si>
  <si>
    <t>bentazon, Cialofop</t>
  </si>
  <si>
    <t>Imazethapyr, imazapic, imazapir, bentazon, Cialofop, Bispiribac</t>
  </si>
  <si>
    <t>Cialofop</t>
  </si>
  <si>
    <t>pirazosulfuron</t>
  </si>
  <si>
    <t>ProgMilho</t>
  </si>
  <si>
    <t>DessMilho</t>
  </si>
  <si>
    <t>PreMilho</t>
  </si>
  <si>
    <t>PosMilho</t>
  </si>
  <si>
    <t>Glifosate, paraquat</t>
  </si>
  <si>
    <t xml:space="preserve">atrazine </t>
  </si>
  <si>
    <t>glifosate</t>
  </si>
  <si>
    <t>Nicosulfuron</t>
  </si>
  <si>
    <t>Glifosato 2,4-D</t>
  </si>
  <si>
    <t>glifosato, 2,4-D</t>
  </si>
  <si>
    <t>Dual Gold</t>
  </si>
  <si>
    <t>Mesotrione, atrazine, tembotrione</t>
  </si>
  <si>
    <t>glifosato, cletodin</t>
  </si>
  <si>
    <t>atrazine, simazina</t>
  </si>
  <si>
    <t>atrazine, Mesotrione</t>
  </si>
  <si>
    <t xml:space="preserve">Glifiosato, atrazine, </t>
  </si>
  <si>
    <t xml:space="preserve">Atrazine </t>
  </si>
  <si>
    <t>atrazine, Nicosulfuron</t>
  </si>
  <si>
    <t>Glifosato e flumizyn</t>
  </si>
  <si>
    <t xml:space="preserve">Glifosato, 2,4-D </t>
  </si>
  <si>
    <t>Metaloclor</t>
  </si>
  <si>
    <t>nicosulfuron</t>
  </si>
  <si>
    <t>Glifosato + Aurora</t>
  </si>
  <si>
    <t>Diquat, Paraquat, 2,4-d, Glifosato</t>
  </si>
  <si>
    <t>2,4-D, atrazine, glifosato</t>
  </si>
  <si>
    <t>Ateazina</t>
  </si>
  <si>
    <t>2,4-D; Glifosato; Metsulfuron metil</t>
  </si>
  <si>
    <t>Glifosate</t>
  </si>
  <si>
    <t>Atrazine</t>
  </si>
  <si>
    <t>atrazine, glifosato, mesotrione</t>
  </si>
  <si>
    <t>Glifosato e atrazine</t>
  </si>
  <si>
    <t>Glifosato, atrazine</t>
  </si>
  <si>
    <t>glifosato, 2,4-D, paraquat</t>
  </si>
  <si>
    <t>atrazine, Nicosulfuron, Glifosato</t>
  </si>
  <si>
    <t>S-metolachlor</t>
  </si>
  <si>
    <t>Atrazine, Tembotrione</t>
  </si>
  <si>
    <t>Milho</t>
  </si>
  <si>
    <t>Glifosato, clethodim</t>
  </si>
  <si>
    <t>Glifosato, haloxifop</t>
  </si>
  <si>
    <t>Glifosato, 2,4-d</t>
  </si>
  <si>
    <t>glifosato, clethodim</t>
  </si>
  <si>
    <t>2-4-D</t>
  </si>
  <si>
    <t>Glifosato, flumioxazin</t>
  </si>
  <si>
    <t>glfiosato, 2,4-D</t>
  </si>
  <si>
    <t>Glifosato,  2,4-D</t>
  </si>
  <si>
    <t>Glifosato, flumioxazin, carfentrazone, paraquat</t>
  </si>
  <si>
    <t>Glifosato, Metsulfuron</t>
  </si>
  <si>
    <t>Glifosato, 2-4-D</t>
  </si>
  <si>
    <t>Glifosato, sulfentrazone</t>
  </si>
  <si>
    <t>Glifosato; 2,4-D, Paraquat, Glufosinato, Saflufenacil</t>
  </si>
  <si>
    <t xml:space="preserve">2,4-D, Glifosato, Metsulfuron </t>
  </si>
  <si>
    <t>Glifosato, 2,4-D, clethodim, Paraquat, haloxifop</t>
  </si>
  <si>
    <t xml:space="preserve">Carfentrazone, paraquat </t>
  </si>
  <si>
    <t>Glifosato, 2,4-D, Paraquat</t>
  </si>
  <si>
    <t>Glifosato, atrazine, mesotrione, nicosulfuron</t>
  </si>
  <si>
    <t>Clethodim</t>
  </si>
  <si>
    <t>clethodim, glifosato, paraquat</t>
  </si>
  <si>
    <t>haloxifop</t>
  </si>
  <si>
    <t>saflufenacil</t>
  </si>
  <si>
    <t>atrazine, simazine</t>
  </si>
  <si>
    <t xml:space="preserve">Paraquat, clethodim, glifosato </t>
  </si>
  <si>
    <t>atrazine, nicosulfuron</t>
  </si>
  <si>
    <t>atrazine, s-metolachlor</t>
  </si>
  <si>
    <t>s-metaloclor</t>
  </si>
  <si>
    <t>tembotrione</t>
  </si>
  <si>
    <t>Glifosato, tembotrione, atrazine</t>
  </si>
  <si>
    <t>simazine</t>
  </si>
  <si>
    <t>atrazine, mesotrione</t>
  </si>
  <si>
    <t>Tembotrione, Mesotrione</t>
  </si>
  <si>
    <t>Glifosato, mesotrione, nicosulfuron, atrazine, tembotrione</t>
  </si>
  <si>
    <t>atrazine, Glifosato, Mesotrione</t>
  </si>
  <si>
    <t>Mesotrione, Tembotrione, atrazine, Simazine</t>
  </si>
  <si>
    <t>tembotrione, atrazine</t>
  </si>
  <si>
    <t>atrazine, tembotrione</t>
  </si>
  <si>
    <t>atrazine, Glifosato</t>
  </si>
  <si>
    <t xml:space="preserve">Glifosato, atrazine </t>
  </si>
  <si>
    <t>Glifosato, atrazine, atrazine, tembotrione</t>
  </si>
  <si>
    <t>Clethodim, haloxifop</t>
  </si>
  <si>
    <t xml:space="preserve">Tembotrione, atrazine </t>
  </si>
  <si>
    <t>nicosulfuron, iodosulfuron, foramsulfuron,  mesotrione, tembotrione</t>
  </si>
  <si>
    <t>atrazine, tembotrione, glifosato</t>
  </si>
  <si>
    <t xml:space="preserve">Glifosato, tembotrione, mesotrione, nicosulfuson, atrazine </t>
  </si>
  <si>
    <t xml:space="preserve">Glifosato, atrazine, Nicosulfuron, tembotrione </t>
  </si>
  <si>
    <t>atrazine, glifosato, nicosulfurom</t>
  </si>
  <si>
    <t>mesotrione, atrazine</t>
  </si>
  <si>
    <t>atrazine, Nicosulfuron, glifosato, calisto, soberan</t>
  </si>
  <si>
    <t>atrazine, Nicosulfuron, mesotrione, glufosinato</t>
  </si>
  <si>
    <t>atrazine, mesotrione, tembotrione</t>
  </si>
  <si>
    <t>atrazine, mesotrione, nicosulfuron</t>
  </si>
  <si>
    <t xml:space="preserve">Glifosato , Nicosulfuron , mesotrione, atrazine </t>
  </si>
  <si>
    <t>tembotrione, mesotrione, nicosulfuron, atrazine, atrazine, simazine</t>
  </si>
  <si>
    <t>atrazine, glifosato, tembotrione</t>
  </si>
  <si>
    <t xml:space="preserve">mesotrione, tembotrione </t>
  </si>
  <si>
    <t>atrazine, mesotrione, tembotrione, nicosulfuron</t>
  </si>
  <si>
    <t xml:space="preserve">Nicosulfuron, tembotrione, mesotrione, Glifosato </t>
  </si>
  <si>
    <t>niculsufuron</t>
  </si>
  <si>
    <t>atrazine, glifosato</t>
  </si>
  <si>
    <t>mesotrione</t>
  </si>
  <si>
    <t>iodosulfuron</t>
  </si>
  <si>
    <t>foransulfuron</t>
  </si>
  <si>
    <t>ProgSoja</t>
  </si>
  <si>
    <t>DessSoja</t>
  </si>
  <si>
    <t>PreSoja</t>
  </si>
  <si>
    <t>PosSoja</t>
  </si>
  <si>
    <t>HerbColSoja</t>
  </si>
  <si>
    <t>Dual</t>
  </si>
  <si>
    <t>Gramoxone</t>
  </si>
  <si>
    <t>Reglone</t>
  </si>
  <si>
    <t>Zapp</t>
  </si>
  <si>
    <t>Dessecante pre-plantio,Dessecante pre-colheita</t>
  </si>
  <si>
    <t>Glisofato</t>
  </si>
  <si>
    <t>Glifosato, cletodin, 2,4-d</t>
  </si>
  <si>
    <t>Diclosulan</t>
  </si>
  <si>
    <t>Glifosato, cloransulam</t>
  </si>
  <si>
    <t>Glufosinato de amonio</t>
  </si>
  <si>
    <t>clorimuron</t>
  </si>
  <si>
    <t>am√¥nio glufosinato</t>
  </si>
  <si>
    <t>Diquat</t>
  </si>
  <si>
    <t>diclosulam</t>
  </si>
  <si>
    <t>Pos-emergente,Dessecante pre-colheita</t>
  </si>
  <si>
    <t>Glifosato, Clethodim, Metsulfuron, saflufenacil</t>
  </si>
  <si>
    <t>Gliphosate</t>
  </si>
  <si>
    <t>Paraquat ou diquat</t>
  </si>
  <si>
    <t>v√°rios</t>
  </si>
  <si>
    <t>Clorimuron</t>
  </si>
  <si>
    <t>Glifosato, 2,4D</t>
  </si>
  <si>
    <t>Glufosinato, atrazine,  paraquat</t>
  </si>
  <si>
    <t>Paraquat, 2,4-D</t>
  </si>
  <si>
    <t>Roundup</t>
  </si>
  <si>
    <t>Paraquat, Diuron, 2,4-D, Glifosato</t>
  </si>
  <si>
    <t xml:space="preserve">Diclosulan; Flumioxazin; Chlorimuron </t>
  </si>
  <si>
    <t>Glifosato, chorimuron</t>
  </si>
  <si>
    <t>Diquat, Paraquat</t>
  </si>
  <si>
    <t>Flumiozaxin, Diclosulan</t>
  </si>
  <si>
    <t>Diclosulam</t>
  </si>
  <si>
    <t>Paraquat, 2,4-D, glifosato, clethodim</t>
  </si>
  <si>
    <t>Glifosato, 2,4-D, paraquat</t>
  </si>
  <si>
    <t>Diclosulan, Chlorimuron</t>
  </si>
  <si>
    <t>paraquat, glifosato</t>
  </si>
  <si>
    <t>s-methalaclor</t>
  </si>
  <si>
    <t>Soja</t>
  </si>
  <si>
    <t>Glifosato, chlorimuron</t>
  </si>
  <si>
    <t>glifosato, 2,4-D, Paraquat</t>
  </si>
  <si>
    <t>Glifosato, 2,4-D, cHlorimurom, cletHodim</t>
  </si>
  <si>
    <t>glifosato, 2,4D</t>
  </si>
  <si>
    <t>saflufenacil, flumioxazin, 2,4-D, glifosato</t>
  </si>
  <si>
    <t>Glifosato, Chlorimuron, flumioxazin</t>
  </si>
  <si>
    <t>2,4-D, Glifosato, Chlorimurom; Flumioxazin</t>
  </si>
  <si>
    <t>GLIFOSATO, 2,4-D</t>
  </si>
  <si>
    <t>Glifosato, saflufenacil, 2,4-d</t>
  </si>
  <si>
    <t>Glifosato, 2,4-D, Saflufenacil, Paraquat, Glufosinato</t>
  </si>
  <si>
    <t>glifosato, 2,4-D , saflufenacil</t>
  </si>
  <si>
    <t>Glifosato, haloxyfop, Clorimuron</t>
  </si>
  <si>
    <t>Glifosato, 2,4-D, saflufenacil</t>
  </si>
  <si>
    <t xml:space="preserve">Paraquat, diuron, 2,4-D, glifosato, clethodim, haloxifop </t>
  </si>
  <si>
    <t>glifosato, 2,4-D, paraquat, diuron, saflufenacil, glufosinato</t>
  </si>
  <si>
    <t xml:space="preserve">Glifosato, 2-4-d </t>
  </si>
  <si>
    <t>Glifosato, sulfentrazone, Flumioxazin, 2,4-D, saflufenacil, Clethodim</t>
  </si>
  <si>
    <t>Paraquat, Glisosato</t>
  </si>
  <si>
    <t xml:space="preserve">Glifosato, flumioxazin, sulfentrazone </t>
  </si>
  <si>
    <t>Glifosato, 2 4-d, paraquat</t>
  </si>
  <si>
    <t>Glifosato, diuron, paraquat</t>
  </si>
  <si>
    <t>Glifosato, chlorimuron, 2,4-d</t>
  </si>
  <si>
    <t xml:space="preserve">2,4-D, glifosato </t>
  </si>
  <si>
    <t>Glifosato, 2,4-D, clethodim</t>
  </si>
  <si>
    <t>2,4-d, saflufenacil, glifosato, paraquat</t>
  </si>
  <si>
    <t xml:space="preserve">2,4-D, metsulfuron, Glifosato </t>
  </si>
  <si>
    <t>Glifosato, 2,4-D, Metsulfurom, Saflufenacil, Clethodim</t>
  </si>
  <si>
    <t xml:space="preserve">glisofato, 2,4-D </t>
  </si>
  <si>
    <t>Glifosato, sulfentrazone, chlorimuron, 2,4-d</t>
  </si>
  <si>
    <t>Glifosato, 2,4-D, Chlorimuron</t>
  </si>
  <si>
    <t>2,4-D, paraquat</t>
  </si>
  <si>
    <t>Glifosato, flumioxazin,  2,4-d</t>
  </si>
  <si>
    <t>Glfosato,2,4-D, clethodim, paraquat</t>
  </si>
  <si>
    <t>Glifosato, paraquat, 2,4-d, clethodim</t>
  </si>
  <si>
    <t>Glifosato, saflufenacil</t>
  </si>
  <si>
    <t>glifosato, 2,4-D, haloxifop</t>
  </si>
  <si>
    <t>Glifosato, 2,4-D, clethodim, paraquat, haloxifop, chlorimuron</t>
  </si>
  <si>
    <t>Glifosato, clethodim 2,4-D</t>
  </si>
  <si>
    <t>Glifosato, clethodim, 2,4-D, flumioxazin</t>
  </si>
  <si>
    <t>sulfentrazone</t>
  </si>
  <si>
    <t>chlorimuron</t>
  </si>
  <si>
    <t>Gliposato, 2,4-D</t>
  </si>
  <si>
    <t>Glifosato, S-metolachlor, Glifosato, Imazethapyr, Flumioxazin, Chlorimurom, Haloxifop, Glufosinato</t>
  </si>
  <si>
    <t>glifosato,  S-metolachlor, clethodin, paraquat, diuron, 2,4-D</t>
  </si>
  <si>
    <t xml:space="preserve">Diclusulan, s-methalaclor, chlorimuron </t>
  </si>
  <si>
    <t>Flumioxazin, Imazethapyr, paraquat</t>
  </si>
  <si>
    <t>Paraquat, diclosulan ou chlorumuron</t>
  </si>
  <si>
    <t xml:space="preserve">Chlorimuron </t>
  </si>
  <si>
    <t>Flumioxazin, imazethapyr, diclosulan, clorumuron</t>
  </si>
  <si>
    <t>Diclosulam, Cloransulam, Chlorimuron, Clethodim</t>
  </si>
  <si>
    <t>Imazethapyr, Flumioxazin, Clomazone</t>
  </si>
  <si>
    <t>Flumioxazin, imazethapyr</t>
  </si>
  <si>
    <t>chlorimuron, diclosulan, flumioxazin, imazethapyr</t>
  </si>
  <si>
    <t xml:space="preserve">Diclosulan </t>
  </si>
  <si>
    <t xml:space="preserve">bentazon, trifluralina, sulfentrazone, Diclosulan </t>
  </si>
  <si>
    <t xml:space="preserve">Chlorimuron, Diclosulan </t>
  </si>
  <si>
    <t>s-methalaclor, Diclosulan, Flumioxazin</t>
  </si>
  <si>
    <t xml:space="preserve">Glufosinato, Diclosulan </t>
  </si>
  <si>
    <t>Diclosulan, sulfentrazone</t>
  </si>
  <si>
    <t xml:space="preserve">Diclosulan,  s-methalaclor, imazethaphyr </t>
  </si>
  <si>
    <t>s-methalaclor, Diclosulan, paraquat</t>
  </si>
  <si>
    <t>s-methalaclor , Diclosulan, paraquat</t>
  </si>
  <si>
    <t>Flumyzin, sulfentrazone, Diclosulan, Chlorimuron</t>
  </si>
  <si>
    <t xml:space="preserve">s-methalaclor, sulfentrazone, Diclosulan </t>
  </si>
  <si>
    <t>chlorimurom, Diclosulan, imazethapyr</t>
  </si>
  <si>
    <t>Diclosulan, flumetsulam, PARAQUAT</t>
  </si>
  <si>
    <t>s-methalaclor, sulfentrazone, imazaquim</t>
  </si>
  <si>
    <t>imazaquim</t>
  </si>
  <si>
    <t>flumioxazin</t>
  </si>
  <si>
    <t>Diclosulan, flumioxazin</t>
  </si>
  <si>
    <t>Glifosato, Haloxyfop</t>
  </si>
  <si>
    <t>glifosato, imazethapyr</t>
  </si>
  <si>
    <t>lactofen, chlorimuron, Glifosato</t>
  </si>
  <si>
    <t>Glifosato, Fomesafen,  Haloxyfop</t>
  </si>
  <si>
    <t>glifosato, clethodim, chlorimuron</t>
  </si>
  <si>
    <t>sulfentrazone, imazethapyr</t>
  </si>
  <si>
    <t xml:space="preserve">Glifosato, Cloransulan, chlorimuron </t>
  </si>
  <si>
    <t>Glifosato, Clethodim, Chlorimuron</t>
  </si>
  <si>
    <t xml:space="preserve">glifosato, chlorimuron, </t>
  </si>
  <si>
    <t>Glifosato,  Haloxyfop</t>
  </si>
  <si>
    <t>glifosato, cloransulan</t>
  </si>
  <si>
    <t xml:space="preserve">Glifosato imazethapyr, cloramsulan </t>
  </si>
  <si>
    <t>Glifosato,chlorimurom</t>
  </si>
  <si>
    <t>Glifosato, imazethapyr, clorimuron,fomesafen, clethodim</t>
  </si>
  <si>
    <t>s-metolachlor, glifosato, clethodim</t>
  </si>
  <si>
    <t>Glifosato, setoxydim, chlorimuron</t>
  </si>
  <si>
    <t>Glifosato, fomesafen, chlorimuron, basagran, clethodim</t>
  </si>
  <si>
    <t>glifosato,chlorimurom</t>
  </si>
  <si>
    <t>Glifosato, Clethodim</t>
  </si>
  <si>
    <t>Glifosato, Clethodin,  Haloxyfop</t>
  </si>
  <si>
    <t>Glifosato, fomesafen, Haloxyfop</t>
  </si>
  <si>
    <t>Glifosato, Clethodin</t>
  </si>
  <si>
    <t>Imazethapyr, Lactofen, Chlorimuron</t>
  </si>
  <si>
    <t>Chlorimuron, Basagran</t>
  </si>
  <si>
    <t>Sulfentrazone, glifosato, imazethapyr</t>
  </si>
  <si>
    <t>Glifosato, fomesafen, lactofen, clorimuron, imazethapyr</t>
  </si>
  <si>
    <t>Glifosate, clethodim</t>
  </si>
  <si>
    <t>Haloxyfop, sulfentrazone, Glifosato</t>
  </si>
  <si>
    <t>glifosato, flumioxazin</t>
  </si>
  <si>
    <t>Glifosato, lactofen, imazethapyr</t>
  </si>
  <si>
    <t>Haloxyfop</t>
  </si>
  <si>
    <t>lactofen</t>
  </si>
  <si>
    <t>fomesafen</t>
  </si>
  <si>
    <t>basagran</t>
  </si>
  <si>
    <t>Dessecante pos plantio</t>
  </si>
  <si>
    <t>diquat</t>
  </si>
  <si>
    <t>diquat, gramoxone</t>
  </si>
  <si>
    <t>diquat,Paraquat</t>
  </si>
  <si>
    <t>Paraquat, diquat</t>
  </si>
  <si>
    <t>Diquat, paraquat</t>
  </si>
  <si>
    <t xml:space="preserve">Paraquate, glufosinato </t>
  </si>
  <si>
    <t>ProgCana</t>
  </si>
  <si>
    <t>DessCana</t>
  </si>
  <si>
    <t>PreCana</t>
  </si>
  <si>
    <t>PosCana</t>
  </si>
  <si>
    <t>HerbColCana</t>
  </si>
  <si>
    <t>Flumioxazin Tebutiuron</t>
  </si>
  <si>
    <t>Nao</t>
  </si>
  <si>
    <t xml:space="preserve">Indaziflam + metribuzin; Hexazinona; Ametrina; Sulfentrazone; Diclosulam; Tebutiurom; Amicarbazona; Flumioxazin; S-Metalocloro; Clomazona; Diurom + Hexazinona; Imazapique; Metsulfurom met√≠lico; Trifluralina;    </t>
  </si>
  <si>
    <t xml:space="preserve">Mesotriona; 2,4D; Picloram + 2,4D; Metribuzim;  </t>
  </si>
  <si>
    <t>Tebuthirom</t>
  </si>
  <si>
    <t xml:space="preserve">MSMA / Diuron </t>
  </si>
  <si>
    <t>Diversos</t>
  </si>
  <si>
    <t>diuron, hexazinone, atrazine, tebutiuron, entre outros</t>
  </si>
  <si>
    <t>Glifosato, entre outros</t>
  </si>
  <si>
    <t>Dual gold,Tebutirom,</t>
  </si>
  <si>
    <t>Gamit</t>
  </si>
  <si>
    <t>2,4-D. Glifosato</t>
  </si>
  <si>
    <t>Ametrina, diuron,tebuthiuron, imazapyr,imazapic, sulfentrazone</t>
  </si>
  <si>
    <t>Trifloxysulfuron, mesotrione, ametrina+clomaxone,hexazinone+diuron</t>
  </si>
  <si>
    <t>Maturador sulfumeturom-metil</t>
  </si>
  <si>
    <t>Glifosato e 2,4-D</t>
  </si>
  <si>
    <t>Boral dual gold</t>
  </si>
  <si>
    <t>Glifosato Jato dirigido</t>
  </si>
  <si>
    <t xml:space="preserve">Demolidor </t>
  </si>
  <si>
    <t>diuron, hexazinone</t>
  </si>
  <si>
    <t>Tebuthiuron</t>
  </si>
  <si>
    <t>Glifosato, contain.</t>
  </si>
  <si>
    <t>Glifosato e 2-4D</t>
  </si>
  <si>
    <t>MSMA, Calisto</t>
  </si>
  <si>
    <t>Maturadores e inibidores de florescimento</t>
  </si>
  <si>
    <t xml:space="preserve">Tebutiuron. Sulfentrazone, clomazone,Ametrin </t>
  </si>
  <si>
    <t>Clomazone, hexazonona, tebutiuron</t>
  </si>
  <si>
    <t>Cana</t>
  </si>
  <si>
    <t>piritiobaque</t>
  </si>
  <si>
    <t xml:space="preserve">Glifosate, 2,4-D, carfentrazone, Glifosato , Flumioxazin </t>
  </si>
  <si>
    <t>Gifosato</t>
  </si>
  <si>
    <t xml:space="preserve">Glifosato,2,4-D </t>
  </si>
  <si>
    <t>ProgCafe</t>
  </si>
  <si>
    <t>DessCafe</t>
  </si>
  <si>
    <t>PreCafe</t>
  </si>
  <si>
    <t>PosCafe</t>
  </si>
  <si>
    <t>HerbColCafe</t>
  </si>
  <si>
    <t>Glifosato, Flumioxazin</t>
  </si>
  <si>
    <t>Flumizyn</t>
  </si>
  <si>
    <t>Paraquat Diuron</t>
  </si>
  <si>
    <t>Glifosato e inibidores de ACCAse</t>
  </si>
  <si>
    <t>Glyphosato e 2,4-D</t>
  </si>
  <si>
    <t>Oxyfluofen</t>
  </si>
  <si>
    <t>Goal</t>
  </si>
  <si>
    <t>Glifosato - Verdict</t>
  </si>
  <si>
    <t>Glifosato, nicosulfuron, clorimuron, 2,4-D e carfentrasone</t>
  </si>
  <si>
    <t>Glifosato, clorimuron ethyl</t>
  </si>
  <si>
    <t>Café</t>
  </si>
  <si>
    <t>ProgCitrus</t>
  </si>
  <si>
    <t>DessCitrus</t>
  </si>
  <si>
    <t>PreCitrus</t>
  </si>
  <si>
    <t>PosCitrus</t>
  </si>
  <si>
    <t>HerbColCitrus</t>
  </si>
  <si>
    <t>glifosate em jato dirigido</t>
  </si>
  <si>
    <t>Glifosato Flumioxazin</t>
  </si>
  <si>
    <t>S_metolachloro</t>
  </si>
  <si>
    <t>Glyphosato e gramoxone</t>
  </si>
  <si>
    <t>Citrus</t>
  </si>
  <si>
    <t>ProgEucalipto</t>
  </si>
  <si>
    <t>DessEucalipto</t>
  </si>
  <si>
    <t>PreEucalipto</t>
  </si>
  <si>
    <t>PosEucalipto</t>
  </si>
  <si>
    <t>HerbColEucalipto</t>
  </si>
  <si>
    <t xml:space="preserve">Verdict </t>
  </si>
  <si>
    <t>oxyfluorfen, sulfentrazone, isoxaflutole, entre outros</t>
  </si>
  <si>
    <t>Fordor WG (Isoxaflutol)</t>
  </si>
  <si>
    <t>Scout (Glifosato) e Verdict (HALOXIFOPE-P-MET√çLICO</t>
  </si>
  <si>
    <t>oxifluorfen</t>
  </si>
  <si>
    <t>Sulfentrazone, flumioxazim, isoxaflutole e indaziflam</t>
  </si>
  <si>
    <t>Glifosato, saflufenacil, glufosinate</t>
  </si>
  <si>
    <t>Scout</t>
  </si>
  <si>
    <t>Eucalito</t>
  </si>
  <si>
    <t>ProgFeijao</t>
  </si>
  <si>
    <t>DessFeijao</t>
  </si>
  <si>
    <t>PreFeijao</t>
  </si>
  <si>
    <t>PosFeijao</t>
  </si>
  <si>
    <t>HerbColFeijao</t>
  </si>
  <si>
    <t>Dessecante pre-plantio,Pre-emergente,Pros-emergente,Dessecante pre-colheita</t>
  </si>
  <si>
    <t>Glifosato, Flumizin</t>
  </si>
  <si>
    <t>Imazetapir, dual gold ou trufluralina alternados</t>
  </si>
  <si>
    <t>Fomesafem, imazetapir, cletodim, bentazona</t>
  </si>
  <si>
    <t>Paraquat ou glufosinato</t>
  </si>
  <si>
    <t>Dual, trifluralina</t>
  </si>
  <si>
    <t xml:space="preserve">Flex, basagran, fuzilade, </t>
  </si>
  <si>
    <t>Paraquat, finale.</t>
  </si>
  <si>
    <t>Dessecante pre-plantio,Pre-emergente,Pros-emergente</t>
  </si>
  <si>
    <t>Glifosato + flumexazina</t>
  </si>
  <si>
    <t>Flex</t>
  </si>
  <si>
    <t>Premerlin and/or S-metolachlor</t>
  </si>
  <si>
    <t xml:space="preserve">ACCase inhibitor + Protox inhibitor </t>
  </si>
  <si>
    <t>Paraquat ir diquat</t>
  </si>
  <si>
    <t>Pros-emergente</t>
  </si>
  <si>
    <t>Dessecante pre-plantio,Pros-emergente</t>
  </si>
  <si>
    <t>select</t>
  </si>
  <si>
    <t xml:space="preserve">Glifosato e ou paraquat </t>
  </si>
  <si>
    <t xml:space="preserve">Dual boral </t>
  </si>
  <si>
    <t xml:space="preserve">Oaraquat </t>
  </si>
  <si>
    <t>Dessecante pre-plantio,Pros-emergente,Dessecante pre-colheita</t>
  </si>
  <si>
    <t>Glifosato Aurora</t>
  </si>
  <si>
    <t>Flex Basagran</t>
  </si>
  <si>
    <t>Glifosato, cletodin.</t>
  </si>
  <si>
    <t>Cletodin, bentazona, fomesafem + fluazifope</t>
  </si>
  <si>
    <t>S_ metolachloro</t>
  </si>
  <si>
    <t>paraquat, am√¥nio glufosinato</t>
  </si>
  <si>
    <t>Foesafen, Ethoxysulfuron</t>
  </si>
  <si>
    <t>Dessecante pre-plantio,Pre-emergente,Dessecante pre-colheita</t>
  </si>
  <si>
    <t>fomesafen e fluazifop, bentazon, entre outros</t>
  </si>
  <si>
    <t>Dual gold; trifluralina gold</t>
  </si>
  <si>
    <t>Cobra; select; pivot; classic; flex; gladium</t>
  </si>
  <si>
    <t>Diquat e paraquat; fluxiamizona</t>
  </si>
  <si>
    <t>Basagran</t>
  </si>
  <si>
    <t>Glyphisate ou paraquat + flumizin ou aurora</t>
  </si>
  <si>
    <t>Imazamox ou fomesafen + basagran + inibidor de accase</t>
  </si>
  <si>
    <t>glifosato ou Gramocil</t>
  </si>
  <si>
    <t>Fusiflex ou Fusilade</t>
  </si>
  <si>
    <t>Fomesafen, Cletodin, haloaxifop, fusilad</t>
  </si>
  <si>
    <t xml:space="preserve">Aurora, paraquat, diquat </t>
  </si>
  <si>
    <t>fomesafem/graminicida</t>
  </si>
  <si>
    <t>fomesafen, clethodin</t>
  </si>
  <si>
    <t>fusilade+fomesafen (robust)</t>
  </si>
  <si>
    <t>Fusilade e fusiflex</t>
  </si>
  <si>
    <t>Glifosato; 2,4-D; Paraquat; Glufosinato de Amonio</t>
  </si>
  <si>
    <t xml:space="preserve">Metribuzim </t>
  </si>
  <si>
    <t>Glufosinato de Am√¥nio</t>
  </si>
  <si>
    <t>Glifosato, gramoxone</t>
  </si>
  <si>
    <t>Basagran, Flex, Sweeper</t>
  </si>
  <si>
    <t>Reglone, Glifosate</t>
  </si>
  <si>
    <t>Glufosinato de am√¥nia</t>
  </si>
  <si>
    <t>Zethamax</t>
  </si>
  <si>
    <t xml:space="preserve">Flex e fuzilade </t>
  </si>
  <si>
    <t>Glifosato, aurora</t>
  </si>
  <si>
    <t>Flex, select</t>
  </si>
  <si>
    <t>Trifuralina</t>
  </si>
  <si>
    <t>Fomesafem</t>
  </si>
  <si>
    <t>Clethodim ou haloxyfop</t>
  </si>
  <si>
    <t>Diquat ou paraquat</t>
  </si>
  <si>
    <t>ProgHF</t>
  </si>
  <si>
    <t>DessHF</t>
  </si>
  <si>
    <t>PreHF</t>
  </si>
  <si>
    <t>PosHF</t>
  </si>
  <si>
    <t>HerbColHF</t>
  </si>
  <si>
    <t>pendimethalin</t>
  </si>
  <si>
    <t>ioxynil, clethodim</t>
  </si>
  <si>
    <t>setoxidim</t>
  </si>
  <si>
    <t>Pre-emergente,Pros-emergente</t>
  </si>
  <si>
    <t>Preparo convencional do solo</t>
  </si>
  <si>
    <t>Metribuzin (batata e tomate); metamitron (beterraba); linuron (cenoura); ronstar (alho); oxifluorfen (brassicas)</t>
  </si>
  <si>
    <t xml:space="preserve">Inibidores de ACCase em todas; metribuzin (batata); flumioxazin (cebola); totril e ronstar (alho e cebola); </t>
  </si>
  <si>
    <t>Paraquat (batata)</t>
  </si>
  <si>
    <t xml:space="preserve">glifosato, rity, </t>
  </si>
  <si>
    <t>linuron, oxyfluorfen, oxadiazon, metribuzim</t>
  </si>
  <si>
    <t xml:space="preserve">linuron, metribuzin, ioxynil, cletodim, haloxyfop,  </t>
  </si>
  <si>
    <t>Pre-emergente,Pros-emergente,Dessecante pre-colheita</t>
  </si>
  <si>
    <t>30 dias</t>
  </si>
  <si>
    <t>Roundup, gamit</t>
  </si>
  <si>
    <t>Afalon, goal</t>
  </si>
  <si>
    <t>Podium, totril</t>
  </si>
  <si>
    <t>ProgCInverno</t>
  </si>
  <si>
    <t>DessCInverno</t>
  </si>
  <si>
    <t>PreCInverno</t>
  </si>
  <si>
    <t>PosCInverno</t>
  </si>
  <si>
    <t>HerbColCInverno</t>
  </si>
  <si>
    <t xml:space="preserve">Glifosate, </t>
  </si>
  <si>
    <t>Ally</t>
  </si>
  <si>
    <t>2,4D</t>
  </si>
  <si>
    <t>Glifosato, Saflufenacil</t>
  </si>
  <si>
    <t>Metsulfurom</t>
  </si>
  <si>
    <t>iodosulfuron, metsulfuron</t>
  </si>
  <si>
    <t>Dessecante pre-plantio,Pos-emergente,Dessecante pre-plantio</t>
  </si>
  <si>
    <t>Metsulfuron, 2,4-D</t>
  </si>
  <si>
    <t>Glifisato</t>
  </si>
  <si>
    <t>Dessecante pre-plantio,Dessecante pre-plantio</t>
  </si>
  <si>
    <t>Metsulfuron ou 2,4-D</t>
  </si>
  <si>
    <t>Glifosato+2,4D</t>
  </si>
  <si>
    <t xml:space="preserve">clorimuron, glifosato, </t>
  </si>
  <si>
    <t>Glifosato; 2,4-D; Paraquat; Glufosinato de Am√¥nio: Saflufenacil</t>
  </si>
  <si>
    <t>2,4-D; Metsulfurom; Iodosulfuron</t>
  </si>
  <si>
    <t>Glifosato; 2,4-D, Paraquat</t>
  </si>
  <si>
    <t xml:space="preserve">Glifosato, chletodin </t>
  </si>
  <si>
    <t>Iodosulfuron</t>
  </si>
  <si>
    <t>Pos-emergente,Dessecante pre-plantio</t>
  </si>
  <si>
    <t>Ally e 2,4-d</t>
  </si>
  <si>
    <t>heat+ally</t>
  </si>
  <si>
    <t>sumisoy</t>
  </si>
  <si>
    <t>GLIFOSATO+ cletodin</t>
  </si>
  <si>
    <t>2,4-D e metsulfurom metyl</t>
  </si>
  <si>
    <t>Dessecante pre-plantio,Pre-emergente,Pos-emergente,Dessecante pre-plantio</t>
  </si>
  <si>
    <t>Ally; 2,4D; Heat</t>
  </si>
  <si>
    <t>HF</t>
  </si>
  <si>
    <t>winter crops</t>
  </si>
  <si>
    <t>ProgSorgo</t>
  </si>
  <si>
    <t>DessSorgo</t>
  </si>
  <si>
    <t>PreSorgo</t>
  </si>
  <si>
    <t>PosSorgo</t>
  </si>
  <si>
    <t>HerbColSorgo</t>
  </si>
  <si>
    <t xml:space="preserve">Glifosato, </t>
  </si>
  <si>
    <t>Dessecante pre-plantio,Pre-emergente (atividade residual no solo)</t>
  </si>
  <si>
    <t>Dessecante pre-plantio,Pre-emergente (atividade residual no solo),Pos-emergente</t>
  </si>
  <si>
    <t xml:space="preserve">Glifosato eou paraquat </t>
  </si>
  <si>
    <t xml:space="preserve">2,4-d </t>
  </si>
  <si>
    <t>Atrazicna</t>
  </si>
  <si>
    <t xml:space="preserve">Glifosato 2,4D Paraquat </t>
  </si>
  <si>
    <t>Normalmente faz Glifosato</t>
  </si>
  <si>
    <t>Testando Seletividade</t>
  </si>
  <si>
    <t>Atrazine; testando Seletividade</t>
  </si>
  <si>
    <t>Dessecante pre-plantio,Pre-emergente (atividade residual no solo),Pos-emergente,Dessecante pre-colheita</t>
  </si>
  <si>
    <t xml:space="preserve">Glifosato ou paraquat </t>
  </si>
  <si>
    <t xml:space="preserve">Nao uso </t>
  </si>
  <si>
    <t xml:space="preserve">2,4-D, paraquate ou paraquate + diuron, glifosato, clethodim ou haloxifope met√≠lico </t>
  </si>
  <si>
    <t>atrazine (se houver necessidade)</t>
  </si>
  <si>
    <t>Glifosato e ou paraquat 2,4-D</t>
  </si>
  <si>
    <t>atrazine; Glifosato</t>
  </si>
  <si>
    <t>atrazine e metholachor</t>
  </si>
  <si>
    <t>ProgTrigo</t>
  </si>
  <si>
    <t>DessTrigo</t>
  </si>
  <si>
    <t>PreTrigo</t>
  </si>
  <si>
    <t>PosTrigo</t>
  </si>
  <si>
    <t>HerbColTrigo</t>
  </si>
  <si>
    <t>Glifosato, select, DMA</t>
  </si>
  <si>
    <t>Hussar, topik</t>
  </si>
  <si>
    <t xml:space="preserve">Select, gramoxone, glifosato </t>
  </si>
  <si>
    <t>2,4-d</t>
  </si>
  <si>
    <t>Glifosato 2,4-D MCPA</t>
  </si>
  <si>
    <t>Metsulfuron 2,4-D ou MCPA</t>
  </si>
  <si>
    <t>Tricea + 2,4-D</t>
  </si>
  <si>
    <t>Glifosato, 2,4-d, cletodin, paraquat.</t>
  </si>
  <si>
    <t>Metsulfuron, clodinafope-propargil</t>
  </si>
  <si>
    <t>Glufosinato de am√¥nio</t>
  </si>
  <si>
    <t>glifosato, cletodin, iodosulfuron</t>
  </si>
  <si>
    <t>Piroxulam, Metsulfuron, 2,4-D</t>
  </si>
  <si>
    <t>Glifosato, Poast, Verdict, Select, Podium</t>
  </si>
  <si>
    <t>Gramoxone, Metsulfuron-metilico, Gramocil</t>
  </si>
  <si>
    <t>IODO SULFURON-METHYL,PYROXSULAM, CLODINAFOP-PROPARGIL,</t>
  </si>
  <si>
    <t xml:space="preserve">GLUFOSINATO-SAL DE AMONIO </t>
  </si>
  <si>
    <t>Gliphosate, clethodim, saflufenacil</t>
  </si>
  <si>
    <t>Iodossulfurom, 2,4D, pinoxaden, clodinafop</t>
  </si>
  <si>
    <t>Zap select gramoxone</t>
  </si>
  <si>
    <t>Topik hussar</t>
  </si>
  <si>
    <t>glifosato + 2,4-D + ACCase</t>
  </si>
  <si>
    <t>Hussar, Topik</t>
  </si>
  <si>
    <t>Metaulfuron sodio ou 2.4 D</t>
  </si>
  <si>
    <t>iodosulfuron; metsulfuron; clodinafop.</t>
  </si>
  <si>
    <t>Finale</t>
  </si>
  <si>
    <t xml:space="preserve">2,4-D, paraquate, glifosato, clethodim ou haloxifope met√≠lico </t>
  </si>
  <si>
    <t>2,4-D, bentazone, metsulfuron, diclofop, clodinafope</t>
  </si>
  <si>
    <t>Clodinafope, 2,4-D (se houver necessidade)</t>
  </si>
  <si>
    <t>ally</t>
  </si>
  <si>
    <t>Glifosato; Saflufenacil; 2,4-D; Paraquat</t>
  </si>
  <si>
    <t>Iodosulfuron; Metsulfuron; Pyroxulan</t>
  </si>
  <si>
    <t>Glifosato, chletodin</t>
  </si>
  <si>
    <t>GLIFOSATO e cletodin</t>
  </si>
  <si>
    <t>glyfosato</t>
  </si>
  <si>
    <t>Topik, clodinafop propargil</t>
  </si>
  <si>
    <t>wheat</t>
  </si>
  <si>
    <t>Glifosato, clethodim,  Haloxyfop, fluazifop, fomesafen, imazethapyr, chlorimuron</t>
  </si>
  <si>
    <t xml:space="preserve">Glifosate </t>
  </si>
  <si>
    <t>Paraquat, Diquat</t>
  </si>
  <si>
    <t xml:space="preserve">Glifosato, Imazapyr, Isoxaflutole, 2,4-D; </t>
  </si>
  <si>
    <t xml:space="preserve">Picloran,  2,4-D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</si>
</sst>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A3BD-FA37-1A40-98EF-B292DF3C473E}">
  <dimension ref="A1:F1281"/>
  <sheetViews>
    <sheetView tabSelected="1" topLeftCell="A96" workbookViewId="0">
      <selection activeCell="B596" sqref="B596"/>
    </sheetView>
  </sheetViews>
  <sheetFormatPr baseColWidth="10" defaultRowHeight="16" x14ac:dyDescent="0.2"/>
  <cols>
    <col min="1" max="1" width="72" customWidth="1"/>
    <col min="2" max="2" width="67.6640625" bestFit="1" customWidth="1"/>
    <col min="3" max="3" width="49.1640625" bestFit="1" customWidth="1"/>
    <col min="4" max="4" width="45.33203125" bestFit="1" customWidth="1"/>
    <col min="5" max="5" width="51.33203125" bestFit="1" customWidth="1"/>
    <col min="6" max="6" width="34.6640625" bestFit="1" customWidth="1"/>
  </cols>
  <sheetData>
    <row r="1" spans="1:6" x14ac:dyDescent="0.2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">
      <c r="A2" t="s">
        <v>24</v>
      </c>
      <c r="B2" t="s">
        <v>5</v>
      </c>
      <c r="C2" t="s">
        <v>6</v>
      </c>
      <c r="D2" t="s">
        <v>52</v>
      </c>
    </row>
    <row r="3" spans="1:6" x14ac:dyDescent="0.2">
      <c r="A3" t="s">
        <v>24</v>
      </c>
      <c r="B3" t="s">
        <v>7</v>
      </c>
      <c r="C3" t="s">
        <v>8</v>
      </c>
    </row>
    <row r="4" spans="1:6" x14ac:dyDescent="0.2">
      <c r="A4" t="s">
        <v>26</v>
      </c>
      <c r="B4" t="s">
        <v>9</v>
      </c>
      <c r="C4" t="s">
        <v>10</v>
      </c>
      <c r="E4" t="s">
        <v>83</v>
      </c>
      <c r="F4" t="s">
        <v>11</v>
      </c>
    </row>
    <row r="5" spans="1:6" x14ac:dyDescent="0.2">
      <c r="A5" t="s">
        <v>27</v>
      </c>
      <c r="B5" t="s">
        <v>12</v>
      </c>
      <c r="C5" t="s">
        <v>39</v>
      </c>
      <c r="E5" t="s">
        <v>13</v>
      </c>
    </row>
    <row r="6" spans="1:6" x14ac:dyDescent="0.2">
      <c r="A6" t="s">
        <v>23</v>
      </c>
      <c r="B6" t="s">
        <v>5</v>
      </c>
      <c r="C6" t="s">
        <v>10</v>
      </c>
      <c r="D6" t="s">
        <v>47</v>
      </c>
      <c r="E6" t="s">
        <v>18</v>
      </c>
    </row>
    <row r="7" spans="1:6" x14ac:dyDescent="0.2">
      <c r="A7" t="s">
        <v>28</v>
      </c>
      <c r="B7" t="s">
        <v>14</v>
      </c>
      <c r="C7" t="s">
        <v>42</v>
      </c>
      <c r="D7" t="s">
        <v>55</v>
      </c>
      <c r="E7" t="s">
        <v>68</v>
      </c>
    </row>
    <row r="8" spans="1:6" x14ac:dyDescent="0.2">
      <c r="A8" t="s">
        <v>29</v>
      </c>
      <c r="B8" t="s">
        <v>12</v>
      </c>
    </row>
    <row r="9" spans="1:6" x14ac:dyDescent="0.2">
      <c r="A9" t="s">
        <v>24</v>
      </c>
      <c r="B9" t="s">
        <v>15</v>
      </c>
    </row>
    <row r="10" spans="1:6" x14ac:dyDescent="0.2">
      <c r="A10" t="s">
        <v>30</v>
      </c>
      <c r="B10" t="s">
        <v>14</v>
      </c>
    </row>
    <row r="11" spans="1:6" x14ac:dyDescent="0.2">
      <c r="A11" t="s">
        <v>23</v>
      </c>
      <c r="B11" t="s">
        <v>16</v>
      </c>
    </row>
    <row r="12" spans="1:6" x14ac:dyDescent="0.2">
      <c r="A12" t="s">
        <v>32</v>
      </c>
      <c r="B12" t="s">
        <v>17</v>
      </c>
    </row>
    <row r="13" spans="1:6" x14ac:dyDescent="0.2">
      <c r="A13" t="s">
        <v>33</v>
      </c>
      <c r="B13" t="s">
        <v>14</v>
      </c>
      <c r="C13" t="s">
        <v>18</v>
      </c>
      <c r="D13" t="s">
        <v>53</v>
      </c>
      <c r="E13" t="s">
        <v>64</v>
      </c>
    </row>
    <row r="14" spans="1:6" x14ac:dyDescent="0.2">
      <c r="A14" t="s">
        <v>23</v>
      </c>
      <c r="B14" t="s">
        <v>5</v>
      </c>
      <c r="C14" t="s">
        <v>40</v>
      </c>
      <c r="D14" t="s">
        <v>54</v>
      </c>
      <c r="E14" t="s">
        <v>67</v>
      </c>
      <c r="F14" t="s">
        <v>71</v>
      </c>
    </row>
    <row r="15" spans="1:6" x14ac:dyDescent="0.2">
      <c r="A15" t="s">
        <v>23</v>
      </c>
      <c r="B15" t="s">
        <v>5</v>
      </c>
      <c r="C15" t="s">
        <v>18</v>
      </c>
      <c r="D15" t="s">
        <v>47</v>
      </c>
      <c r="E15" t="s">
        <v>19</v>
      </c>
    </row>
    <row r="16" spans="1:6" x14ac:dyDescent="0.2">
      <c r="A16" t="s">
        <v>25</v>
      </c>
      <c r="B16" t="s">
        <v>5</v>
      </c>
      <c r="C16" t="s">
        <v>427</v>
      </c>
      <c r="D16" t="s">
        <v>62</v>
      </c>
      <c r="E16" t="s">
        <v>77</v>
      </c>
      <c r="F16" t="s">
        <v>72</v>
      </c>
    </row>
    <row r="17" spans="1:6" x14ac:dyDescent="0.2">
      <c r="A17" t="s">
        <v>31</v>
      </c>
      <c r="B17" t="s">
        <v>12</v>
      </c>
      <c r="C17" t="s">
        <v>51</v>
      </c>
      <c r="E17" t="s">
        <v>65</v>
      </c>
    </row>
    <row r="18" spans="1:6" x14ac:dyDescent="0.2">
      <c r="A18" t="s">
        <v>34</v>
      </c>
      <c r="B18" t="s">
        <v>14</v>
      </c>
    </row>
    <row r="19" spans="1:6" x14ac:dyDescent="0.2">
      <c r="A19" t="s">
        <v>23</v>
      </c>
      <c r="B19" t="s">
        <v>5</v>
      </c>
      <c r="C19" t="s">
        <v>41</v>
      </c>
      <c r="D19" t="s">
        <v>20</v>
      </c>
      <c r="E19" t="s">
        <v>66</v>
      </c>
      <c r="F19" t="s">
        <v>70</v>
      </c>
    </row>
    <row r="20" spans="1:6" x14ac:dyDescent="0.2">
      <c r="A20" t="s">
        <v>24</v>
      </c>
      <c r="B20" t="s">
        <v>12</v>
      </c>
    </row>
    <row r="21" spans="1:6" x14ac:dyDescent="0.2">
      <c r="A21" t="s">
        <v>25</v>
      </c>
      <c r="B21" t="s">
        <v>14</v>
      </c>
    </row>
    <row r="22" spans="1:6" x14ac:dyDescent="0.2">
      <c r="A22" t="s">
        <v>23</v>
      </c>
      <c r="B22" t="s">
        <v>21</v>
      </c>
    </row>
    <row r="23" spans="1:6" x14ac:dyDescent="0.2">
      <c r="A23" t="s">
        <v>24</v>
      </c>
      <c r="B23" t="s">
        <v>5</v>
      </c>
    </row>
    <row r="24" spans="1:6" x14ac:dyDescent="0.2">
      <c r="A24" t="s">
        <v>23</v>
      </c>
      <c r="B24" t="s">
        <v>14</v>
      </c>
      <c r="C24" t="s">
        <v>43</v>
      </c>
      <c r="D24" t="s">
        <v>73</v>
      </c>
      <c r="E24" t="s">
        <v>69</v>
      </c>
    </row>
    <row r="26" spans="1:6" x14ac:dyDescent="0.2">
      <c r="A26" s="4" t="s">
        <v>37</v>
      </c>
      <c r="B26" s="4"/>
      <c r="C26" s="4"/>
    </row>
    <row r="27" spans="1:6" x14ac:dyDescent="0.2">
      <c r="A27" t="s">
        <v>35</v>
      </c>
      <c r="B27">
        <f>COUNTIFS($B$2:$B$24, "*Dessecante pre-plantio*")</f>
        <v>20</v>
      </c>
      <c r="C27" s="2">
        <f>(B27/$B$31)*100</f>
        <v>86.956521739130437</v>
      </c>
    </row>
    <row r="28" spans="1:6" x14ac:dyDescent="0.2">
      <c r="A28" t="s">
        <v>17</v>
      </c>
      <c r="B28">
        <f>COUNTIFS($B$2:$B$24, "*Pre-emergente*")</f>
        <v>16</v>
      </c>
      <c r="C28" s="2">
        <f t="shared" ref="C28:C30" si="0">(B28/$B$31)*100</f>
        <v>69.565217391304344</v>
      </c>
    </row>
    <row r="29" spans="1:6" x14ac:dyDescent="0.2">
      <c r="A29" t="s">
        <v>15</v>
      </c>
      <c r="B29">
        <f>COUNTIFS($B$2:$B$24, "*Pos-emergente*")</f>
        <v>20</v>
      </c>
      <c r="C29" s="2">
        <f t="shared" si="0"/>
        <v>86.956521739130437</v>
      </c>
    </row>
    <row r="30" spans="1:6" x14ac:dyDescent="0.2">
      <c r="A30" t="s">
        <v>36</v>
      </c>
      <c r="B30">
        <f>COUNTIFS($B$2:$B$24, "*Dessecante pre-colheita*")</f>
        <v>9</v>
      </c>
      <c r="C30" s="2">
        <f t="shared" si="0"/>
        <v>39.130434782608695</v>
      </c>
    </row>
    <row r="31" spans="1:6" x14ac:dyDescent="0.2">
      <c r="A31" t="s">
        <v>38</v>
      </c>
      <c r="B31">
        <f>COUNTIFS($B$2:$B$24, "**")</f>
        <v>23</v>
      </c>
    </row>
    <row r="32" spans="1:6" x14ac:dyDescent="0.2">
      <c r="A32" s="3" t="s">
        <v>35</v>
      </c>
      <c r="B32" s="3"/>
      <c r="C32" s="3"/>
    </row>
    <row r="33" spans="1:3" x14ac:dyDescent="0.2">
      <c r="A33" t="s">
        <v>44</v>
      </c>
      <c r="B33">
        <f>COUNTIFS($B$2:$B$24, "*Dessecante pre-plantio*", $C$2:$C$24, "*glifosato*")</f>
        <v>10</v>
      </c>
      <c r="C33" s="2">
        <f>(B33/$B$40)*100</f>
        <v>76.923076923076934</v>
      </c>
    </row>
    <row r="34" spans="1:3" x14ac:dyDescent="0.2">
      <c r="A34" t="s">
        <v>45</v>
      </c>
      <c r="B34">
        <f>COUNTIFS($B$2:$B$24, "*Dessecante pre-plantio*", $C$2:$C$24, "*flumioxazin*")</f>
        <v>5</v>
      </c>
      <c r="C34" s="2">
        <f t="shared" ref="C34:C39" si="1">(B34/$B$40)*100</f>
        <v>38.461538461538467</v>
      </c>
    </row>
    <row r="35" spans="1:3" x14ac:dyDescent="0.2">
      <c r="A35" t="s">
        <v>46</v>
      </c>
      <c r="B35">
        <f>COUNTIFS($B$2:$B$24, "*Dessecante pre-plantio*", $C$2:$C$24, "*2,4-D*")</f>
        <v>4</v>
      </c>
      <c r="C35" s="2">
        <f t="shared" si="1"/>
        <v>30.76923076923077</v>
      </c>
    </row>
    <row r="36" spans="1:3" x14ac:dyDescent="0.2">
      <c r="A36" t="s">
        <v>47</v>
      </c>
      <c r="B36">
        <f>COUNTIFS($B$2:$B$24, "*Dessecante pre-plantio*", $C$2:$C$24, "*CLOMAZONE*")</f>
        <v>1</v>
      </c>
      <c r="C36" s="2">
        <f t="shared" si="1"/>
        <v>7.6923076923076925</v>
      </c>
    </row>
    <row r="37" spans="1:3" x14ac:dyDescent="0.2">
      <c r="A37" t="s">
        <v>48</v>
      </c>
      <c r="B37">
        <f>COUNTIFS($B$2:$B$24, "*Dessecante pre-plantio*", $C$2:$C$24, "*carfentrazone*")</f>
        <v>3</v>
      </c>
      <c r="C37" s="2">
        <f t="shared" si="1"/>
        <v>23.076923076923077</v>
      </c>
    </row>
    <row r="38" spans="1:3" x14ac:dyDescent="0.2">
      <c r="A38" t="s">
        <v>49</v>
      </c>
      <c r="B38">
        <f>COUNTIFS($B$2:$B$24, "*Dessecante pre-plantio*", $C$2:$C$24, "*paraquat*")</f>
        <v>2</v>
      </c>
      <c r="C38" s="2">
        <f t="shared" si="1"/>
        <v>15.384615384615385</v>
      </c>
    </row>
    <row r="39" spans="1:3" x14ac:dyDescent="0.2">
      <c r="A39" t="s">
        <v>50</v>
      </c>
      <c r="B39">
        <f>COUNTIFS($B$2:$B$24, "*Dessecante pre-plantio*", $C$2:$C$24, "*flumiclorac*")</f>
        <v>1</v>
      </c>
      <c r="C39" s="2">
        <f t="shared" si="1"/>
        <v>7.6923076923076925</v>
      </c>
    </row>
    <row r="40" spans="1:3" x14ac:dyDescent="0.2">
      <c r="A40" t="s">
        <v>38</v>
      </c>
      <c r="B40">
        <f>COUNTIFS($B$2:$B$24, "*Dessecante pre-plantio*", $C$2:$C$24, "**")</f>
        <v>13</v>
      </c>
    </row>
    <row r="41" spans="1:3" x14ac:dyDescent="0.2">
      <c r="A41" s="3" t="s">
        <v>17</v>
      </c>
      <c r="B41" s="3"/>
      <c r="C41" s="3"/>
    </row>
    <row r="42" spans="1:3" x14ac:dyDescent="0.2">
      <c r="A42" t="s">
        <v>56</v>
      </c>
      <c r="B42">
        <f>COUNTIFS($D$2:$D$24, "*s-metolachlor*")</f>
        <v>3</v>
      </c>
      <c r="C42" s="2">
        <f t="shared" ref="C42:C50" si="2">(B42/$B$51)*100</f>
        <v>33.333333333333329</v>
      </c>
    </row>
    <row r="43" spans="1:3" x14ac:dyDescent="0.2">
      <c r="A43" t="s">
        <v>57</v>
      </c>
      <c r="B43">
        <f>COUNTIFS($D$2:$D$24, "*trifluralina*")</f>
        <v>5</v>
      </c>
      <c r="C43" s="2">
        <f t="shared" si="2"/>
        <v>55.555555555555557</v>
      </c>
    </row>
    <row r="44" spans="1:3" x14ac:dyDescent="0.2">
      <c r="A44" t="s">
        <v>47</v>
      </c>
      <c r="B44">
        <f>COUNTIFS($D$2:$D$24, "*clomazone*")</f>
        <v>4</v>
      </c>
      <c r="C44" s="2">
        <f t="shared" si="2"/>
        <v>44.444444444444443</v>
      </c>
    </row>
    <row r="45" spans="1:3" x14ac:dyDescent="0.2">
      <c r="A45" t="s">
        <v>63</v>
      </c>
      <c r="B45">
        <f>COUNTIFS($D$2:$D$24, "*pedimenthalin*")</f>
        <v>1</v>
      </c>
      <c r="C45" s="2">
        <f t="shared" si="2"/>
        <v>11.111111111111111</v>
      </c>
    </row>
    <row r="46" spans="1:3" x14ac:dyDescent="0.2">
      <c r="A46" t="s">
        <v>58</v>
      </c>
      <c r="B46">
        <f>COUNTIFS($D$2:$D$24, "*diuron*")</f>
        <v>2</v>
      </c>
      <c r="C46" s="2">
        <f t="shared" si="2"/>
        <v>22.222222222222221</v>
      </c>
    </row>
    <row r="47" spans="1:3" x14ac:dyDescent="0.2">
      <c r="A47" t="s">
        <v>59</v>
      </c>
      <c r="B47">
        <f>COUNTIFS($D$2:$D$24, "*prometrina*")</f>
        <v>1</v>
      </c>
      <c r="C47" s="2">
        <f t="shared" si="2"/>
        <v>11.111111111111111</v>
      </c>
    </row>
    <row r="48" spans="1:3" x14ac:dyDescent="0.2">
      <c r="A48" t="s">
        <v>60</v>
      </c>
      <c r="B48">
        <f>COUNTIFS($D$2:$D$24, "*alachlor*")</f>
        <v>1</v>
      </c>
      <c r="C48" s="2">
        <f t="shared" si="2"/>
        <v>11.111111111111111</v>
      </c>
    </row>
    <row r="49" spans="1:3" x14ac:dyDescent="0.2">
      <c r="A49" t="s">
        <v>61</v>
      </c>
      <c r="B49">
        <f>COUNTIFS($D$2:$D$24, "*trifloxulfuton*")</f>
        <v>1</v>
      </c>
      <c r="C49" s="2">
        <f t="shared" si="2"/>
        <v>11.111111111111111</v>
      </c>
    </row>
    <row r="50" spans="1:3" x14ac:dyDescent="0.2">
      <c r="A50" t="s">
        <v>426</v>
      </c>
      <c r="B50">
        <f>COUNTIFS($D$2:$D$24, "*piritiobaque*")</f>
        <v>1</v>
      </c>
      <c r="C50" s="2">
        <f t="shared" si="2"/>
        <v>11.111111111111111</v>
      </c>
    </row>
    <row r="51" spans="1:3" x14ac:dyDescent="0.2">
      <c r="A51" t="s">
        <v>38</v>
      </c>
      <c r="B51">
        <f>COUNTIFS($D$2:$D$24, "**")</f>
        <v>9</v>
      </c>
    </row>
    <row r="52" spans="1:3" x14ac:dyDescent="0.2">
      <c r="A52" s="3" t="s">
        <v>15</v>
      </c>
      <c r="B52" s="3"/>
      <c r="C52" s="3"/>
    </row>
    <row r="53" spans="1:3" x14ac:dyDescent="0.2">
      <c r="A53" t="s">
        <v>74</v>
      </c>
      <c r="B53">
        <f>COUNTIFS($E$2:$E$24, "*glifosato*")</f>
        <v>6</v>
      </c>
      <c r="C53" s="2">
        <f>(B53/$B$63)*100</f>
        <v>54.54545454545454</v>
      </c>
    </row>
    <row r="54" spans="1:3" x14ac:dyDescent="0.2">
      <c r="A54" t="s">
        <v>75</v>
      </c>
      <c r="B54">
        <f>COUNTIFS($E$2:$E$24, "*glufosinato*")</f>
        <v>7</v>
      </c>
      <c r="C54" s="2">
        <f t="shared" ref="C54:C62" si="3">(B54/$B$63)*100</f>
        <v>63.636363636363633</v>
      </c>
    </row>
    <row r="55" spans="1:3" x14ac:dyDescent="0.2">
      <c r="A55" t="s">
        <v>19</v>
      </c>
      <c r="B55">
        <f>COUNTIFS($E$2:$E$24, "*atrazine*")</f>
        <v>2</v>
      </c>
      <c r="C55" s="2">
        <f t="shared" si="3"/>
        <v>18.181818181818183</v>
      </c>
    </row>
    <row r="56" spans="1:3" x14ac:dyDescent="0.2">
      <c r="A56" t="s">
        <v>76</v>
      </c>
      <c r="B56">
        <f>COUNTIFS($E$2:$E$24, "*clethodim*")</f>
        <v>2</v>
      </c>
      <c r="C56" s="2">
        <f t="shared" si="3"/>
        <v>18.181818181818183</v>
      </c>
    </row>
    <row r="57" spans="1:3" x14ac:dyDescent="0.2">
      <c r="A57" t="s">
        <v>78</v>
      </c>
      <c r="B57">
        <f>COUNTIFS($E$2:$E$24, "*sethoxodin*")</f>
        <v>1</v>
      </c>
      <c r="C57" s="2">
        <f t="shared" si="3"/>
        <v>9.0909090909090917</v>
      </c>
    </row>
    <row r="58" spans="1:3" x14ac:dyDescent="0.2">
      <c r="A58" t="s">
        <v>79</v>
      </c>
      <c r="B58">
        <f>COUNTIFS($E$2:$E$24, "*Haloxifop*")</f>
        <v>2</v>
      </c>
      <c r="C58" s="2">
        <f t="shared" si="3"/>
        <v>18.181818181818183</v>
      </c>
    </row>
    <row r="59" spans="1:3" x14ac:dyDescent="0.2">
      <c r="A59" t="s">
        <v>80</v>
      </c>
      <c r="B59">
        <f>COUNTIFS($E$2:$E$24, "*bispiribac*")</f>
        <v>1</v>
      </c>
      <c r="C59" s="2">
        <f t="shared" si="3"/>
        <v>9.0909090909090917</v>
      </c>
    </row>
    <row r="60" spans="1:3" x14ac:dyDescent="0.2">
      <c r="A60" t="s">
        <v>81</v>
      </c>
      <c r="B60">
        <f>COUNTIFS($E$2:$E$24, "*fluazifop*")</f>
        <v>1</v>
      </c>
      <c r="C60" s="2">
        <f t="shared" si="3"/>
        <v>9.0909090909090917</v>
      </c>
    </row>
    <row r="61" spans="1:3" x14ac:dyDescent="0.2">
      <c r="A61" t="s">
        <v>82</v>
      </c>
      <c r="B61">
        <f>COUNTIFS($E$2:$E$24, "*propaquizafop*")</f>
        <v>1</v>
      </c>
      <c r="C61" s="2">
        <f t="shared" si="3"/>
        <v>9.0909090909090917</v>
      </c>
    </row>
    <row r="62" spans="1:3" x14ac:dyDescent="0.2">
      <c r="A62" t="s">
        <v>61</v>
      </c>
      <c r="B62">
        <f>COUNTIFS($E$2:$E$24, "*trifloxulfuron*")</f>
        <v>1</v>
      </c>
      <c r="C62" s="2">
        <f t="shared" si="3"/>
        <v>9.0909090909090917</v>
      </c>
    </row>
    <row r="63" spans="1:3" x14ac:dyDescent="0.2">
      <c r="A63" t="s">
        <v>38</v>
      </c>
      <c r="B63">
        <f>COUNTIFS($E$2:$E$24, "**")</f>
        <v>11</v>
      </c>
      <c r="C63" s="2"/>
    </row>
    <row r="64" spans="1:3" x14ac:dyDescent="0.2">
      <c r="A64" s="3" t="s">
        <v>84</v>
      </c>
      <c r="B64" s="3"/>
      <c r="C64" s="3"/>
    </row>
    <row r="65" spans="1:5" x14ac:dyDescent="0.2">
      <c r="A65" t="s">
        <v>85</v>
      </c>
      <c r="B65">
        <f>COUNTIFS($F$2:$F$24, "*diuron*")</f>
        <v>2</v>
      </c>
      <c r="C65" s="2">
        <f>(B65/$B$71)*100</f>
        <v>50</v>
      </c>
    </row>
    <row r="66" spans="1:5" x14ac:dyDescent="0.2">
      <c r="A66" t="s">
        <v>11</v>
      </c>
      <c r="B66">
        <f>COUNTIFS($F$2:$F$24, "*paraquat*")</f>
        <v>1</v>
      </c>
      <c r="C66" s="2">
        <f t="shared" ref="C66:C70" si="4">(B66/$B$71)*100</f>
        <v>25</v>
      </c>
    </row>
    <row r="67" spans="1:5" x14ac:dyDescent="0.2">
      <c r="A67" t="s">
        <v>86</v>
      </c>
      <c r="B67">
        <f>COUNTIFS($F$2:$F$24, "*tiadizurom*")</f>
        <v>2</v>
      </c>
      <c r="C67" s="2">
        <f t="shared" si="4"/>
        <v>50</v>
      </c>
    </row>
    <row r="68" spans="1:5" x14ac:dyDescent="0.2">
      <c r="A68" t="s">
        <v>87</v>
      </c>
      <c r="B68">
        <f>COUNTIFS($F$2:$F$24, "*etefon*")</f>
        <v>1</v>
      </c>
      <c r="C68" s="2">
        <f t="shared" si="4"/>
        <v>25</v>
      </c>
    </row>
    <row r="69" spans="1:5" x14ac:dyDescent="0.2">
      <c r="A69" t="s">
        <v>88</v>
      </c>
      <c r="B69">
        <f>COUNTIFS($F$2:$F$24, "*ciclanilida*")</f>
        <v>1</v>
      </c>
      <c r="C69" s="2">
        <f t="shared" si="4"/>
        <v>25</v>
      </c>
    </row>
    <row r="70" spans="1:5" x14ac:dyDescent="0.2">
      <c r="A70" t="s">
        <v>72</v>
      </c>
      <c r="B70">
        <f>COUNTIFS($F$2:$F$24, "*chlormequat*")</f>
        <v>1</v>
      </c>
      <c r="C70" s="2">
        <f t="shared" si="4"/>
        <v>25</v>
      </c>
    </row>
    <row r="71" spans="1:5" x14ac:dyDescent="0.2">
      <c r="A71" t="s">
        <v>38</v>
      </c>
      <c r="B71">
        <f>COUNTIFS($F$2:$F$24, "**")</f>
        <v>4</v>
      </c>
    </row>
    <row r="72" spans="1:5" x14ac:dyDescent="0.2">
      <c r="A72" s="5" t="s">
        <v>89</v>
      </c>
      <c r="B72" s="5" t="s">
        <v>90</v>
      </c>
      <c r="C72" s="5" t="s">
        <v>91</v>
      </c>
      <c r="D72" s="5" t="s">
        <v>92</v>
      </c>
      <c r="E72" s="5" t="s">
        <v>93</v>
      </c>
    </row>
    <row r="73" spans="1:5" x14ac:dyDescent="0.2">
      <c r="A73" t="s">
        <v>14</v>
      </c>
      <c r="B73" s="1"/>
    </row>
    <row r="74" spans="1:5" x14ac:dyDescent="0.2">
      <c r="A74" t="s">
        <v>14</v>
      </c>
      <c r="B74" s="1"/>
    </row>
    <row r="75" spans="1:5" x14ac:dyDescent="0.2">
      <c r="A75" t="s">
        <v>14</v>
      </c>
      <c r="B75" s="1" t="s">
        <v>102</v>
      </c>
      <c r="C75" t="s">
        <v>101</v>
      </c>
      <c r="D75" t="s">
        <v>106</v>
      </c>
    </row>
    <row r="76" spans="1:5" x14ac:dyDescent="0.2">
      <c r="A76" t="s">
        <v>14</v>
      </c>
      <c r="B76" s="1" t="s">
        <v>102</v>
      </c>
      <c r="C76" t="s">
        <v>20</v>
      </c>
      <c r="D76" t="s">
        <v>114</v>
      </c>
    </row>
    <row r="77" spans="1:5" x14ac:dyDescent="0.2">
      <c r="A77" t="s">
        <v>12</v>
      </c>
      <c r="B77" s="1" t="s">
        <v>18</v>
      </c>
      <c r="D77" t="s">
        <v>94</v>
      </c>
    </row>
    <row r="78" spans="1:5" x14ac:dyDescent="0.2">
      <c r="A78" t="s">
        <v>12</v>
      </c>
      <c r="B78" s="1" t="s">
        <v>18</v>
      </c>
      <c r="D78" t="s">
        <v>133</v>
      </c>
    </row>
    <row r="79" spans="1:5" x14ac:dyDescent="0.2">
      <c r="A79" t="s">
        <v>14</v>
      </c>
      <c r="B79" s="1"/>
      <c r="C79" t="s">
        <v>95</v>
      </c>
      <c r="D79" t="s">
        <v>106</v>
      </c>
    </row>
    <row r="80" spans="1:5" x14ac:dyDescent="0.2">
      <c r="A80" t="s">
        <v>14</v>
      </c>
      <c r="B80" s="1" t="s">
        <v>18</v>
      </c>
      <c r="C80" t="s">
        <v>95</v>
      </c>
      <c r="D80" t="s">
        <v>106</v>
      </c>
    </row>
    <row r="81" spans="1:4" x14ac:dyDescent="0.2">
      <c r="A81" t="s">
        <v>12</v>
      </c>
      <c r="B81" s="1" t="s">
        <v>74</v>
      </c>
      <c r="D81" s="6" t="s">
        <v>110</v>
      </c>
    </row>
    <row r="82" spans="1:4" x14ac:dyDescent="0.2">
      <c r="A82" t="s">
        <v>14</v>
      </c>
      <c r="B82" s="1" t="s">
        <v>10</v>
      </c>
      <c r="C82" t="s">
        <v>95</v>
      </c>
      <c r="D82" t="s">
        <v>107</v>
      </c>
    </row>
    <row r="83" spans="1:4" x14ac:dyDescent="0.2">
      <c r="A83" t="s">
        <v>14</v>
      </c>
      <c r="B83" s="1"/>
    </row>
    <row r="84" spans="1:4" x14ac:dyDescent="0.2">
      <c r="A84" t="s">
        <v>14</v>
      </c>
      <c r="B84" s="1" t="s">
        <v>18</v>
      </c>
      <c r="D84" t="s">
        <v>117</v>
      </c>
    </row>
    <row r="85" spans="1:4" x14ac:dyDescent="0.2">
      <c r="A85" t="s">
        <v>14</v>
      </c>
      <c r="B85" s="1" t="s">
        <v>74</v>
      </c>
      <c r="C85" t="s">
        <v>95</v>
      </c>
    </row>
    <row r="86" spans="1:4" x14ac:dyDescent="0.2">
      <c r="A86" t="s">
        <v>14</v>
      </c>
      <c r="B86" s="1"/>
    </row>
    <row r="87" spans="1:4" x14ac:dyDescent="0.2">
      <c r="A87" t="s">
        <v>15</v>
      </c>
      <c r="B87" s="1"/>
      <c r="D87" t="s">
        <v>111</v>
      </c>
    </row>
    <row r="88" spans="1:4" x14ac:dyDescent="0.2">
      <c r="A88" t="s">
        <v>14</v>
      </c>
      <c r="B88" s="1" t="s">
        <v>18</v>
      </c>
      <c r="C88" t="s">
        <v>122</v>
      </c>
      <c r="D88" t="s">
        <v>116</v>
      </c>
    </row>
    <row r="89" spans="1:4" x14ac:dyDescent="0.2">
      <c r="A89" t="s">
        <v>14</v>
      </c>
      <c r="B89" s="1"/>
      <c r="D89" t="s">
        <v>115</v>
      </c>
    </row>
    <row r="90" spans="1:4" x14ac:dyDescent="0.2">
      <c r="A90" t="s">
        <v>7</v>
      </c>
      <c r="B90" s="1"/>
    </row>
    <row r="91" spans="1:4" x14ac:dyDescent="0.2">
      <c r="A91" t="s">
        <v>96</v>
      </c>
      <c r="B91" s="1"/>
      <c r="C91" t="s">
        <v>124</v>
      </c>
      <c r="D91" t="s">
        <v>97</v>
      </c>
    </row>
    <row r="92" spans="1:4" x14ac:dyDescent="0.2">
      <c r="A92" t="s">
        <v>14</v>
      </c>
      <c r="B92" s="1" t="s">
        <v>51</v>
      </c>
      <c r="C92" t="s">
        <v>98</v>
      </c>
      <c r="D92" t="s">
        <v>46</v>
      </c>
    </row>
    <row r="93" spans="1:4" x14ac:dyDescent="0.2">
      <c r="A93" t="s">
        <v>14</v>
      </c>
      <c r="B93" s="1" t="s">
        <v>103</v>
      </c>
      <c r="C93" t="s">
        <v>126</v>
      </c>
      <c r="D93" t="s">
        <v>118</v>
      </c>
    </row>
    <row r="94" spans="1:4" x14ac:dyDescent="0.2">
      <c r="A94" t="s">
        <v>14</v>
      </c>
      <c r="B94" s="1" t="s">
        <v>74</v>
      </c>
      <c r="C94" t="s">
        <v>121</v>
      </c>
      <c r="D94" t="s">
        <v>106</v>
      </c>
    </row>
    <row r="95" spans="1:4" x14ac:dyDescent="0.2">
      <c r="A95" t="s">
        <v>14</v>
      </c>
      <c r="B95" s="1" t="s">
        <v>18</v>
      </c>
      <c r="C95" t="s">
        <v>95</v>
      </c>
      <c r="D95" t="s">
        <v>113</v>
      </c>
    </row>
    <row r="96" spans="1:4" x14ac:dyDescent="0.2">
      <c r="A96" t="s">
        <v>17</v>
      </c>
      <c r="B96" s="1"/>
    </row>
    <row r="97" spans="1:4" x14ac:dyDescent="0.2">
      <c r="A97" t="s">
        <v>12</v>
      </c>
      <c r="B97" s="1"/>
    </row>
    <row r="98" spans="1:4" x14ac:dyDescent="0.2">
      <c r="A98" t="s">
        <v>96</v>
      </c>
      <c r="B98" s="1"/>
      <c r="C98" t="s">
        <v>125</v>
      </c>
      <c r="D98" t="s">
        <v>18</v>
      </c>
    </row>
    <row r="99" spans="1:4" x14ac:dyDescent="0.2">
      <c r="A99" t="s">
        <v>12</v>
      </c>
      <c r="B99" s="1" t="s">
        <v>18</v>
      </c>
      <c r="D99" t="s">
        <v>99</v>
      </c>
    </row>
    <row r="100" spans="1:4" x14ac:dyDescent="0.2">
      <c r="A100" t="s">
        <v>14</v>
      </c>
      <c r="B100" s="1"/>
    </row>
    <row r="101" spans="1:4" x14ac:dyDescent="0.2">
      <c r="A101" t="s">
        <v>14</v>
      </c>
      <c r="B101" s="1" t="s">
        <v>18</v>
      </c>
      <c r="C101" t="s">
        <v>95</v>
      </c>
      <c r="D101" t="s">
        <v>138</v>
      </c>
    </row>
    <row r="102" spans="1:4" x14ac:dyDescent="0.2">
      <c r="A102" t="s">
        <v>7</v>
      </c>
      <c r="B102" s="1"/>
    </row>
    <row r="103" spans="1:4" x14ac:dyDescent="0.2">
      <c r="A103" t="s">
        <v>14</v>
      </c>
      <c r="B103" s="1" t="s">
        <v>18</v>
      </c>
      <c r="C103" t="s">
        <v>95</v>
      </c>
      <c r="D103" t="s">
        <v>108</v>
      </c>
    </row>
    <row r="104" spans="1:4" x14ac:dyDescent="0.2">
      <c r="A104" t="s">
        <v>5</v>
      </c>
      <c r="B104" s="1" t="s">
        <v>102</v>
      </c>
      <c r="C104" t="s">
        <v>95</v>
      </c>
      <c r="D104" t="s">
        <v>106</v>
      </c>
    </row>
    <row r="105" spans="1:4" x14ac:dyDescent="0.2">
      <c r="A105" t="s">
        <v>14</v>
      </c>
      <c r="B105" s="1" t="s">
        <v>120</v>
      </c>
      <c r="C105" t="s">
        <v>95</v>
      </c>
      <c r="D105" t="s">
        <v>137</v>
      </c>
    </row>
    <row r="106" spans="1:4" x14ac:dyDescent="0.2">
      <c r="A106" t="s">
        <v>14</v>
      </c>
      <c r="B106" s="1" t="s">
        <v>10</v>
      </c>
      <c r="D106" t="s">
        <v>112</v>
      </c>
    </row>
    <row r="107" spans="1:4" x14ac:dyDescent="0.2">
      <c r="A107" t="s">
        <v>12</v>
      </c>
      <c r="B107" s="1" t="s">
        <v>104</v>
      </c>
      <c r="D107" t="s">
        <v>105</v>
      </c>
    </row>
    <row r="108" spans="1:4" x14ac:dyDescent="0.2">
      <c r="A108" t="s">
        <v>12</v>
      </c>
      <c r="B108" s="1" t="s">
        <v>10</v>
      </c>
      <c r="D108" t="s">
        <v>95</v>
      </c>
    </row>
    <row r="109" spans="1:4" x14ac:dyDescent="0.2">
      <c r="A109" t="s">
        <v>14</v>
      </c>
      <c r="B109" s="1"/>
    </row>
    <row r="110" spans="1:4" x14ac:dyDescent="0.2">
      <c r="A110" t="s">
        <v>14</v>
      </c>
      <c r="B110" s="1"/>
    </row>
    <row r="111" spans="1:4" x14ac:dyDescent="0.2">
      <c r="A111" t="s">
        <v>14</v>
      </c>
      <c r="B111" s="1"/>
    </row>
    <row r="112" spans="1:4" x14ac:dyDescent="0.2">
      <c r="A112" t="s">
        <v>14</v>
      </c>
      <c r="B112" s="1"/>
    </row>
    <row r="113" spans="1:4" x14ac:dyDescent="0.2">
      <c r="A113" t="s">
        <v>14</v>
      </c>
      <c r="B113" s="1" t="s">
        <v>74</v>
      </c>
      <c r="C113" t="s">
        <v>95</v>
      </c>
      <c r="D113" t="s">
        <v>106</v>
      </c>
    </row>
    <row r="114" spans="1:4" x14ac:dyDescent="0.2">
      <c r="A114" t="s">
        <v>12</v>
      </c>
      <c r="B114" s="1" t="s">
        <v>100</v>
      </c>
      <c r="D114" t="s">
        <v>106</v>
      </c>
    </row>
    <row r="115" spans="1:4" x14ac:dyDescent="0.2">
      <c r="A115" t="s">
        <v>14</v>
      </c>
      <c r="B115" s="1" t="s">
        <v>18</v>
      </c>
      <c r="C115" t="s">
        <v>95</v>
      </c>
      <c r="D115" t="s">
        <v>109</v>
      </c>
    </row>
    <row r="116" spans="1:4" x14ac:dyDescent="0.2">
      <c r="A116" t="s">
        <v>14</v>
      </c>
      <c r="B116" s="1" t="s">
        <v>18</v>
      </c>
      <c r="C116" t="s">
        <v>95</v>
      </c>
      <c r="D116" t="s">
        <v>106</v>
      </c>
    </row>
    <row r="117" spans="1:4" x14ac:dyDescent="0.2">
      <c r="A117" t="s">
        <v>14</v>
      </c>
      <c r="B117" s="1" t="s">
        <v>10</v>
      </c>
      <c r="C117" t="s">
        <v>95</v>
      </c>
      <c r="D117" t="s">
        <v>106</v>
      </c>
    </row>
    <row r="118" spans="1:4" x14ac:dyDescent="0.2">
      <c r="A118" s="4" t="s">
        <v>119</v>
      </c>
      <c r="B118" s="4"/>
      <c r="C118" s="4"/>
    </row>
    <row r="119" spans="1:4" x14ac:dyDescent="0.2">
      <c r="A119" t="s">
        <v>35</v>
      </c>
      <c r="B119">
        <f>COUNTIFS($A$73:$A$117, "*Dessecante pre-plantio*")</f>
        <v>41</v>
      </c>
      <c r="C119" s="2">
        <f>(B119/$B$123)*100</f>
        <v>91.111111111111114</v>
      </c>
    </row>
    <row r="120" spans="1:4" x14ac:dyDescent="0.2">
      <c r="A120" t="s">
        <v>17</v>
      </c>
      <c r="B120">
        <f>COUNTIFS($A$73:$A$117, "*Pre-emergente*")</f>
        <v>34</v>
      </c>
      <c r="C120" s="2">
        <f t="shared" ref="C120:C122" si="5">(B120/$B$123)*100</f>
        <v>75.555555555555557</v>
      </c>
    </row>
    <row r="121" spans="1:4" x14ac:dyDescent="0.2">
      <c r="A121" t="s">
        <v>15</v>
      </c>
      <c r="B121">
        <f>COUNTIFS($A$73:$A$117, "*Pos-emergente*")</f>
        <v>42</v>
      </c>
      <c r="C121" s="2">
        <f t="shared" si="5"/>
        <v>93.333333333333329</v>
      </c>
    </row>
    <row r="122" spans="1:4" x14ac:dyDescent="0.2">
      <c r="A122" t="s">
        <v>36</v>
      </c>
      <c r="B122">
        <f>COUNTIFS($A$73:$A$117, "*Dessecante pre-colheita*")</f>
        <v>1</v>
      </c>
      <c r="C122" s="2">
        <f t="shared" si="5"/>
        <v>2.2222222222222223</v>
      </c>
    </row>
    <row r="123" spans="1:4" x14ac:dyDescent="0.2">
      <c r="A123" t="s">
        <v>38</v>
      </c>
      <c r="B123">
        <f>COUNTIFS($A$73:$A$117, "**")</f>
        <v>45</v>
      </c>
    </row>
    <row r="124" spans="1:4" x14ac:dyDescent="0.2">
      <c r="A124" s="3" t="s">
        <v>35</v>
      </c>
      <c r="B124" s="3"/>
      <c r="C124" s="3"/>
    </row>
    <row r="125" spans="1:4" x14ac:dyDescent="0.2">
      <c r="A125" t="s">
        <v>44</v>
      </c>
      <c r="B125">
        <f>COUNTIFS($B$73:$B$117, "*glifosato*")</f>
        <v>25</v>
      </c>
      <c r="C125" s="2">
        <f>(B125/$B$128)*100</f>
        <v>92.592592592592595</v>
      </c>
    </row>
    <row r="126" spans="1:4" x14ac:dyDescent="0.2">
      <c r="A126" t="s">
        <v>46</v>
      </c>
      <c r="B126">
        <f>COUNTIFS($B$73:$B$117, "*2,4-d*")</f>
        <v>5</v>
      </c>
      <c r="C126" s="2">
        <f t="shared" ref="C126:C127" si="6">(B126/$B$128)*100</f>
        <v>18.518518518518519</v>
      </c>
    </row>
    <row r="127" spans="1:4" x14ac:dyDescent="0.2">
      <c r="A127" t="s">
        <v>49</v>
      </c>
      <c r="B127">
        <f>COUNTIFS($B$73:$B$117, "*paraquat*")</f>
        <v>2</v>
      </c>
      <c r="C127" s="2">
        <f t="shared" si="6"/>
        <v>7.4074074074074066</v>
      </c>
    </row>
    <row r="128" spans="1:4" x14ac:dyDescent="0.2">
      <c r="A128" t="s">
        <v>38</v>
      </c>
      <c r="B128">
        <f>COUNTIFS($B$73:$B$117, "**")</f>
        <v>27</v>
      </c>
    </row>
    <row r="129" spans="1:3" x14ac:dyDescent="0.2">
      <c r="A129" s="3" t="s">
        <v>17</v>
      </c>
      <c r="B129" s="3"/>
      <c r="C129" s="3"/>
    </row>
    <row r="130" spans="1:3" x14ac:dyDescent="0.2">
      <c r="A130" t="s">
        <v>56</v>
      </c>
      <c r="B130">
        <f>COUNTIFS($C$73:$C$117, "*s-metolachlor*")</f>
        <v>1</v>
      </c>
      <c r="C130" s="2">
        <f>(B130/$B$138)*100</f>
        <v>4.7619047619047619</v>
      </c>
    </row>
    <row r="131" spans="1:3" x14ac:dyDescent="0.2">
      <c r="A131" t="s">
        <v>123</v>
      </c>
      <c r="B131">
        <f>COUNTIFS($C$73:$C$117, "*Oxifluorfen*")</f>
        <v>2</v>
      </c>
      <c r="C131" s="2">
        <f t="shared" ref="C131:C137" si="7">(B131/$B$138)*100</f>
        <v>9.5238095238095237</v>
      </c>
    </row>
    <row r="132" spans="1:3" x14ac:dyDescent="0.2">
      <c r="A132" t="s">
        <v>47</v>
      </c>
      <c r="B132">
        <f>COUNTIFS($C$73:$C$117, "*clomazone*")</f>
        <v>16</v>
      </c>
      <c r="C132" s="2">
        <f t="shared" si="7"/>
        <v>76.19047619047619</v>
      </c>
    </row>
    <row r="133" spans="1:3" x14ac:dyDescent="0.2">
      <c r="A133" t="s">
        <v>63</v>
      </c>
      <c r="B133">
        <f>COUNTIFS($C$73:$C$117, "*pendimethalin*")</f>
        <v>1</v>
      </c>
      <c r="C133" s="2">
        <f t="shared" si="7"/>
        <v>4.7619047619047619</v>
      </c>
    </row>
    <row r="134" spans="1:3" x14ac:dyDescent="0.2">
      <c r="A134" t="s">
        <v>127</v>
      </c>
      <c r="B134">
        <f>COUNTIFS($C$73:$C$117, "*oxadiazon*")</f>
        <v>2</v>
      </c>
      <c r="C134" s="2">
        <f t="shared" si="7"/>
        <v>9.5238095238095237</v>
      </c>
    </row>
    <row r="135" spans="1:3" x14ac:dyDescent="0.2">
      <c r="A135" t="s">
        <v>128</v>
      </c>
      <c r="B135">
        <f>COUNTIFS($C$73:$C$117, "*imazapir*")</f>
        <v>1</v>
      </c>
      <c r="C135" s="2">
        <f t="shared" si="7"/>
        <v>4.7619047619047619</v>
      </c>
    </row>
    <row r="136" spans="1:3" x14ac:dyDescent="0.2">
      <c r="A136" t="s">
        <v>129</v>
      </c>
      <c r="B136">
        <f>COUNTIFS($C$73:$C$117, "*imazapic*")</f>
        <v>1</v>
      </c>
      <c r="C136" s="2">
        <f t="shared" si="7"/>
        <v>4.7619047619047619</v>
      </c>
    </row>
    <row r="137" spans="1:3" x14ac:dyDescent="0.2">
      <c r="A137" t="s">
        <v>57</v>
      </c>
      <c r="B137">
        <f>COUNTIFS($C$73:$C$117, "*trifluralina*")</f>
        <v>1</v>
      </c>
      <c r="C137" s="2">
        <f t="shared" si="7"/>
        <v>4.7619047619047619</v>
      </c>
    </row>
    <row r="138" spans="1:3" x14ac:dyDescent="0.2">
      <c r="A138" t="s">
        <v>38</v>
      </c>
      <c r="B138">
        <f>COUNTIFS($C$73:$C$117, "**")</f>
        <v>21</v>
      </c>
      <c r="C138" s="2"/>
    </row>
    <row r="139" spans="1:3" x14ac:dyDescent="0.2">
      <c r="A139" s="3" t="s">
        <v>15</v>
      </c>
      <c r="B139" s="3"/>
      <c r="C139" s="3"/>
    </row>
    <row r="140" spans="1:3" x14ac:dyDescent="0.2">
      <c r="A140" t="s">
        <v>74</v>
      </c>
      <c r="B140">
        <f>COUNTIFS($D$73:$D$117, "*glifosato*")</f>
        <v>1</v>
      </c>
      <c r="C140" s="2">
        <f>(B140/$B$156)*100</f>
        <v>3.225806451612903</v>
      </c>
    </row>
    <row r="141" spans="1:3" x14ac:dyDescent="0.2">
      <c r="A141" t="s">
        <v>46</v>
      </c>
      <c r="B141">
        <f>COUNTIFS($D$73:$D$117, "*2,4-D*")</f>
        <v>2</v>
      </c>
      <c r="C141" s="2">
        <f t="shared" ref="C141:C155" si="8">(B141/$B$156)*100</f>
        <v>6.4516129032258061</v>
      </c>
    </row>
    <row r="142" spans="1:3" x14ac:dyDescent="0.2">
      <c r="A142" t="s">
        <v>128</v>
      </c>
      <c r="B142">
        <f>COUNTIFS($D$73:$D$117, "*imazapir*")</f>
        <v>20</v>
      </c>
      <c r="C142" s="2">
        <f t="shared" si="8"/>
        <v>64.516129032258064</v>
      </c>
    </row>
    <row r="143" spans="1:3" x14ac:dyDescent="0.2">
      <c r="A143" t="s">
        <v>129</v>
      </c>
      <c r="B143">
        <f>COUNTIFS($D$73:$D$117, "*imazapic*")</f>
        <v>20</v>
      </c>
      <c r="C143" s="2">
        <f t="shared" si="8"/>
        <v>64.516129032258064</v>
      </c>
    </row>
    <row r="144" spans="1:3" x14ac:dyDescent="0.2">
      <c r="A144" t="s">
        <v>130</v>
      </c>
      <c r="B144">
        <f>COUNTIFS($D$73:$D$117, "*imazethapyr*")</f>
        <v>6</v>
      </c>
      <c r="C144" s="2">
        <f t="shared" si="8"/>
        <v>19.35483870967742</v>
      </c>
    </row>
    <row r="145" spans="1:4" x14ac:dyDescent="0.2">
      <c r="A145" t="s">
        <v>131</v>
      </c>
      <c r="B145">
        <f>COUNTIFS($D$73:$D$117, "*metsulfuron*")</f>
        <v>3</v>
      </c>
      <c r="C145" s="2">
        <f t="shared" si="8"/>
        <v>9.67741935483871</v>
      </c>
    </row>
    <row r="146" spans="1:4" x14ac:dyDescent="0.2">
      <c r="A146" t="s">
        <v>47</v>
      </c>
      <c r="B146">
        <f>COUNTIFS($D$73:$D$117, "*clomazone*")</f>
        <v>2</v>
      </c>
      <c r="C146" s="2">
        <f t="shared" si="8"/>
        <v>6.4516129032258061</v>
      </c>
    </row>
    <row r="147" spans="1:4" x14ac:dyDescent="0.2">
      <c r="A147" t="s">
        <v>132</v>
      </c>
      <c r="B147">
        <f>COUNTIFS($D$73:$D$117, "*bentazon*")</f>
        <v>4</v>
      </c>
      <c r="C147" s="2">
        <f t="shared" si="8"/>
        <v>12.903225806451612</v>
      </c>
    </row>
    <row r="148" spans="1:4" x14ac:dyDescent="0.2">
      <c r="A148" t="s">
        <v>110</v>
      </c>
      <c r="B148">
        <f>COUNTIFS($D$73:$D$117, "*Bispiribac*")</f>
        <v>5</v>
      </c>
      <c r="C148" s="2">
        <f t="shared" si="8"/>
        <v>16.129032258064516</v>
      </c>
    </row>
    <row r="149" spans="1:4" x14ac:dyDescent="0.2">
      <c r="A149" t="s">
        <v>134</v>
      </c>
      <c r="B149">
        <f>COUNTIFS($D$73:$D$117, "*saflufenacil*")</f>
        <v>2</v>
      </c>
      <c r="C149" s="2">
        <f t="shared" si="8"/>
        <v>6.4516129032258061</v>
      </c>
    </row>
    <row r="150" spans="1:4" x14ac:dyDescent="0.2">
      <c r="A150" t="s">
        <v>135</v>
      </c>
      <c r="B150">
        <f>COUNTIFS($D$73:$D$117, "*propanil*")</f>
        <v>1</v>
      </c>
      <c r="C150" s="2">
        <f t="shared" si="8"/>
        <v>3.225806451612903</v>
      </c>
    </row>
    <row r="151" spans="1:4" x14ac:dyDescent="0.2">
      <c r="A151" t="s">
        <v>136</v>
      </c>
      <c r="B151">
        <f>COUNTIFS($D$73:$D$117, "*diclofop*")</f>
        <v>1</v>
      </c>
      <c r="C151" s="2">
        <f t="shared" si="8"/>
        <v>3.225806451612903</v>
      </c>
    </row>
    <row r="152" spans="1:4" x14ac:dyDescent="0.2">
      <c r="A152" t="s">
        <v>48</v>
      </c>
      <c r="B152">
        <f>COUNTIFS($D$73:$D$117, "*carfentrazone*")</f>
        <v>2</v>
      </c>
      <c r="C152" s="2">
        <f t="shared" si="8"/>
        <v>6.4516129032258061</v>
      </c>
    </row>
    <row r="153" spans="1:4" x14ac:dyDescent="0.2">
      <c r="A153" t="s">
        <v>139</v>
      </c>
      <c r="B153">
        <f>COUNTIFS($D$73:$D$117, "*Cialofop*")</f>
        <v>7</v>
      </c>
      <c r="C153" s="2">
        <f>(B153/$B$156)*100</f>
        <v>22.58064516129032</v>
      </c>
    </row>
    <row r="154" spans="1:4" x14ac:dyDescent="0.2">
      <c r="A154" t="s">
        <v>115</v>
      </c>
      <c r="B154">
        <f>COUNTIFS($D$73:$D$117, "*penoxsulam*")</f>
        <v>4</v>
      </c>
      <c r="C154" s="2">
        <f t="shared" si="8"/>
        <v>12.903225806451612</v>
      </c>
    </row>
    <row r="155" spans="1:4" x14ac:dyDescent="0.2">
      <c r="A155" t="s">
        <v>140</v>
      </c>
      <c r="B155">
        <f>COUNTIFS($D$73:$D$117, "*pirazosulfuron*")</f>
        <v>1</v>
      </c>
      <c r="C155" s="2">
        <f t="shared" si="8"/>
        <v>3.225806451612903</v>
      </c>
    </row>
    <row r="156" spans="1:4" x14ac:dyDescent="0.2">
      <c r="A156" t="s">
        <v>38</v>
      </c>
      <c r="B156">
        <f>COUNTIFS($D$73:$D$117, "**")</f>
        <v>31</v>
      </c>
    </row>
    <row r="157" spans="1:4" x14ac:dyDescent="0.2">
      <c r="A157" s="5" t="s">
        <v>141</v>
      </c>
      <c r="B157" s="5" t="s">
        <v>142</v>
      </c>
      <c r="C157" s="5" t="s">
        <v>143</v>
      </c>
      <c r="D157" s="5" t="s">
        <v>144</v>
      </c>
    </row>
    <row r="158" spans="1:4" x14ac:dyDescent="0.2">
      <c r="A158" t="s">
        <v>5</v>
      </c>
      <c r="B158" t="s">
        <v>179</v>
      </c>
      <c r="C158" t="s">
        <v>175</v>
      </c>
      <c r="D158" t="s">
        <v>237</v>
      </c>
    </row>
    <row r="159" spans="1:4" x14ac:dyDescent="0.2">
      <c r="A159" t="s">
        <v>14</v>
      </c>
      <c r="B159" t="s">
        <v>145</v>
      </c>
      <c r="C159" t="s">
        <v>203</v>
      </c>
      <c r="D159" t="s">
        <v>213</v>
      </c>
    </row>
    <row r="160" spans="1:4" x14ac:dyDescent="0.2">
      <c r="A160" t="s">
        <v>7</v>
      </c>
      <c r="B160" t="s">
        <v>8</v>
      </c>
    </row>
    <row r="161" spans="1:4" x14ac:dyDescent="0.2">
      <c r="A161" t="s">
        <v>12</v>
      </c>
      <c r="B161" t="s">
        <v>178</v>
      </c>
      <c r="D161" t="s">
        <v>229</v>
      </c>
    </row>
    <row r="162" spans="1:4" x14ac:dyDescent="0.2">
      <c r="A162" t="s">
        <v>14</v>
      </c>
      <c r="B162" t="s">
        <v>49</v>
      </c>
      <c r="C162" t="s">
        <v>76</v>
      </c>
      <c r="D162" t="s">
        <v>146</v>
      </c>
    </row>
    <row r="163" spans="1:4" x14ac:dyDescent="0.2">
      <c r="A163" t="s">
        <v>14</v>
      </c>
    </row>
    <row r="164" spans="1:4" x14ac:dyDescent="0.2">
      <c r="A164" t="s">
        <v>12</v>
      </c>
      <c r="B164" t="s">
        <v>429</v>
      </c>
      <c r="D164" t="s">
        <v>19</v>
      </c>
    </row>
    <row r="165" spans="1:4" x14ac:dyDescent="0.2">
      <c r="A165" t="s">
        <v>12</v>
      </c>
      <c r="B165" t="s">
        <v>428</v>
      </c>
      <c r="D165" t="s">
        <v>172</v>
      </c>
    </row>
    <row r="166" spans="1:4" x14ac:dyDescent="0.2">
      <c r="A166" t="s">
        <v>96</v>
      </c>
      <c r="C166" t="s">
        <v>205</v>
      </c>
      <c r="D166" t="s">
        <v>236</v>
      </c>
    </row>
    <row r="167" spans="1:4" x14ac:dyDescent="0.2">
      <c r="A167" t="s">
        <v>14</v>
      </c>
      <c r="B167" t="s">
        <v>10</v>
      </c>
      <c r="C167" t="s">
        <v>19</v>
      </c>
      <c r="D167" t="s">
        <v>235</v>
      </c>
    </row>
    <row r="168" spans="1:4" x14ac:dyDescent="0.2">
      <c r="A168" t="s">
        <v>96</v>
      </c>
    </row>
    <row r="169" spans="1:4" x14ac:dyDescent="0.2">
      <c r="A169" t="s">
        <v>15</v>
      </c>
    </row>
    <row r="170" spans="1:4" x14ac:dyDescent="0.2">
      <c r="A170" t="s">
        <v>12</v>
      </c>
      <c r="B170" t="s">
        <v>74</v>
      </c>
      <c r="D170" t="s">
        <v>148</v>
      </c>
    </row>
    <row r="171" spans="1:4" x14ac:dyDescent="0.2">
      <c r="A171" t="s">
        <v>12</v>
      </c>
      <c r="B171" t="s">
        <v>102</v>
      </c>
      <c r="D171" t="s">
        <v>213</v>
      </c>
    </row>
    <row r="172" spans="1:4" x14ac:dyDescent="0.2">
      <c r="A172" t="s">
        <v>7</v>
      </c>
      <c r="B172" t="s">
        <v>150</v>
      </c>
    </row>
    <row r="173" spans="1:4" x14ac:dyDescent="0.2">
      <c r="A173" t="s">
        <v>14</v>
      </c>
      <c r="B173" t="s">
        <v>49</v>
      </c>
      <c r="C173" t="s">
        <v>19</v>
      </c>
      <c r="D173" t="s">
        <v>215</v>
      </c>
    </row>
    <row r="174" spans="1:4" x14ac:dyDescent="0.2">
      <c r="A174" t="s">
        <v>7</v>
      </c>
      <c r="B174" t="s">
        <v>74</v>
      </c>
    </row>
    <row r="175" spans="1:4" x14ac:dyDescent="0.2">
      <c r="A175" t="s">
        <v>5</v>
      </c>
    </row>
    <row r="176" spans="1:4" x14ac:dyDescent="0.2">
      <c r="A176" t="s">
        <v>12</v>
      </c>
      <c r="B176" t="s">
        <v>102</v>
      </c>
      <c r="D176" t="s">
        <v>234</v>
      </c>
    </row>
    <row r="177" spans="1:4" x14ac:dyDescent="0.2">
      <c r="A177" t="s">
        <v>14</v>
      </c>
      <c r="B177" t="s">
        <v>18</v>
      </c>
      <c r="C177" t="s">
        <v>146</v>
      </c>
      <c r="D177" t="s">
        <v>18</v>
      </c>
    </row>
    <row r="178" spans="1:4" x14ac:dyDescent="0.2">
      <c r="A178" t="s">
        <v>14</v>
      </c>
      <c r="B178" t="s">
        <v>19</v>
      </c>
      <c r="C178" t="s">
        <v>19</v>
      </c>
      <c r="D178" t="s">
        <v>233</v>
      </c>
    </row>
    <row r="179" spans="1:4" x14ac:dyDescent="0.2">
      <c r="A179" t="s">
        <v>7</v>
      </c>
    </row>
    <row r="180" spans="1:4" x14ac:dyDescent="0.2">
      <c r="A180" t="s">
        <v>14</v>
      </c>
    </row>
    <row r="181" spans="1:4" x14ac:dyDescent="0.2">
      <c r="A181" t="s">
        <v>14</v>
      </c>
      <c r="B181" t="s">
        <v>18</v>
      </c>
      <c r="C181" t="s">
        <v>56</v>
      </c>
      <c r="D181" t="s">
        <v>232</v>
      </c>
    </row>
    <row r="182" spans="1:4" x14ac:dyDescent="0.2">
      <c r="A182" t="s">
        <v>12</v>
      </c>
    </row>
    <row r="183" spans="1:4" x14ac:dyDescent="0.2">
      <c r="A183" t="s">
        <v>15</v>
      </c>
    </row>
    <row r="184" spans="1:4" x14ac:dyDescent="0.2">
      <c r="A184" t="s">
        <v>12</v>
      </c>
      <c r="B184" t="s">
        <v>74</v>
      </c>
      <c r="D184" t="s">
        <v>150</v>
      </c>
    </row>
    <row r="185" spans="1:4" x14ac:dyDescent="0.2">
      <c r="A185" t="s">
        <v>12</v>
      </c>
      <c r="B185" t="s">
        <v>178</v>
      </c>
      <c r="D185" t="s">
        <v>152</v>
      </c>
    </row>
    <row r="186" spans="1:4" x14ac:dyDescent="0.2">
      <c r="A186" t="s">
        <v>14</v>
      </c>
      <c r="B186" t="s">
        <v>18</v>
      </c>
      <c r="C186" t="s">
        <v>203</v>
      </c>
      <c r="D186" t="s">
        <v>231</v>
      </c>
    </row>
    <row r="187" spans="1:4" x14ac:dyDescent="0.2">
      <c r="A187" t="s">
        <v>12</v>
      </c>
      <c r="B187" t="s">
        <v>181</v>
      </c>
      <c r="D187" t="s">
        <v>154</v>
      </c>
    </row>
    <row r="188" spans="1:4" x14ac:dyDescent="0.2">
      <c r="A188" t="s">
        <v>15</v>
      </c>
      <c r="D188" t="s">
        <v>18</v>
      </c>
    </row>
    <row r="189" spans="1:4" x14ac:dyDescent="0.2">
      <c r="A189" t="s">
        <v>12</v>
      </c>
      <c r="B189" t="s">
        <v>18</v>
      </c>
      <c r="D189" t="s">
        <v>155</v>
      </c>
    </row>
    <row r="190" spans="1:4" x14ac:dyDescent="0.2">
      <c r="A190" t="s">
        <v>15</v>
      </c>
    </row>
    <row r="191" spans="1:4" x14ac:dyDescent="0.2">
      <c r="A191" t="s">
        <v>12</v>
      </c>
      <c r="B191" t="s">
        <v>18</v>
      </c>
      <c r="D191" t="s">
        <v>19</v>
      </c>
    </row>
    <row r="192" spans="1:4" x14ac:dyDescent="0.2">
      <c r="A192" t="s">
        <v>14</v>
      </c>
    </row>
    <row r="193" spans="1:4" x14ac:dyDescent="0.2">
      <c r="A193" t="s">
        <v>12</v>
      </c>
    </row>
    <row r="194" spans="1:4" x14ac:dyDescent="0.2">
      <c r="A194" t="s">
        <v>12</v>
      </c>
      <c r="B194" t="s">
        <v>10</v>
      </c>
      <c r="D194" t="s">
        <v>230</v>
      </c>
    </row>
    <row r="195" spans="1:4" x14ac:dyDescent="0.2">
      <c r="A195" t="s">
        <v>15</v>
      </c>
      <c r="D195" t="s">
        <v>156</v>
      </c>
    </row>
    <row r="196" spans="1:4" x14ac:dyDescent="0.2">
      <c r="A196" t="s">
        <v>14</v>
      </c>
    </row>
    <row r="197" spans="1:4" x14ac:dyDescent="0.2">
      <c r="A197" t="s">
        <v>14</v>
      </c>
      <c r="B197" t="s">
        <v>18</v>
      </c>
      <c r="C197" t="s">
        <v>175</v>
      </c>
      <c r="D197" t="s">
        <v>229</v>
      </c>
    </row>
    <row r="198" spans="1:4" x14ac:dyDescent="0.2">
      <c r="A198" t="s">
        <v>14</v>
      </c>
    </row>
    <row r="199" spans="1:4" x14ac:dyDescent="0.2">
      <c r="A199" t="s">
        <v>12</v>
      </c>
    </row>
    <row r="200" spans="1:4" x14ac:dyDescent="0.2">
      <c r="A200" t="s">
        <v>15</v>
      </c>
    </row>
    <row r="201" spans="1:4" x14ac:dyDescent="0.2">
      <c r="A201" t="s">
        <v>14</v>
      </c>
      <c r="B201" t="s">
        <v>182</v>
      </c>
      <c r="C201" t="s">
        <v>157</v>
      </c>
      <c r="D201" t="s">
        <v>148</v>
      </c>
    </row>
    <row r="202" spans="1:4" x14ac:dyDescent="0.2">
      <c r="A202" t="s">
        <v>17</v>
      </c>
    </row>
    <row r="203" spans="1:4" x14ac:dyDescent="0.2">
      <c r="A203" t="s">
        <v>12</v>
      </c>
      <c r="B203" t="s">
        <v>18</v>
      </c>
      <c r="D203" t="s">
        <v>228</v>
      </c>
    </row>
    <row r="204" spans="1:4" x14ac:dyDescent="0.2">
      <c r="A204" t="s">
        <v>14</v>
      </c>
      <c r="B204" t="s">
        <v>18</v>
      </c>
      <c r="C204" t="s">
        <v>158</v>
      </c>
      <c r="D204" t="s">
        <v>227</v>
      </c>
    </row>
    <row r="205" spans="1:4" x14ac:dyDescent="0.2">
      <c r="A205" t="s">
        <v>12</v>
      </c>
      <c r="B205" t="s">
        <v>183</v>
      </c>
      <c r="D205" t="s">
        <v>226</v>
      </c>
    </row>
    <row r="206" spans="1:4" x14ac:dyDescent="0.2">
      <c r="A206" t="s">
        <v>12</v>
      </c>
      <c r="B206" t="s">
        <v>197</v>
      </c>
      <c r="D206" t="s">
        <v>225</v>
      </c>
    </row>
    <row r="207" spans="1:4" x14ac:dyDescent="0.2">
      <c r="A207" t="s">
        <v>14</v>
      </c>
      <c r="B207" t="s">
        <v>184</v>
      </c>
      <c r="C207" t="s">
        <v>19</v>
      </c>
      <c r="D207" t="s">
        <v>205</v>
      </c>
    </row>
    <row r="208" spans="1:4" x14ac:dyDescent="0.2">
      <c r="A208" t="s">
        <v>12</v>
      </c>
      <c r="B208" t="s">
        <v>185</v>
      </c>
      <c r="D208" t="s">
        <v>224</v>
      </c>
    </row>
    <row r="209" spans="1:4" x14ac:dyDescent="0.2">
      <c r="A209" t="s">
        <v>15</v>
      </c>
    </row>
    <row r="210" spans="1:4" x14ac:dyDescent="0.2">
      <c r="A210" t="s">
        <v>5</v>
      </c>
      <c r="B210" t="s">
        <v>186</v>
      </c>
      <c r="D210" t="s">
        <v>223</v>
      </c>
    </row>
    <row r="211" spans="1:4" x14ac:dyDescent="0.2">
      <c r="A211" t="s">
        <v>15</v>
      </c>
    </row>
    <row r="212" spans="1:4" x14ac:dyDescent="0.2">
      <c r="A212" t="s">
        <v>12</v>
      </c>
    </row>
    <row r="213" spans="1:4" x14ac:dyDescent="0.2">
      <c r="A213" t="s">
        <v>12</v>
      </c>
      <c r="B213" t="s">
        <v>187</v>
      </c>
      <c r="D213" t="s">
        <v>74</v>
      </c>
    </row>
    <row r="214" spans="1:4" x14ac:dyDescent="0.2">
      <c r="A214" t="s">
        <v>14</v>
      </c>
    </row>
    <row r="215" spans="1:4" x14ac:dyDescent="0.2">
      <c r="A215" t="s">
        <v>15</v>
      </c>
      <c r="D215" t="s">
        <v>206</v>
      </c>
    </row>
    <row r="216" spans="1:4" x14ac:dyDescent="0.2">
      <c r="A216" t="s">
        <v>5</v>
      </c>
      <c r="B216" t="s">
        <v>160</v>
      </c>
      <c r="C216" t="s">
        <v>204</v>
      </c>
      <c r="D216" t="s">
        <v>222</v>
      </c>
    </row>
    <row r="217" spans="1:4" x14ac:dyDescent="0.2">
      <c r="A217" t="s">
        <v>12</v>
      </c>
      <c r="B217" t="s">
        <v>188</v>
      </c>
      <c r="D217" t="s">
        <v>172</v>
      </c>
    </row>
    <row r="218" spans="1:4" x14ac:dyDescent="0.2">
      <c r="A218" t="s">
        <v>96</v>
      </c>
      <c r="C218" t="s">
        <v>19</v>
      </c>
      <c r="D218" t="s">
        <v>221</v>
      </c>
    </row>
    <row r="219" spans="1:4" x14ac:dyDescent="0.2">
      <c r="A219" t="s">
        <v>12</v>
      </c>
      <c r="B219" t="s">
        <v>46</v>
      </c>
      <c r="D219" t="s">
        <v>18</v>
      </c>
    </row>
    <row r="220" spans="1:4" x14ac:dyDescent="0.2">
      <c r="A220" t="s">
        <v>14</v>
      </c>
      <c r="B220" t="s">
        <v>150</v>
      </c>
      <c r="C220" t="s">
        <v>200</v>
      </c>
      <c r="D220" t="s">
        <v>220</v>
      </c>
    </row>
    <row r="221" spans="1:4" x14ac:dyDescent="0.2">
      <c r="A221" t="s">
        <v>12</v>
      </c>
      <c r="B221" t="s">
        <v>74</v>
      </c>
      <c r="D221" t="s">
        <v>205</v>
      </c>
    </row>
    <row r="222" spans="1:4" x14ac:dyDescent="0.2">
      <c r="A222" t="s">
        <v>21</v>
      </c>
      <c r="B222" t="s">
        <v>18</v>
      </c>
      <c r="C222" t="s">
        <v>162</v>
      </c>
    </row>
    <row r="223" spans="1:4" x14ac:dyDescent="0.2">
      <c r="A223" t="s">
        <v>14</v>
      </c>
      <c r="B223" t="s">
        <v>201</v>
      </c>
      <c r="C223" t="s">
        <v>206</v>
      </c>
      <c r="D223" t="s">
        <v>219</v>
      </c>
    </row>
    <row r="224" spans="1:4" x14ac:dyDescent="0.2">
      <c r="A224" t="s">
        <v>15</v>
      </c>
      <c r="D224" t="s">
        <v>218</v>
      </c>
    </row>
    <row r="225" spans="1:4" x14ac:dyDescent="0.2">
      <c r="A225" t="s">
        <v>14</v>
      </c>
      <c r="B225" t="s">
        <v>189</v>
      </c>
      <c r="C225" t="s">
        <v>203</v>
      </c>
      <c r="D225" t="s">
        <v>18</v>
      </c>
    </row>
    <row r="226" spans="1:4" x14ac:dyDescent="0.2">
      <c r="A226" t="s">
        <v>12</v>
      </c>
      <c r="B226" t="s">
        <v>18</v>
      </c>
      <c r="D226" t="s">
        <v>217</v>
      </c>
    </row>
    <row r="227" spans="1:4" x14ac:dyDescent="0.2">
      <c r="A227" t="s">
        <v>14</v>
      </c>
      <c r="B227" t="s">
        <v>74</v>
      </c>
      <c r="C227" t="s">
        <v>202</v>
      </c>
      <c r="D227" t="s">
        <v>74</v>
      </c>
    </row>
    <row r="228" spans="1:4" x14ac:dyDescent="0.2">
      <c r="A228" t="s">
        <v>7</v>
      </c>
      <c r="B228" t="s">
        <v>146</v>
      </c>
    </row>
    <row r="229" spans="1:4" x14ac:dyDescent="0.2">
      <c r="A229" t="s">
        <v>7</v>
      </c>
    </row>
    <row r="230" spans="1:4" x14ac:dyDescent="0.2">
      <c r="A230" t="s">
        <v>12</v>
      </c>
      <c r="B230" t="s">
        <v>51</v>
      </c>
      <c r="D230" t="s">
        <v>216</v>
      </c>
    </row>
    <row r="231" spans="1:4" x14ac:dyDescent="0.2">
      <c r="A231" t="s">
        <v>12</v>
      </c>
    </row>
    <row r="232" spans="1:4" x14ac:dyDescent="0.2">
      <c r="A232" t="s">
        <v>12</v>
      </c>
      <c r="B232" t="s">
        <v>172</v>
      </c>
      <c r="D232" t="s">
        <v>215</v>
      </c>
    </row>
    <row r="233" spans="1:4" x14ac:dyDescent="0.2">
      <c r="A233" t="s">
        <v>12</v>
      </c>
      <c r="B233" t="s">
        <v>18</v>
      </c>
      <c r="D233" t="s">
        <v>18</v>
      </c>
    </row>
    <row r="234" spans="1:4" x14ac:dyDescent="0.2">
      <c r="A234" t="s">
        <v>14</v>
      </c>
      <c r="B234" t="s">
        <v>18</v>
      </c>
      <c r="C234" t="s">
        <v>56</v>
      </c>
      <c r="D234" t="s">
        <v>214</v>
      </c>
    </row>
    <row r="235" spans="1:4" x14ac:dyDescent="0.2">
      <c r="A235" t="s">
        <v>12</v>
      </c>
      <c r="B235" t="s">
        <v>10</v>
      </c>
      <c r="D235" t="s">
        <v>213</v>
      </c>
    </row>
    <row r="236" spans="1:4" x14ac:dyDescent="0.2">
      <c r="A236" t="s">
        <v>14</v>
      </c>
      <c r="B236" t="s">
        <v>190</v>
      </c>
      <c r="C236" t="s">
        <v>203</v>
      </c>
      <c r="D236" t="s">
        <v>212</v>
      </c>
    </row>
    <row r="237" spans="1:4" x14ac:dyDescent="0.2">
      <c r="A237" t="s">
        <v>12</v>
      </c>
      <c r="B237" t="s">
        <v>18</v>
      </c>
      <c r="D237" t="s">
        <v>19</v>
      </c>
    </row>
    <row r="238" spans="1:4" x14ac:dyDescent="0.2">
      <c r="A238" t="s">
        <v>14</v>
      </c>
      <c r="B238" t="s">
        <v>18</v>
      </c>
      <c r="C238" t="s">
        <v>19</v>
      </c>
      <c r="D238" t="s">
        <v>18</v>
      </c>
    </row>
    <row r="239" spans="1:4" x14ac:dyDescent="0.2">
      <c r="A239" t="s">
        <v>12</v>
      </c>
      <c r="B239" t="s">
        <v>164</v>
      </c>
      <c r="D239" t="s">
        <v>165</v>
      </c>
    </row>
    <row r="240" spans="1:4" x14ac:dyDescent="0.2">
      <c r="A240" t="s">
        <v>14</v>
      </c>
      <c r="B240" t="s">
        <v>120</v>
      </c>
      <c r="C240" t="s">
        <v>166</v>
      </c>
      <c r="D240" t="s">
        <v>148</v>
      </c>
    </row>
    <row r="241" spans="1:4" x14ac:dyDescent="0.2">
      <c r="A241" t="s">
        <v>14</v>
      </c>
      <c r="B241" t="s">
        <v>191</v>
      </c>
      <c r="C241" t="s">
        <v>203</v>
      </c>
      <c r="D241" t="s">
        <v>211</v>
      </c>
    </row>
    <row r="242" spans="1:4" x14ac:dyDescent="0.2">
      <c r="A242" t="s">
        <v>14</v>
      </c>
    </row>
    <row r="243" spans="1:4" x14ac:dyDescent="0.2">
      <c r="A243" t="s">
        <v>14</v>
      </c>
      <c r="B243" t="s">
        <v>18</v>
      </c>
      <c r="C243" t="s">
        <v>169</v>
      </c>
      <c r="D243" t="s">
        <v>209</v>
      </c>
    </row>
    <row r="244" spans="1:4" x14ac:dyDescent="0.2">
      <c r="A244" t="s">
        <v>14</v>
      </c>
      <c r="B244" t="s">
        <v>192</v>
      </c>
      <c r="C244" t="s">
        <v>203</v>
      </c>
      <c r="D244" t="s">
        <v>210</v>
      </c>
    </row>
    <row r="245" spans="1:4" x14ac:dyDescent="0.2">
      <c r="A245" t="s">
        <v>12</v>
      </c>
      <c r="B245" t="s">
        <v>193</v>
      </c>
      <c r="D245" t="s">
        <v>170</v>
      </c>
    </row>
    <row r="246" spans="1:4" x14ac:dyDescent="0.2">
      <c r="A246" t="s">
        <v>12</v>
      </c>
      <c r="B246" t="s">
        <v>172</v>
      </c>
      <c r="D246" t="s">
        <v>171</v>
      </c>
    </row>
    <row r="247" spans="1:4" x14ac:dyDescent="0.2">
      <c r="A247" t="s">
        <v>15</v>
      </c>
      <c r="D247" t="s">
        <v>172</v>
      </c>
    </row>
    <row r="248" spans="1:4" x14ac:dyDescent="0.2">
      <c r="A248" t="s">
        <v>12</v>
      </c>
      <c r="B248" t="s">
        <v>18</v>
      </c>
      <c r="D248" t="s">
        <v>208</v>
      </c>
    </row>
    <row r="249" spans="1:4" x14ac:dyDescent="0.2">
      <c r="A249" t="s">
        <v>12</v>
      </c>
      <c r="B249" t="s">
        <v>18</v>
      </c>
      <c r="D249" t="s">
        <v>172</v>
      </c>
    </row>
    <row r="250" spans="1:4" x14ac:dyDescent="0.2">
      <c r="A250" t="s">
        <v>12</v>
      </c>
    </row>
    <row r="251" spans="1:4" x14ac:dyDescent="0.2">
      <c r="A251" t="s">
        <v>14</v>
      </c>
      <c r="B251" t="s">
        <v>18</v>
      </c>
      <c r="C251" t="s">
        <v>19</v>
      </c>
      <c r="D251" t="s">
        <v>18</v>
      </c>
    </row>
    <row r="252" spans="1:4" x14ac:dyDescent="0.2">
      <c r="A252" t="s">
        <v>12</v>
      </c>
    </row>
    <row r="253" spans="1:4" x14ac:dyDescent="0.2">
      <c r="A253" t="s">
        <v>96</v>
      </c>
      <c r="C253" t="s">
        <v>56</v>
      </c>
      <c r="D253" t="s">
        <v>214</v>
      </c>
    </row>
    <row r="254" spans="1:4" x14ac:dyDescent="0.2">
      <c r="A254" t="s">
        <v>14</v>
      </c>
    </row>
    <row r="255" spans="1:4" x14ac:dyDescent="0.2">
      <c r="A255" t="s">
        <v>12</v>
      </c>
      <c r="B255" t="s">
        <v>10</v>
      </c>
      <c r="D255" t="s">
        <v>146</v>
      </c>
    </row>
    <row r="256" spans="1:4" x14ac:dyDescent="0.2">
      <c r="A256" t="s">
        <v>14</v>
      </c>
      <c r="B256" t="s">
        <v>188</v>
      </c>
      <c r="C256" t="s">
        <v>19</v>
      </c>
      <c r="D256" t="s">
        <v>18</v>
      </c>
    </row>
    <row r="257" spans="1:4" x14ac:dyDescent="0.2">
      <c r="A257" t="s">
        <v>14</v>
      </c>
    </row>
    <row r="258" spans="1:4" ht="14" customHeight="1" x14ac:dyDescent="0.2">
      <c r="A258" t="s">
        <v>12</v>
      </c>
    </row>
    <row r="259" spans="1:4" x14ac:dyDescent="0.2">
      <c r="A259" t="s">
        <v>14</v>
      </c>
    </row>
    <row r="260" spans="1:4" x14ac:dyDescent="0.2">
      <c r="A260" t="s">
        <v>15</v>
      </c>
    </row>
    <row r="261" spans="1:4" x14ac:dyDescent="0.2">
      <c r="A261" t="s">
        <v>7</v>
      </c>
    </row>
    <row r="262" spans="1:4" x14ac:dyDescent="0.2">
      <c r="A262" t="s">
        <v>12</v>
      </c>
      <c r="B262" t="s">
        <v>120</v>
      </c>
      <c r="D262" t="s">
        <v>18</v>
      </c>
    </row>
    <row r="263" spans="1:4" x14ac:dyDescent="0.2">
      <c r="A263" t="s">
        <v>12</v>
      </c>
    </row>
    <row r="264" spans="1:4" x14ac:dyDescent="0.2">
      <c r="A264" t="s">
        <v>12</v>
      </c>
      <c r="B264" t="s">
        <v>18</v>
      </c>
      <c r="D264" t="s">
        <v>18</v>
      </c>
    </row>
    <row r="265" spans="1:4" x14ac:dyDescent="0.2">
      <c r="A265" t="s">
        <v>12</v>
      </c>
    </row>
    <row r="266" spans="1:4" x14ac:dyDescent="0.2">
      <c r="A266" t="s">
        <v>14</v>
      </c>
    </row>
    <row r="267" spans="1:4" x14ac:dyDescent="0.2">
      <c r="A267" t="s">
        <v>14</v>
      </c>
      <c r="B267" t="s">
        <v>173</v>
      </c>
      <c r="C267" t="s">
        <v>19</v>
      </c>
      <c r="D267" t="s">
        <v>74</v>
      </c>
    </row>
    <row r="268" spans="1:4" x14ac:dyDescent="0.2">
      <c r="A268" t="s">
        <v>12</v>
      </c>
      <c r="B268" t="s">
        <v>194</v>
      </c>
      <c r="D268" t="s">
        <v>174</v>
      </c>
    </row>
    <row r="269" spans="1:4" x14ac:dyDescent="0.2">
      <c r="A269" t="s">
        <v>12</v>
      </c>
      <c r="B269" t="s">
        <v>74</v>
      </c>
      <c r="D269" t="s">
        <v>74</v>
      </c>
    </row>
    <row r="270" spans="1:4" x14ac:dyDescent="0.2">
      <c r="A270" t="s">
        <v>14</v>
      </c>
      <c r="B270" t="s">
        <v>10</v>
      </c>
      <c r="C270" t="s">
        <v>175</v>
      </c>
      <c r="D270" t="s">
        <v>176</v>
      </c>
    </row>
    <row r="271" spans="1:4" x14ac:dyDescent="0.2">
      <c r="A271" t="s">
        <v>9</v>
      </c>
    </row>
    <row r="272" spans="1:4" x14ac:dyDescent="0.2">
      <c r="A272" t="s">
        <v>12</v>
      </c>
      <c r="B272" t="s">
        <v>195</v>
      </c>
      <c r="D272" t="s">
        <v>202</v>
      </c>
    </row>
    <row r="273" spans="1:4" x14ac:dyDescent="0.2">
      <c r="A273" t="s">
        <v>5</v>
      </c>
      <c r="B273" t="s">
        <v>102</v>
      </c>
    </row>
    <row r="274" spans="1:4" x14ac:dyDescent="0.2">
      <c r="A274" t="s">
        <v>12</v>
      </c>
      <c r="D274" t="s">
        <v>18</v>
      </c>
    </row>
    <row r="275" spans="1:4" x14ac:dyDescent="0.2">
      <c r="A275" t="s">
        <v>15</v>
      </c>
      <c r="D275" t="s">
        <v>169</v>
      </c>
    </row>
    <row r="276" spans="1:4" x14ac:dyDescent="0.2">
      <c r="A276" t="s">
        <v>12</v>
      </c>
      <c r="B276" t="s">
        <v>19</v>
      </c>
      <c r="D276" t="s">
        <v>18</v>
      </c>
    </row>
    <row r="277" spans="1:4" x14ac:dyDescent="0.2">
      <c r="A277" s="4" t="s">
        <v>177</v>
      </c>
      <c r="B277" s="4"/>
      <c r="C277" s="4"/>
    </row>
    <row r="278" spans="1:4" x14ac:dyDescent="0.2">
      <c r="A278" t="s">
        <v>35</v>
      </c>
      <c r="B278">
        <f>COUNTIFS($A$158:$A$276, "*Dessecante pre-plantio*")</f>
        <v>101</v>
      </c>
      <c r="C278" s="2">
        <f>(B278/$B$282)*100</f>
        <v>84.87394957983193</v>
      </c>
    </row>
    <row r="279" spans="1:4" x14ac:dyDescent="0.2">
      <c r="A279" t="s">
        <v>17</v>
      </c>
      <c r="B279">
        <f>COUNTIFS($A$158:$A$276, "*Pre-emergente*")</f>
        <v>49</v>
      </c>
      <c r="C279" s="2">
        <f>(B279/$B$282)*100</f>
        <v>41.17647058823529</v>
      </c>
    </row>
    <row r="280" spans="1:4" x14ac:dyDescent="0.2">
      <c r="A280" t="s">
        <v>15</v>
      </c>
      <c r="B280">
        <f>COUNTIFS($A$158:$A$276, "*Pos-emergente*")</f>
        <v>110</v>
      </c>
      <c r="C280" s="2">
        <f>(B280/$B$282)*100</f>
        <v>92.436974789915965</v>
      </c>
    </row>
    <row r="281" spans="1:4" x14ac:dyDescent="0.2">
      <c r="A281" t="s">
        <v>36</v>
      </c>
      <c r="B281">
        <f>COUNTIFS($A$158:$A$276, "*Dessecante pre-colheita*")</f>
        <v>6</v>
      </c>
      <c r="C281" s="2">
        <f>(B281/$B$282)*100</f>
        <v>5.0420168067226889</v>
      </c>
    </row>
    <row r="282" spans="1:4" x14ac:dyDescent="0.2">
      <c r="A282" t="s">
        <v>38</v>
      </c>
      <c r="B282">
        <f>COUNTIFS($A$158:$A$276, "**")</f>
        <v>119</v>
      </c>
    </row>
    <row r="283" spans="1:4" x14ac:dyDescent="0.2">
      <c r="A283" s="3" t="s">
        <v>35</v>
      </c>
      <c r="B283" s="3"/>
      <c r="C283" s="3"/>
    </row>
    <row r="284" spans="1:4" x14ac:dyDescent="0.2">
      <c r="A284" t="s">
        <v>44</v>
      </c>
      <c r="B284">
        <f>COUNTIFS($B$158:$B$276, "*glifosato*")</f>
        <v>61</v>
      </c>
      <c r="C284" s="2">
        <f>(B284/$B$295)*100</f>
        <v>82.432432432432435</v>
      </c>
    </row>
    <row r="285" spans="1:4" x14ac:dyDescent="0.2">
      <c r="A285" t="s">
        <v>46</v>
      </c>
      <c r="B285">
        <f>COUNTIFS($B$158:$B$276, "*2,4-D*")</f>
        <v>16</v>
      </c>
      <c r="C285" s="2">
        <f t="shared" ref="C285:C294" si="9">(B285/$B$295)*100</f>
        <v>21.621621621621621</v>
      </c>
    </row>
    <row r="286" spans="1:4" x14ac:dyDescent="0.2">
      <c r="A286" t="s">
        <v>49</v>
      </c>
      <c r="B286">
        <f>COUNTIFS($B$158:$B$276, "*PARAQUAT*")</f>
        <v>13</v>
      </c>
      <c r="C286" s="2">
        <f t="shared" si="9"/>
        <v>17.567567567567568</v>
      </c>
    </row>
    <row r="287" spans="1:4" x14ac:dyDescent="0.2">
      <c r="A287" t="s">
        <v>196</v>
      </c>
      <c r="B287">
        <f>COUNTIFS($B$158:$B$276, "*clethodim*")</f>
        <v>6</v>
      </c>
      <c r="C287" s="2">
        <f t="shared" si="9"/>
        <v>8.1081081081081088</v>
      </c>
    </row>
    <row r="288" spans="1:4" x14ac:dyDescent="0.2">
      <c r="A288" t="s">
        <v>131</v>
      </c>
      <c r="B288">
        <f>COUNTIFS($B$158:$B$276, "*metsulfuron*")</f>
        <v>2</v>
      </c>
      <c r="C288" s="2">
        <f t="shared" si="9"/>
        <v>2.7027027027027026</v>
      </c>
    </row>
    <row r="289" spans="1:4" x14ac:dyDescent="0.2">
      <c r="A289" t="s">
        <v>45</v>
      </c>
      <c r="B289">
        <f>COUNTIFS($B$158:$B$276, "*flumioxazin*")</f>
        <v>3</v>
      </c>
      <c r="C289" s="2">
        <f t="shared" si="9"/>
        <v>4.0540540540540544</v>
      </c>
    </row>
    <row r="290" spans="1:4" x14ac:dyDescent="0.2">
      <c r="A290" t="s">
        <v>48</v>
      </c>
      <c r="B290">
        <f>COUNTIFS($B$158:$B$276, "*carfentrazone*")</f>
        <v>2</v>
      </c>
      <c r="C290" s="2">
        <f t="shared" si="9"/>
        <v>2.7027027027027026</v>
      </c>
    </row>
    <row r="291" spans="1:4" x14ac:dyDescent="0.2">
      <c r="A291" t="s">
        <v>75</v>
      </c>
      <c r="B291">
        <f>COUNTIFS($B$158:$B$276, "*glufosinato*")</f>
        <v>1</v>
      </c>
      <c r="C291" s="2">
        <f>(B291/$B$295)*100</f>
        <v>1.3513513513513513</v>
      </c>
    </row>
    <row r="292" spans="1:4" x14ac:dyDescent="0.2">
      <c r="A292" t="s">
        <v>19</v>
      </c>
      <c r="B292">
        <f>COUNTIFS($B$158:$B$276, "*atrazine*")</f>
        <v>6</v>
      </c>
      <c r="C292" s="2">
        <f t="shared" si="9"/>
        <v>8.1081081081081088</v>
      </c>
    </row>
    <row r="293" spans="1:4" x14ac:dyDescent="0.2">
      <c r="A293" t="s">
        <v>198</v>
      </c>
      <c r="B293">
        <f>COUNTIFS($B$158:$B$276, "*haloxifop*")</f>
        <v>2</v>
      </c>
      <c r="C293" s="2">
        <f t="shared" si="9"/>
        <v>2.7027027027027026</v>
      </c>
    </row>
    <row r="294" spans="1:4" x14ac:dyDescent="0.2">
      <c r="A294" t="s">
        <v>199</v>
      </c>
      <c r="B294">
        <f>COUNTIFS($B$158:$B$276, "*saflufenacil*")</f>
        <v>1</v>
      </c>
      <c r="C294" s="2">
        <f t="shared" si="9"/>
        <v>1.3513513513513513</v>
      </c>
    </row>
    <row r="295" spans="1:4" x14ac:dyDescent="0.2">
      <c r="A295" t="s">
        <v>38</v>
      </c>
      <c r="B295">
        <f>COUNTIFS($B$158:$B$276, "**")</f>
        <v>74</v>
      </c>
    </row>
    <row r="296" spans="1:4" x14ac:dyDescent="0.2">
      <c r="A296" s="3" t="s">
        <v>17</v>
      </c>
      <c r="B296" s="3"/>
      <c r="C296" s="3"/>
    </row>
    <row r="297" spans="1:4" x14ac:dyDescent="0.2">
      <c r="A297" t="s">
        <v>56</v>
      </c>
      <c r="B297">
        <f>COUNTIFS($C$158:$C$276, "*s-metolachlor*")</f>
        <v>12</v>
      </c>
      <c r="C297" s="2">
        <f>(B297/$B$303)*100</f>
        <v>36.363636363636367</v>
      </c>
    </row>
    <row r="298" spans="1:4" x14ac:dyDescent="0.2">
      <c r="A298" t="s">
        <v>19</v>
      </c>
      <c r="B298">
        <f>COUNTIFS($C$158:$C$276, "*atrazine*")</f>
        <v>22</v>
      </c>
      <c r="C298" s="2">
        <f t="shared" ref="C298:C302" si="10">(B298/$B$303)*100</f>
        <v>66.666666666666657</v>
      </c>
    </row>
    <row r="299" spans="1:4" x14ac:dyDescent="0.2">
      <c r="A299" t="s">
        <v>162</v>
      </c>
      <c r="B299">
        <f>COUNTIFS($C$158:$C$276, "*nicosulfuron*")</f>
        <v>3</v>
      </c>
      <c r="C299" s="2">
        <f t="shared" si="10"/>
        <v>9.0909090909090917</v>
      </c>
    </row>
    <row r="300" spans="1:4" x14ac:dyDescent="0.2">
      <c r="A300" t="s">
        <v>205</v>
      </c>
      <c r="B300">
        <f>COUNTIFS($C$158:$C$276, "*tembotrione*")</f>
        <v>2</v>
      </c>
      <c r="C300" s="2">
        <f t="shared" si="10"/>
        <v>6.0606060606060606</v>
      </c>
    </row>
    <row r="301" spans="1:4" x14ac:dyDescent="0.2">
      <c r="A301" t="s">
        <v>74</v>
      </c>
      <c r="B301">
        <f>COUNTIFS($C$158:$C$276, "*glifosato*")</f>
        <v>1</v>
      </c>
      <c r="C301" s="2">
        <f t="shared" si="10"/>
        <v>3.0303030303030303</v>
      </c>
      <c r="D301" s="7"/>
    </row>
    <row r="302" spans="1:4" x14ac:dyDescent="0.2">
      <c r="A302" t="s">
        <v>207</v>
      </c>
      <c r="B302">
        <f>COUNTIFS($C$158:$C$276, "*simazine*")</f>
        <v>1</v>
      </c>
      <c r="C302" s="2">
        <f t="shared" si="10"/>
        <v>3.0303030303030303</v>
      </c>
      <c r="D302" s="7"/>
    </row>
    <row r="303" spans="1:4" x14ac:dyDescent="0.2">
      <c r="A303" t="s">
        <v>38</v>
      </c>
      <c r="B303">
        <f>COUNTIFS($C$158:$C$276, "**")</f>
        <v>33</v>
      </c>
      <c r="C303" s="2"/>
      <c r="D303" s="7"/>
    </row>
    <row r="304" spans="1:4" x14ac:dyDescent="0.2">
      <c r="A304" s="3" t="s">
        <v>15</v>
      </c>
      <c r="B304" s="3"/>
      <c r="C304" s="3"/>
      <c r="D304" s="7"/>
    </row>
    <row r="305" spans="1:5" x14ac:dyDescent="0.2">
      <c r="A305" t="s">
        <v>74</v>
      </c>
      <c r="B305">
        <f>COUNTIFS($D$158:$D$276, "*glifosato*")</f>
        <v>41</v>
      </c>
      <c r="C305" s="2">
        <f>(B305/$B$315)*100</f>
        <v>52.564102564102569</v>
      </c>
      <c r="D305" s="7"/>
    </row>
    <row r="306" spans="1:5" x14ac:dyDescent="0.2">
      <c r="A306" t="s">
        <v>46</v>
      </c>
      <c r="B306">
        <f>COUNTIFS($D$158:$D$276, "*2,4-d*")</f>
        <v>2</v>
      </c>
      <c r="C306" s="2">
        <f t="shared" ref="C306:C314" si="11">(B306/$B$315)*100</f>
        <v>2.5641025641025639</v>
      </c>
    </row>
    <row r="307" spans="1:5" x14ac:dyDescent="0.2">
      <c r="A307" t="s">
        <v>162</v>
      </c>
      <c r="B307">
        <f>COUNTIFS($D$158:$D$276, "*nicosulfuron*")</f>
        <v>16</v>
      </c>
      <c r="C307" s="2">
        <f t="shared" si="11"/>
        <v>20.512820512820511</v>
      </c>
    </row>
    <row r="308" spans="1:5" x14ac:dyDescent="0.2">
      <c r="A308" t="s">
        <v>238</v>
      </c>
      <c r="B308">
        <f>COUNTIFS($D$158:$D$276, "*mesotrione*")</f>
        <v>20</v>
      </c>
      <c r="C308" s="2">
        <f t="shared" si="11"/>
        <v>25.641025641025639</v>
      </c>
    </row>
    <row r="309" spans="1:5" x14ac:dyDescent="0.2">
      <c r="A309" t="s">
        <v>205</v>
      </c>
      <c r="B309">
        <f>COUNTIFS($D$158:$D$276, "*tembotrione*")</f>
        <v>25</v>
      </c>
      <c r="C309" s="2">
        <f t="shared" si="11"/>
        <v>32.051282051282051</v>
      </c>
    </row>
    <row r="310" spans="1:5" x14ac:dyDescent="0.2">
      <c r="A310" t="s">
        <v>19</v>
      </c>
      <c r="B310">
        <f>COUNTIFS($D$158:$D$276, "*atrazine*")</f>
        <v>50</v>
      </c>
      <c r="C310" s="2">
        <f t="shared" si="11"/>
        <v>64.102564102564102</v>
      </c>
    </row>
    <row r="311" spans="1:5" x14ac:dyDescent="0.2">
      <c r="A311" t="s">
        <v>239</v>
      </c>
      <c r="B311">
        <f>COUNTIFS($D$158:$D$276, "*iodosulfuron*")</f>
        <v>1</v>
      </c>
      <c r="C311" s="2">
        <f t="shared" si="11"/>
        <v>1.2820512820512819</v>
      </c>
    </row>
    <row r="312" spans="1:5" x14ac:dyDescent="0.2">
      <c r="A312" t="s">
        <v>240</v>
      </c>
      <c r="B312">
        <f>COUNTIFS($D$158:$D$276, "*foramsulfuron*")</f>
        <v>1</v>
      </c>
      <c r="C312" s="2">
        <f t="shared" si="11"/>
        <v>1.2820512820512819</v>
      </c>
    </row>
    <row r="313" spans="1:5" x14ac:dyDescent="0.2">
      <c r="A313" t="s">
        <v>198</v>
      </c>
      <c r="B313">
        <f>COUNTIFS($D$158:$D$276, "*haloxifop*")</f>
        <v>1</v>
      </c>
      <c r="C313" s="2">
        <f t="shared" si="11"/>
        <v>1.2820512820512819</v>
      </c>
    </row>
    <row r="314" spans="1:5" x14ac:dyDescent="0.2">
      <c r="A314" t="s">
        <v>207</v>
      </c>
      <c r="B314">
        <f>COUNTIFS($D$158:$D$276, "*simazine*")</f>
        <v>2</v>
      </c>
      <c r="C314" s="2">
        <f t="shared" si="11"/>
        <v>2.5641025641025639</v>
      </c>
    </row>
    <row r="315" spans="1:5" x14ac:dyDescent="0.2">
      <c r="A315" t="s">
        <v>38</v>
      </c>
      <c r="B315">
        <f>COUNTIFS($D$158:$D$276, "**")</f>
        <v>78</v>
      </c>
    </row>
    <row r="316" spans="1:5" x14ac:dyDescent="0.2">
      <c r="A316" s="5" t="s">
        <v>241</v>
      </c>
      <c r="B316" s="5" t="s">
        <v>242</v>
      </c>
      <c r="C316" s="5" t="s">
        <v>243</v>
      </c>
      <c r="D316" s="5" t="s">
        <v>244</v>
      </c>
      <c r="E316" s="5" t="s">
        <v>245</v>
      </c>
    </row>
    <row r="317" spans="1:5" x14ac:dyDescent="0.2">
      <c r="A317" t="s">
        <v>5</v>
      </c>
      <c r="B317" t="s">
        <v>315</v>
      </c>
      <c r="C317" t="s">
        <v>346</v>
      </c>
      <c r="D317" t="s">
        <v>377</v>
      </c>
      <c r="E317" t="s">
        <v>100</v>
      </c>
    </row>
    <row r="318" spans="1:5" x14ac:dyDescent="0.2">
      <c r="A318" t="s">
        <v>5</v>
      </c>
      <c r="B318" t="s">
        <v>316</v>
      </c>
      <c r="C318" s="8" t="s">
        <v>280</v>
      </c>
      <c r="D318" t="s">
        <v>378</v>
      </c>
      <c r="E318" t="s">
        <v>11</v>
      </c>
    </row>
    <row r="319" spans="1:5" x14ac:dyDescent="0.2">
      <c r="A319" t="s">
        <v>7</v>
      </c>
      <c r="B319" t="s">
        <v>8</v>
      </c>
    </row>
    <row r="320" spans="1:5" x14ac:dyDescent="0.2">
      <c r="A320" t="s">
        <v>12</v>
      </c>
      <c r="B320" t="s">
        <v>314</v>
      </c>
      <c r="D320" t="s">
        <v>376</v>
      </c>
    </row>
    <row r="321" spans="1:5" x14ac:dyDescent="0.2">
      <c r="A321" t="s">
        <v>14</v>
      </c>
      <c r="B321" t="s">
        <v>51</v>
      </c>
      <c r="C321" t="s">
        <v>10</v>
      </c>
      <c r="D321" t="s">
        <v>18</v>
      </c>
    </row>
    <row r="322" spans="1:5" x14ac:dyDescent="0.2">
      <c r="A322" t="s">
        <v>14</v>
      </c>
    </row>
    <row r="323" spans="1:5" x14ac:dyDescent="0.2">
      <c r="A323" t="s">
        <v>9</v>
      </c>
      <c r="B323" t="s">
        <v>313</v>
      </c>
      <c r="D323" t="s">
        <v>10</v>
      </c>
      <c r="E323" t="s">
        <v>387</v>
      </c>
    </row>
    <row r="324" spans="1:5" x14ac:dyDescent="0.2">
      <c r="A324" t="s">
        <v>12</v>
      </c>
      <c r="B324" t="s">
        <v>282</v>
      </c>
      <c r="D324" t="s">
        <v>18</v>
      </c>
    </row>
    <row r="325" spans="1:5" x14ac:dyDescent="0.2">
      <c r="A325" t="s">
        <v>14</v>
      </c>
      <c r="B325" t="s">
        <v>74</v>
      </c>
      <c r="C325" t="s">
        <v>49</v>
      </c>
      <c r="D325" t="s">
        <v>375</v>
      </c>
    </row>
    <row r="326" spans="1:5" x14ac:dyDescent="0.2">
      <c r="A326" t="s">
        <v>5</v>
      </c>
      <c r="B326" t="s">
        <v>294</v>
      </c>
      <c r="C326" t="s">
        <v>337</v>
      </c>
      <c r="D326" t="s">
        <v>374</v>
      </c>
      <c r="E326" t="s">
        <v>11</v>
      </c>
    </row>
    <row r="327" spans="1:5" x14ac:dyDescent="0.2">
      <c r="A327" t="s">
        <v>96</v>
      </c>
    </row>
    <row r="328" spans="1:5" x14ac:dyDescent="0.2">
      <c r="A328" t="s">
        <v>21</v>
      </c>
      <c r="C328" s="8" t="s">
        <v>280</v>
      </c>
    </row>
    <row r="329" spans="1:5" x14ac:dyDescent="0.2">
      <c r="A329" t="s">
        <v>96</v>
      </c>
    </row>
    <row r="330" spans="1:5" x14ac:dyDescent="0.2">
      <c r="A330" t="s">
        <v>12</v>
      </c>
      <c r="B330" t="s">
        <v>114</v>
      </c>
      <c r="D330" t="s">
        <v>74</v>
      </c>
    </row>
    <row r="331" spans="1:5" x14ac:dyDescent="0.2">
      <c r="A331" t="s">
        <v>250</v>
      </c>
      <c r="B331" t="s">
        <v>74</v>
      </c>
      <c r="E331" t="s">
        <v>11</v>
      </c>
    </row>
    <row r="332" spans="1:5" x14ac:dyDescent="0.2">
      <c r="A332" t="s">
        <v>5</v>
      </c>
      <c r="B332" t="s">
        <v>149</v>
      </c>
      <c r="C332" t="s">
        <v>327</v>
      </c>
      <c r="D332" t="s">
        <v>18</v>
      </c>
      <c r="E332" t="s">
        <v>11</v>
      </c>
    </row>
    <row r="333" spans="1:5" x14ac:dyDescent="0.2">
      <c r="A333" t="s">
        <v>12</v>
      </c>
      <c r="B333" t="s">
        <v>150</v>
      </c>
      <c r="D333" t="s">
        <v>150</v>
      </c>
    </row>
    <row r="334" spans="1:5" x14ac:dyDescent="0.2">
      <c r="A334" t="s">
        <v>9</v>
      </c>
      <c r="B334" t="s">
        <v>312</v>
      </c>
      <c r="D334" t="s">
        <v>178</v>
      </c>
      <c r="E334" t="s">
        <v>49</v>
      </c>
    </row>
    <row r="335" spans="1:5" x14ac:dyDescent="0.2">
      <c r="A335" t="s">
        <v>5</v>
      </c>
      <c r="B335" t="s">
        <v>311</v>
      </c>
      <c r="C335" t="s">
        <v>45</v>
      </c>
      <c r="D335" t="s">
        <v>373</v>
      </c>
      <c r="E335" t="s">
        <v>11</v>
      </c>
    </row>
    <row r="336" spans="1:5" x14ac:dyDescent="0.2">
      <c r="A336" t="s">
        <v>5</v>
      </c>
      <c r="B336" t="s">
        <v>277</v>
      </c>
      <c r="C336" t="s">
        <v>345</v>
      </c>
      <c r="D336" t="s">
        <v>372</v>
      </c>
      <c r="E336" t="s">
        <v>51</v>
      </c>
    </row>
    <row r="337" spans="1:5" x14ac:dyDescent="0.2">
      <c r="A337" t="s">
        <v>12</v>
      </c>
      <c r="B337" t="s">
        <v>74</v>
      </c>
      <c r="D337" t="s">
        <v>74</v>
      </c>
    </row>
    <row r="338" spans="1:5" x14ac:dyDescent="0.2">
      <c r="A338" t="s">
        <v>5</v>
      </c>
    </row>
    <row r="339" spans="1:5" x14ac:dyDescent="0.2">
      <c r="A339" t="s">
        <v>5</v>
      </c>
      <c r="B339" t="s">
        <v>310</v>
      </c>
      <c r="C339" t="s">
        <v>329</v>
      </c>
      <c r="D339" t="s">
        <v>371</v>
      </c>
      <c r="E339" t="s">
        <v>51</v>
      </c>
    </row>
    <row r="340" spans="1:5" x14ac:dyDescent="0.2">
      <c r="A340" t="s">
        <v>14</v>
      </c>
      <c r="B340" t="s">
        <v>309</v>
      </c>
      <c r="C340" t="s">
        <v>328</v>
      </c>
      <c r="D340" t="s">
        <v>251</v>
      </c>
    </row>
    <row r="341" spans="1:5" x14ac:dyDescent="0.2">
      <c r="A341" t="s">
        <v>14</v>
      </c>
      <c r="B341" t="s">
        <v>102</v>
      </c>
      <c r="C341" t="s">
        <v>344</v>
      </c>
      <c r="D341" t="s">
        <v>18</v>
      </c>
    </row>
    <row r="342" spans="1:5" x14ac:dyDescent="0.2">
      <c r="A342" t="s">
        <v>12</v>
      </c>
      <c r="B342" t="s">
        <v>308</v>
      </c>
      <c r="D342" t="s">
        <v>370</v>
      </c>
    </row>
    <row r="343" spans="1:5" x14ac:dyDescent="0.2">
      <c r="A343" t="s">
        <v>250</v>
      </c>
    </row>
    <row r="344" spans="1:5" x14ac:dyDescent="0.2">
      <c r="A344" t="s">
        <v>5</v>
      </c>
    </row>
    <row r="345" spans="1:5" x14ac:dyDescent="0.2">
      <c r="A345" t="s">
        <v>12</v>
      </c>
      <c r="B345" t="s">
        <v>307</v>
      </c>
      <c r="D345" t="s">
        <v>10</v>
      </c>
    </row>
    <row r="346" spans="1:5" x14ac:dyDescent="0.2">
      <c r="A346" t="s">
        <v>5</v>
      </c>
      <c r="B346" t="s">
        <v>18</v>
      </c>
      <c r="C346" t="s">
        <v>330</v>
      </c>
      <c r="D346" t="s">
        <v>18</v>
      </c>
    </row>
    <row r="347" spans="1:5" x14ac:dyDescent="0.2">
      <c r="A347" t="s">
        <v>5</v>
      </c>
      <c r="E347" t="s">
        <v>11</v>
      </c>
    </row>
    <row r="348" spans="1:5" x14ac:dyDescent="0.2">
      <c r="A348" t="s">
        <v>15</v>
      </c>
    </row>
    <row r="349" spans="1:5" x14ac:dyDescent="0.2">
      <c r="A349" t="s">
        <v>12</v>
      </c>
      <c r="B349" t="s">
        <v>120</v>
      </c>
      <c r="D349" t="s">
        <v>120</v>
      </c>
    </row>
    <row r="350" spans="1:5" x14ac:dyDescent="0.2">
      <c r="A350" t="s">
        <v>5</v>
      </c>
      <c r="B350" t="s">
        <v>252</v>
      </c>
      <c r="C350" t="s">
        <v>253</v>
      </c>
      <c r="D350" t="s">
        <v>254</v>
      </c>
    </row>
    <row r="351" spans="1:5" x14ac:dyDescent="0.2">
      <c r="A351" t="s">
        <v>5</v>
      </c>
      <c r="B351" t="s">
        <v>325</v>
      </c>
      <c r="C351" t="s">
        <v>256</v>
      </c>
      <c r="D351" t="s">
        <v>353</v>
      </c>
      <c r="E351" t="s">
        <v>13</v>
      </c>
    </row>
    <row r="352" spans="1:5" x14ac:dyDescent="0.2">
      <c r="A352" t="s">
        <v>5</v>
      </c>
      <c r="B352" t="s">
        <v>306</v>
      </c>
      <c r="C352" t="s">
        <v>49</v>
      </c>
      <c r="D352" t="s">
        <v>369</v>
      </c>
      <c r="E352" t="s">
        <v>75</v>
      </c>
    </row>
    <row r="353" spans="1:5" x14ac:dyDescent="0.2">
      <c r="A353" t="s">
        <v>36</v>
      </c>
      <c r="E353" t="s">
        <v>49</v>
      </c>
    </row>
    <row r="354" spans="1:5" x14ac:dyDescent="0.2">
      <c r="A354" t="s">
        <v>5</v>
      </c>
      <c r="B354" t="s">
        <v>18</v>
      </c>
      <c r="C354" t="s">
        <v>331</v>
      </c>
      <c r="D354" t="s">
        <v>18</v>
      </c>
    </row>
    <row r="355" spans="1:5" x14ac:dyDescent="0.2">
      <c r="A355" t="s">
        <v>36</v>
      </c>
      <c r="E355" t="s">
        <v>258</v>
      </c>
    </row>
    <row r="356" spans="1:5" x14ac:dyDescent="0.2">
      <c r="A356" t="s">
        <v>14</v>
      </c>
    </row>
    <row r="357" spans="1:5" x14ac:dyDescent="0.2">
      <c r="A357" t="s">
        <v>14</v>
      </c>
      <c r="B357" t="s">
        <v>18</v>
      </c>
      <c r="C357" t="s">
        <v>280</v>
      </c>
      <c r="D357" t="s">
        <v>18</v>
      </c>
    </row>
    <row r="358" spans="1:5" x14ac:dyDescent="0.2">
      <c r="A358" t="s">
        <v>14</v>
      </c>
      <c r="B358" t="s">
        <v>305</v>
      </c>
      <c r="C358" t="s">
        <v>259</v>
      </c>
      <c r="D358" t="s">
        <v>18</v>
      </c>
    </row>
    <row r="359" spans="1:5" x14ac:dyDescent="0.2">
      <c r="A359" t="s">
        <v>5</v>
      </c>
    </row>
    <row r="360" spans="1:5" x14ac:dyDescent="0.2">
      <c r="A360" t="s">
        <v>9</v>
      </c>
    </row>
    <row r="361" spans="1:5" x14ac:dyDescent="0.2">
      <c r="A361" t="s">
        <v>5</v>
      </c>
      <c r="B361" t="s">
        <v>304</v>
      </c>
      <c r="C361" t="s">
        <v>343</v>
      </c>
      <c r="D361" t="s">
        <v>10</v>
      </c>
    </row>
    <row r="362" spans="1:5" x14ac:dyDescent="0.2">
      <c r="A362" t="s">
        <v>260</v>
      </c>
      <c r="D362" t="s">
        <v>18</v>
      </c>
      <c r="E362" t="s">
        <v>389</v>
      </c>
    </row>
    <row r="363" spans="1:5" x14ac:dyDescent="0.2">
      <c r="A363" t="s">
        <v>9</v>
      </c>
    </row>
    <row r="364" spans="1:5" x14ac:dyDescent="0.2">
      <c r="A364" t="s">
        <v>5</v>
      </c>
      <c r="B364" t="s">
        <v>303</v>
      </c>
      <c r="D364" t="s">
        <v>368</v>
      </c>
      <c r="E364" t="s">
        <v>387</v>
      </c>
    </row>
    <row r="365" spans="1:5" x14ac:dyDescent="0.2">
      <c r="A365" t="s">
        <v>14</v>
      </c>
    </row>
    <row r="366" spans="1:5" x14ac:dyDescent="0.2">
      <c r="A366" t="s">
        <v>36</v>
      </c>
      <c r="E366" t="s">
        <v>387</v>
      </c>
    </row>
    <row r="367" spans="1:5" x14ac:dyDescent="0.2">
      <c r="A367" t="s">
        <v>9</v>
      </c>
    </row>
    <row r="368" spans="1:5" x14ac:dyDescent="0.2">
      <c r="A368" t="s">
        <v>14</v>
      </c>
      <c r="B368" t="s">
        <v>324</v>
      </c>
      <c r="C368" t="s">
        <v>332</v>
      </c>
      <c r="D368" t="s">
        <v>18</v>
      </c>
    </row>
    <row r="369" spans="1:5" x14ac:dyDescent="0.2">
      <c r="A369" t="s">
        <v>12</v>
      </c>
      <c r="B369" t="s">
        <v>261</v>
      </c>
      <c r="D369" t="s">
        <v>367</v>
      </c>
    </row>
    <row r="370" spans="1:5" x14ac:dyDescent="0.2">
      <c r="A370" t="s">
        <v>5</v>
      </c>
      <c r="B370" t="s">
        <v>323</v>
      </c>
      <c r="C370" t="s">
        <v>45</v>
      </c>
      <c r="D370" t="s">
        <v>653</v>
      </c>
    </row>
    <row r="371" spans="1:5" x14ac:dyDescent="0.2">
      <c r="A371" t="s">
        <v>5</v>
      </c>
      <c r="B371" t="s">
        <v>320</v>
      </c>
      <c r="C371" t="s">
        <v>342</v>
      </c>
      <c r="D371" t="s">
        <v>178</v>
      </c>
    </row>
    <row r="372" spans="1:5" x14ac:dyDescent="0.2">
      <c r="A372" t="s">
        <v>5</v>
      </c>
      <c r="B372" t="s">
        <v>302</v>
      </c>
      <c r="D372" t="s">
        <v>18</v>
      </c>
      <c r="E372" t="s">
        <v>168</v>
      </c>
    </row>
    <row r="373" spans="1:5" x14ac:dyDescent="0.2">
      <c r="A373" t="s">
        <v>36</v>
      </c>
      <c r="E373" t="s">
        <v>390</v>
      </c>
    </row>
    <row r="374" spans="1:5" x14ac:dyDescent="0.2">
      <c r="A374" t="s">
        <v>5</v>
      </c>
      <c r="B374" t="s">
        <v>183</v>
      </c>
      <c r="C374" t="s">
        <v>20</v>
      </c>
      <c r="D374" t="s">
        <v>366</v>
      </c>
      <c r="E374" t="s">
        <v>49</v>
      </c>
    </row>
    <row r="375" spans="1:5" x14ac:dyDescent="0.2">
      <c r="A375" t="s">
        <v>14</v>
      </c>
      <c r="B375" t="s">
        <v>301</v>
      </c>
      <c r="C375" t="s">
        <v>265</v>
      </c>
      <c r="D375" t="s">
        <v>74</v>
      </c>
    </row>
    <row r="376" spans="1:5" x14ac:dyDescent="0.2">
      <c r="A376" t="s">
        <v>36</v>
      </c>
      <c r="E376" t="s">
        <v>391</v>
      </c>
    </row>
    <row r="377" spans="1:5" x14ac:dyDescent="0.2">
      <c r="A377" t="s">
        <v>14</v>
      </c>
      <c r="B377" t="s">
        <v>150</v>
      </c>
      <c r="C377" t="s">
        <v>335</v>
      </c>
      <c r="D377" t="s">
        <v>321</v>
      </c>
    </row>
    <row r="378" spans="1:5" x14ac:dyDescent="0.2">
      <c r="A378" t="s">
        <v>5</v>
      </c>
      <c r="B378" t="s">
        <v>102</v>
      </c>
      <c r="C378" t="s">
        <v>341</v>
      </c>
      <c r="D378" t="s">
        <v>364</v>
      </c>
    </row>
    <row r="379" spans="1:5" x14ac:dyDescent="0.2">
      <c r="A379" t="s">
        <v>5</v>
      </c>
    </row>
    <row r="380" spans="1:5" x14ac:dyDescent="0.2">
      <c r="A380" t="s">
        <v>5</v>
      </c>
      <c r="B380" t="s">
        <v>300</v>
      </c>
      <c r="C380" t="s">
        <v>333</v>
      </c>
      <c r="D380" t="s">
        <v>365</v>
      </c>
      <c r="E380" t="s">
        <v>267</v>
      </c>
    </row>
    <row r="381" spans="1:5" x14ac:dyDescent="0.2">
      <c r="A381" t="s">
        <v>36</v>
      </c>
      <c r="E381" t="s">
        <v>11</v>
      </c>
    </row>
    <row r="382" spans="1:5" x14ac:dyDescent="0.2">
      <c r="A382" t="s">
        <v>14</v>
      </c>
      <c r="B382" t="s">
        <v>18</v>
      </c>
      <c r="C382" s="8" t="s">
        <v>280</v>
      </c>
      <c r="D382" t="s">
        <v>18</v>
      </c>
    </row>
    <row r="383" spans="1:5" x14ac:dyDescent="0.2">
      <c r="A383" t="s">
        <v>14</v>
      </c>
      <c r="B383" t="s">
        <v>268</v>
      </c>
      <c r="C383" t="s">
        <v>351</v>
      </c>
      <c r="D383" t="s">
        <v>18</v>
      </c>
    </row>
    <row r="384" spans="1:5" x14ac:dyDescent="0.2">
      <c r="A384" t="s">
        <v>9</v>
      </c>
    </row>
    <row r="385" spans="1:5" x14ac:dyDescent="0.2">
      <c r="A385" t="s">
        <v>12</v>
      </c>
      <c r="B385" t="s">
        <v>299</v>
      </c>
      <c r="D385" t="s">
        <v>18</v>
      </c>
    </row>
    <row r="386" spans="1:5" x14ac:dyDescent="0.2">
      <c r="A386" t="s">
        <v>9</v>
      </c>
      <c r="B386" t="s">
        <v>18</v>
      </c>
      <c r="D386" t="s">
        <v>18</v>
      </c>
    </row>
    <row r="387" spans="1:5" x14ac:dyDescent="0.2">
      <c r="A387" t="s">
        <v>36</v>
      </c>
      <c r="E387" t="s">
        <v>247</v>
      </c>
    </row>
    <row r="388" spans="1:5" x14ac:dyDescent="0.2">
      <c r="A388" t="s">
        <v>5</v>
      </c>
    </row>
    <row r="389" spans="1:5" x14ac:dyDescent="0.2">
      <c r="A389" t="s">
        <v>15</v>
      </c>
      <c r="D389" t="s">
        <v>282</v>
      </c>
    </row>
    <row r="390" spans="1:5" x14ac:dyDescent="0.2">
      <c r="A390" t="s">
        <v>5</v>
      </c>
      <c r="B390" t="s">
        <v>298</v>
      </c>
      <c r="C390" t="s">
        <v>326</v>
      </c>
      <c r="D390" t="s">
        <v>363</v>
      </c>
    </row>
    <row r="391" spans="1:5" x14ac:dyDescent="0.2">
      <c r="A391" t="s">
        <v>5</v>
      </c>
      <c r="B391" t="s">
        <v>297</v>
      </c>
      <c r="C391" t="s">
        <v>340</v>
      </c>
      <c r="D391" t="s">
        <v>361</v>
      </c>
    </row>
    <row r="392" spans="1:5" x14ac:dyDescent="0.2">
      <c r="A392" t="s">
        <v>5</v>
      </c>
      <c r="B392" t="s">
        <v>150</v>
      </c>
      <c r="C392" t="s">
        <v>339</v>
      </c>
      <c r="D392" t="s">
        <v>10</v>
      </c>
      <c r="E392" t="s">
        <v>51</v>
      </c>
    </row>
    <row r="393" spans="1:5" x14ac:dyDescent="0.2">
      <c r="A393" t="s">
        <v>12</v>
      </c>
      <c r="B393" t="s">
        <v>46</v>
      </c>
      <c r="D393" t="s">
        <v>18</v>
      </c>
      <c r="E393" t="s">
        <v>11</v>
      </c>
    </row>
    <row r="394" spans="1:5" x14ac:dyDescent="0.2">
      <c r="A394" t="s">
        <v>36</v>
      </c>
      <c r="D394" t="s">
        <v>74</v>
      </c>
      <c r="E394" t="s">
        <v>11</v>
      </c>
    </row>
    <row r="395" spans="1:5" x14ac:dyDescent="0.2">
      <c r="A395" t="s">
        <v>9</v>
      </c>
      <c r="B395" t="s">
        <v>18</v>
      </c>
      <c r="D395" t="s">
        <v>74</v>
      </c>
    </row>
    <row r="396" spans="1:5" x14ac:dyDescent="0.2">
      <c r="A396" t="s">
        <v>5</v>
      </c>
      <c r="B396" t="s">
        <v>296</v>
      </c>
      <c r="C396" t="s">
        <v>334</v>
      </c>
      <c r="D396" t="s">
        <v>362</v>
      </c>
    </row>
    <row r="397" spans="1:5" x14ac:dyDescent="0.2">
      <c r="A397" t="s">
        <v>14</v>
      </c>
      <c r="B397" t="s">
        <v>18</v>
      </c>
      <c r="C397" s="8" t="s">
        <v>280</v>
      </c>
      <c r="D397" t="s">
        <v>74</v>
      </c>
      <c r="E397" t="s">
        <v>49</v>
      </c>
    </row>
    <row r="398" spans="1:5" x14ac:dyDescent="0.2">
      <c r="A398" t="s">
        <v>36</v>
      </c>
      <c r="E398" t="s">
        <v>49</v>
      </c>
    </row>
    <row r="399" spans="1:5" x14ac:dyDescent="0.2">
      <c r="A399" t="s">
        <v>14</v>
      </c>
      <c r="B399" t="s">
        <v>6</v>
      </c>
      <c r="C399" s="8" t="s">
        <v>280</v>
      </c>
      <c r="D399" t="s">
        <v>18</v>
      </c>
    </row>
    <row r="400" spans="1:5" x14ac:dyDescent="0.2">
      <c r="A400" t="s">
        <v>5</v>
      </c>
      <c r="B400" t="s">
        <v>295</v>
      </c>
      <c r="C400" t="s">
        <v>179</v>
      </c>
      <c r="D400" t="s">
        <v>361</v>
      </c>
    </row>
    <row r="401" spans="1:5" x14ac:dyDescent="0.2">
      <c r="A401" t="s">
        <v>12</v>
      </c>
      <c r="B401" t="s">
        <v>270</v>
      </c>
      <c r="D401" t="s">
        <v>18</v>
      </c>
    </row>
    <row r="402" spans="1:5" x14ac:dyDescent="0.2">
      <c r="A402" t="s">
        <v>5</v>
      </c>
      <c r="B402" t="s">
        <v>102</v>
      </c>
      <c r="C402" t="s">
        <v>335</v>
      </c>
      <c r="D402" t="s">
        <v>18</v>
      </c>
      <c r="E402" t="s">
        <v>392</v>
      </c>
    </row>
    <row r="403" spans="1:5" x14ac:dyDescent="0.2">
      <c r="A403" t="s">
        <v>9</v>
      </c>
      <c r="B403" t="s">
        <v>194</v>
      </c>
      <c r="D403" t="s">
        <v>178</v>
      </c>
      <c r="E403" t="s">
        <v>11</v>
      </c>
    </row>
    <row r="404" spans="1:5" x14ac:dyDescent="0.2">
      <c r="A404" t="s">
        <v>12</v>
      </c>
      <c r="B404" t="s">
        <v>283</v>
      </c>
      <c r="D404" t="s">
        <v>360</v>
      </c>
    </row>
    <row r="405" spans="1:5" x14ac:dyDescent="0.2">
      <c r="A405" t="s">
        <v>5</v>
      </c>
      <c r="B405" t="s">
        <v>185</v>
      </c>
      <c r="D405" t="s">
        <v>10</v>
      </c>
      <c r="E405" t="s">
        <v>11</v>
      </c>
    </row>
    <row r="406" spans="1:5" x14ac:dyDescent="0.2">
      <c r="A406" t="s">
        <v>5</v>
      </c>
      <c r="B406" t="s">
        <v>10</v>
      </c>
      <c r="C406" t="s">
        <v>335</v>
      </c>
      <c r="D406" t="s">
        <v>10</v>
      </c>
    </row>
    <row r="407" spans="1:5" x14ac:dyDescent="0.2">
      <c r="A407" t="s">
        <v>36</v>
      </c>
      <c r="E407" t="s">
        <v>51</v>
      </c>
    </row>
    <row r="408" spans="1:5" x14ac:dyDescent="0.2">
      <c r="A408" t="s">
        <v>36</v>
      </c>
      <c r="E408" t="s">
        <v>51</v>
      </c>
    </row>
    <row r="409" spans="1:5" x14ac:dyDescent="0.2">
      <c r="A409" t="s">
        <v>7</v>
      </c>
      <c r="B409" t="s">
        <v>18</v>
      </c>
    </row>
    <row r="410" spans="1:5" x14ac:dyDescent="0.2">
      <c r="A410" t="s">
        <v>12</v>
      </c>
      <c r="B410" t="s">
        <v>294</v>
      </c>
      <c r="D410" t="s">
        <v>18</v>
      </c>
    </row>
    <row r="411" spans="1:5" x14ac:dyDescent="0.2">
      <c r="A411" t="s">
        <v>14</v>
      </c>
      <c r="B411" t="s">
        <v>319</v>
      </c>
      <c r="C411" t="s">
        <v>45</v>
      </c>
      <c r="D411" t="s">
        <v>179</v>
      </c>
    </row>
    <row r="412" spans="1:5" x14ac:dyDescent="0.2">
      <c r="A412" t="s">
        <v>14</v>
      </c>
      <c r="B412" t="s">
        <v>46</v>
      </c>
      <c r="C412" t="s">
        <v>18</v>
      </c>
      <c r="D412" t="s">
        <v>18</v>
      </c>
    </row>
    <row r="413" spans="1:5" x14ac:dyDescent="0.2">
      <c r="A413" t="s">
        <v>5</v>
      </c>
    </row>
    <row r="414" spans="1:5" x14ac:dyDescent="0.2">
      <c r="A414" t="s">
        <v>14</v>
      </c>
      <c r="B414" t="s">
        <v>266</v>
      </c>
      <c r="C414" t="s">
        <v>47</v>
      </c>
      <c r="D414" t="s">
        <v>178</v>
      </c>
    </row>
    <row r="415" spans="1:5" x14ac:dyDescent="0.2">
      <c r="A415" t="s">
        <v>21</v>
      </c>
    </row>
    <row r="416" spans="1:5" x14ac:dyDescent="0.2">
      <c r="A416" t="s">
        <v>9</v>
      </c>
      <c r="B416" t="s">
        <v>293</v>
      </c>
      <c r="D416" t="s">
        <v>359</v>
      </c>
    </row>
    <row r="417" spans="1:5" x14ac:dyDescent="0.2">
      <c r="A417" t="s">
        <v>5</v>
      </c>
      <c r="B417" t="s">
        <v>46</v>
      </c>
      <c r="C417" t="s">
        <v>338</v>
      </c>
      <c r="D417" t="s">
        <v>178</v>
      </c>
      <c r="E417" t="s">
        <v>11</v>
      </c>
    </row>
    <row r="418" spans="1:5" x14ac:dyDescent="0.2">
      <c r="A418" t="s">
        <v>5</v>
      </c>
      <c r="B418" t="s">
        <v>10</v>
      </c>
      <c r="C418" t="s">
        <v>337</v>
      </c>
      <c r="D418" t="s">
        <v>381</v>
      </c>
    </row>
    <row r="419" spans="1:5" x14ac:dyDescent="0.2">
      <c r="A419" t="s">
        <v>14</v>
      </c>
      <c r="B419" t="s">
        <v>291</v>
      </c>
      <c r="C419" t="s">
        <v>271</v>
      </c>
      <c r="D419" t="s">
        <v>358</v>
      </c>
      <c r="E419" t="s">
        <v>11</v>
      </c>
    </row>
    <row r="420" spans="1:5" x14ac:dyDescent="0.2">
      <c r="A420" t="s">
        <v>36</v>
      </c>
      <c r="E420" t="s">
        <v>11</v>
      </c>
    </row>
    <row r="421" spans="1:5" x14ac:dyDescent="0.2">
      <c r="A421" t="s">
        <v>12</v>
      </c>
      <c r="B421" t="s">
        <v>290</v>
      </c>
      <c r="D421" t="s">
        <v>272</v>
      </c>
    </row>
    <row r="422" spans="1:5" x14ac:dyDescent="0.2">
      <c r="A422" t="s">
        <v>5</v>
      </c>
      <c r="B422" t="s">
        <v>292</v>
      </c>
      <c r="C422" s="8" t="s">
        <v>280</v>
      </c>
      <c r="D422" t="s">
        <v>357</v>
      </c>
    </row>
    <row r="423" spans="1:5" x14ac:dyDescent="0.2">
      <c r="A423" t="s">
        <v>12</v>
      </c>
      <c r="B423" t="s">
        <v>18</v>
      </c>
      <c r="D423" t="s">
        <v>10</v>
      </c>
    </row>
    <row r="424" spans="1:5" x14ac:dyDescent="0.2">
      <c r="A424" t="s">
        <v>16</v>
      </c>
      <c r="C424" t="s">
        <v>336</v>
      </c>
      <c r="D424" t="s">
        <v>356</v>
      </c>
    </row>
    <row r="425" spans="1:5" x14ac:dyDescent="0.2">
      <c r="A425" t="s">
        <v>36</v>
      </c>
      <c r="E425" t="s">
        <v>273</v>
      </c>
    </row>
    <row r="426" spans="1:5" x14ac:dyDescent="0.2">
      <c r="A426" t="s">
        <v>14</v>
      </c>
      <c r="B426" t="s">
        <v>289</v>
      </c>
      <c r="C426" t="s">
        <v>274</v>
      </c>
      <c r="D426" t="s">
        <v>18</v>
      </c>
    </row>
    <row r="427" spans="1:5" x14ac:dyDescent="0.2">
      <c r="A427" t="s">
        <v>5</v>
      </c>
      <c r="B427" t="s">
        <v>288</v>
      </c>
      <c r="C427" s="8" t="s">
        <v>280</v>
      </c>
      <c r="D427" t="s">
        <v>355</v>
      </c>
    </row>
    <row r="428" spans="1:5" x14ac:dyDescent="0.2">
      <c r="A428" t="s">
        <v>12</v>
      </c>
      <c r="E428" t="s">
        <v>654</v>
      </c>
    </row>
    <row r="429" spans="1:5" x14ac:dyDescent="0.2">
      <c r="A429" t="s">
        <v>14</v>
      </c>
    </row>
    <row r="430" spans="1:5" x14ac:dyDescent="0.2">
      <c r="A430" t="s">
        <v>5</v>
      </c>
      <c r="B430" t="s">
        <v>287</v>
      </c>
      <c r="C430" t="s">
        <v>275</v>
      </c>
      <c r="D430" t="s">
        <v>18</v>
      </c>
    </row>
    <row r="431" spans="1:5" x14ac:dyDescent="0.2">
      <c r="A431" t="s">
        <v>5</v>
      </c>
      <c r="B431" t="s">
        <v>318</v>
      </c>
      <c r="C431" t="s">
        <v>348</v>
      </c>
      <c r="D431" t="s">
        <v>652</v>
      </c>
      <c r="E431" t="s">
        <v>11</v>
      </c>
    </row>
    <row r="432" spans="1:5" x14ac:dyDescent="0.2">
      <c r="A432" t="s">
        <v>36</v>
      </c>
      <c r="E432" t="s">
        <v>388</v>
      </c>
    </row>
    <row r="433" spans="1:5" x14ac:dyDescent="0.2">
      <c r="A433" t="s">
        <v>9</v>
      </c>
      <c r="B433" t="s">
        <v>276</v>
      </c>
      <c r="D433" t="s">
        <v>18</v>
      </c>
    </row>
    <row r="434" spans="1:5" x14ac:dyDescent="0.2">
      <c r="A434" t="s">
        <v>36</v>
      </c>
      <c r="E434" t="s">
        <v>11</v>
      </c>
    </row>
    <row r="435" spans="1:5" x14ac:dyDescent="0.2">
      <c r="A435" t="s">
        <v>5</v>
      </c>
      <c r="B435" t="s">
        <v>286</v>
      </c>
      <c r="C435" t="s">
        <v>347</v>
      </c>
      <c r="D435" t="s">
        <v>354</v>
      </c>
    </row>
    <row r="436" spans="1:5" x14ac:dyDescent="0.2">
      <c r="A436" t="s">
        <v>9</v>
      </c>
      <c r="B436" t="s">
        <v>277</v>
      </c>
      <c r="D436" t="s">
        <v>178</v>
      </c>
      <c r="E436" t="s">
        <v>387</v>
      </c>
    </row>
    <row r="437" spans="1:5" x14ac:dyDescent="0.2">
      <c r="A437" t="s">
        <v>9</v>
      </c>
      <c r="B437" t="s">
        <v>18</v>
      </c>
      <c r="D437" t="s">
        <v>18</v>
      </c>
      <c r="E437" t="s">
        <v>11</v>
      </c>
    </row>
    <row r="438" spans="1:5" x14ac:dyDescent="0.2">
      <c r="A438" t="s">
        <v>9</v>
      </c>
    </row>
    <row r="439" spans="1:5" x14ac:dyDescent="0.2">
      <c r="A439" t="s">
        <v>36</v>
      </c>
      <c r="E439" t="s">
        <v>51</v>
      </c>
    </row>
    <row r="440" spans="1:5" x14ac:dyDescent="0.2">
      <c r="A440" t="s">
        <v>14</v>
      </c>
      <c r="B440" t="s">
        <v>285</v>
      </c>
      <c r="C440" t="s">
        <v>278</v>
      </c>
      <c r="D440" t="s">
        <v>74</v>
      </c>
    </row>
    <row r="441" spans="1:5" x14ac:dyDescent="0.2">
      <c r="A441" t="s">
        <v>5</v>
      </c>
      <c r="B441" t="s">
        <v>10</v>
      </c>
      <c r="C441" t="s">
        <v>196</v>
      </c>
      <c r="D441" t="s">
        <v>18</v>
      </c>
    </row>
    <row r="442" spans="1:5" x14ac:dyDescent="0.2">
      <c r="A442" t="s">
        <v>9</v>
      </c>
    </row>
    <row r="443" spans="1:5" x14ac:dyDescent="0.2">
      <c r="A443" t="s">
        <v>36</v>
      </c>
      <c r="E443" t="s">
        <v>11</v>
      </c>
    </row>
    <row r="444" spans="1:5" x14ac:dyDescent="0.2">
      <c r="A444" t="s">
        <v>5</v>
      </c>
    </row>
    <row r="445" spans="1:5" x14ac:dyDescent="0.2">
      <c r="A445" t="s">
        <v>9</v>
      </c>
      <c r="B445" t="s">
        <v>284</v>
      </c>
      <c r="D445" t="s">
        <v>18</v>
      </c>
    </row>
    <row r="446" spans="1:5" x14ac:dyDescent="0.2">
      <c r="A446" t="s">
        <v>36</v>
      </c>
      <c r="E446" t="s">
        <v>11</v>
      </c>
    </row>
    <row r="447" spans="1:5" x14ac:dyDescent="0.2">
      <c r="A447" t="s">
        <v>14</v>
      </c>
    </row>
    <row r="448" spans="1:5" x14ac:dyDescent="0.2">
      <c r="A448" t="s">
        <v>9</v>
      </c>
      <c r="B448" t="s">
        <v>18</v>
      </c>
      <c r="D448" t="s">
        <v>18</v>
      </c>
    </row>
    <row r="449" spans="1:5" x14ac:dyDescent="0.2">
      <c r="A449" t="s">
        <v>12</v>
      </c>
      <c r="E449" t="s">
        <v>13</v>
      </c>
    </row>
    <row r="450" spans="1:5" x14ac:dyDescent="0.2">
      <c r="A450" t="s">
        <v>14</v>
      </c>
    </row>
    <row r="451" spans="1:5" x14ac:dyDescent="0.2">
      <c r="A451" t="s">
        <v>5</v>
      </c>
    </row>
    <row r="452" spans="1:5" x14ac:dyDescent="0.2">
      <c r="A452" t="s">
        <v>7</v>
      </c>
    </row>
    <row r="453" spans="1:5" x14ac:dyDescent="0.2">
      <c r="A453" t="s">
        <v>12</v>
      </c>
      <c r="B453" t="s">
        <v>46</v>
      </c>
      <c r="D453" t="s">
        <v>120</v>
      </c>
    </row>
    <row r="454" spans="1:5" x14ac:dyDescent="0.2">
      <c r="A454" t="s">
        <v>9</v>
      </c>
    </row>
    <row r="455" spans="1:5" x14ac:dyDescent="0.2">
      <c r="A455" t="s">
        <v>12</v>
      </c>
      <c r="B455" t="s">
        <v>102</v>
      </c>
      <c r="D455" t="s">
        <v>18</v>
      </c>
    </row>
    <row r="456" spans="1:5" x14ac:dyDescent="0.2">
      <c r="A456" t="s">
        <v>12</v>
      </c>
    </row>
    <row r="457" spans="1:5" x14ac:dyDescent="0.2">
      <c r="A457" t="s">
        <v>14</v>
      </c>
    </row>
    <row r="458" spans="1:5" x14ac:dyDescent="0.2">
      <c r="A458" t="s">
        <v>14</v>
      </c>
      <c r="B458" t="s">
        <v>283</v>
      </c>
      <c r="C458" t="s">
        <v>99</v>
      </c>
      <c r="D458" t="s">
        <v>74</v>
      </c>
    </row>
    <row r="459" spans="1:5" x14ac:dyDescent="0.2">
      <c r="A459" t="s">
        <v>14</v>
      </c>
      <c r="B459" t="s">
        <v>194</v>
      </c>
      <c r="C459" t="s">
        <v>335</v>
      </c>
      <c r="D459" t="s">
        <v>10</v>
      </c>
    </row>
    <row r="460" spans="1:5" x14ac:dyDescent="0.2">
      <c r="A460" t="s">
        <v>12</v>
      </c>
      <c r="B460" t="s">
        <v>74</v>
      </c>
      <c r="D460" t="s">
        <v>74</v>
      </c>
    </row>
    <row r="461" spans="1:5" x14ac:dyDescent="0.2">
      <c r="A461" t="s">
        <v>5</v>
      </c>
      <c r="B461" t="s">
        <v>317</v>
      </c>
      <c r="C461" t="s">
        <v>335</v>
      </c>
      <c r="D461" t="s">
        <v>379</v>
      </c>
    </row>
    <row r="462" spans="1:5" x14ac:dyDescent="0.2">
      <c r="A462" t="s">
        <v>9</v>
      </c>
      <c r="B462" t="s">
        <v>279</v>
      </c>
      <c r="D462" t="s">
        <v>380</v>
      </c>
    </row>
    <row r="463" spans="1:5" x14ac:dyDescent="0.2">
      <c r="A463" t="s">
        <v>12</v>
      </c>
      <c r="B463" t="s">
        <v>180</v>
      </c>
      <c r="D463" t="s">
        <v>18</v>
      </c>
    </row>
    <row r="464" spans="1:5" x14ac:dyDescent="0.2">
      <c r="A464" t="s">
        <v>21</v>
      </c>
    </row>
    <row r="465" spans="1:5" x14ac:dyDescent="0.2">
      <c r="A465" t="s">
        <v>14</v>
      </c>
      <c r="B465" t="s">
        <v>10</v>
      </c>
      <c r="C465" t="s">
        <v>280</v>
      </c>
      <c r="D465" t="s">
        <v>10</v>
      </c>
    </row>
    <row r="466" spans="1:5" x14ac:dyDescent="0.2">
      <c r="A466" t="s">
        <v>5</v>
      </c>
    </row>
    <row r="467" spans="1:5" x14ac:dyDescent="0.2">
      <c r="A467" t="s">
        <v>9</v>
      </c>
      <c r="B467" t="s">
        <v>266</v>
      </c>
      <c r="D467" t="s">
        <v>18</v>
      </c>
    </row>
    <row r="468" spans="1:5" x14ac:dyDescent="0.2">
      <c r="A468" t="s">
        <v>36</v>
      </c>
      <c r="E468" t="s">
        <v>387</v>
      </c>
    </row>
    <row r="469" spans="1:5" x14ac:dyDescent="0.2">
      <c r="A469" t="s">
        <v>9</v>
      </c>
      <c r="B469" t="s">
        <v>102</v>
      </c>
      <c r="D469" t="s">
        <v>352</v>
      </c>
    </row>
    <row r="470" spans="1:5" x14ac:dyDescent="0.2">
      <c r="A470" t="s">
        <v>5</v>
      </c>
      <c r="B470" t="s">
        <v>282</v>
      </c>
      <c r="C470" t="s">
        <v>18</v>
      </c>
      <c r="D470" t="s">
        <v>18</v>
      </c>
      <c r="E470" t="s">
        <v>49</v>
      </c>
    </row>
    <row r="471" spans="1:5" x14ac:dyDescent="0.2">
      <c r="A471" t="s">
        <v>5</v>
      </c>
      <c r="B471" t="s">
        <v>74</v>
      </c>
      <c r="C471" t="s">
        <v>280</v>
      </c>
      <c r="D471" t="s">
        <v>353</v>
      </c>
    </row>
    <row r="472" spans="1:5" x14ac:dyDescent="0.2">
      <c r="A472" t="s">
        <v>36</v>
      </c>
      <c r="E472" t="s">
        <v>18</v>
      </c>
    </row>
    <row r="473" spans="1:5" x14ac:dyDescent="0.2">
      <c r="A473" t="s">
        <v>36</v>
      </c>
      <c r="E473" t="s">
        <v>11</v>
      </c>
    </row>
    <row r="474" spans="1:5" x14ac:dyDescent="0.2">
      <c r="A474" t="s">
        <v>36</v>
      </c>
      <c r="E474" t="s">
        <v>390</v>
      </c>
    </row>
    <row r="475" spans="1:5" x14ac:dyDescent="0.2">
      <c r="A475" t="s">
        <v>36</v>
      </c>
      <c r="E475" t="s">
        <v>49</v>
      </c>
    </row>
    <row r="476" spans="1:5" x14ac:dyDescent="0.2">
      <c r="A476" s="4" t="s">
        <v>281</v>
      </c>
      <c r="B476" s="4"/>
      <c r="C476" s="4"/>
    </row>
    <row r="477" spans="1:5" x14ac:dyDescent="0.2">
      <c r="A477" t="s">
        <v>35</v>
      </c>
      <c r="B477">
        <f>COUNTIFS($A$317:$A$475, "*Dessecante pre-plantio*")</f>
        <v>130</v>
      </c>
      <c r="C477" s="2">
        <f>(B477/$B$481)*100</f>
        <v>81.761006289308185</v>
      </c>
    </row>
    <row r="478" spans="1:5" x14ac:dyDescent="0.2">
      <c r="A478" t="s">
        <v>17</v>
      </c>
      <c r="B478">
        <f>COUNTIFS($A$317:$A$475, "*pre-emergente*")</f>
        <v>84</v>
      </c>
      <c r="C478" s="2">
        <f t="shared" ref="C478:C480" si="12">(B478/$B$481)*100</f>
        <v>52.830188679245282</v>
      </c>
    </row>
    <row r="479" spans="1:5" x14ac:dyDescent="0.2">
      <c r="A479" t="s">
        <v>15</v>
      </c>
      <c r="B479">
        <f>COUNTIFS($A$317:$A$475, "*pos-emergente*")</f>
        <v>128</v>
      </c>
      <c r="C479" s="2">
        <f t="shared" si="12"/>
        <v>80.503144654088061</v>
      </c>
    </row>
    <row r="480" spans="1:5" x14ac:dyDescent="0.2">
      <c r="A480" t="s">
        <v>36</v>
      </c>
      <c r="B480">
        <f>COUNTIFS($A$317:$A$475, "*Dessecante pre-colheita*")</f>
        <v>97</v>
      </c>
      <c r="C480" s="2">
        <f t="shared" si="12"/>
        <v>61.0062893081761</v>
      </c>
    </row>
    <row r="481" spans="1:3" x14ac:dyDescent="0.2">
      <c r="A481" t="s">
        <v>38</v>
      </c>
      <c r="B481">
        <f>COUNTIFS($A$317:$A$475, "**")</f>
        <v>159</v>
      </c>
    </row>
    <row r="482" spans="1:3" x14ac:dyDescent="0.2">
      <c r="A482" s="3" t="s">
        <v>35</v>
      </c>
      <c r="B482" s="3"/>
      <c r="C482" s="3"/>
    </row>
    <row r="483" spans="1:3" x14ac:dyDescent="0.2">
      <c r="A483" t="s">
        <v>44</v>
      </c>
      <c r="B483">
        <f>COUNTIFS($B$317:$B$475, "*glifosato*")</f>
        <v>85</v>
      </c>
      <c r="C483" s="2">
        <f t="shared" ref="C483:C495" si="13">(B483/$B$496)*100</f>
        <v>85</v>
      </c>
    </row>
    <row r="484" spans="1:3" x14ac:dyDescent="0.2">
      <c r="A484" t="s">
        <v>46</v>
      </c>
      <c r="B484">
        <f>COUNTIFS($B$317:$B$475, "*2,4-d*")</f>
        <v>56</v>
      </c>
      <c r="C484" s="2">
        <f t="shared" si="13"/>
        <v>56.000000000000007</v>
      </c>
    </row>
    <row r="485" spans="1:3" x14ac:dyDescent="0.2">
      <c r="A485" t="s">
        <v>49</v>
      </c>
      <c r="B485">
        <f>COUNTIFS($B$317:$B$475, "*paraquat*")</f>
        <v>24</v>
      </c>
      <c r="C485" s="2">
        <f t="shared" si="13"/>
        <v>24</v>
      </c>
    </row>
    <row r="486" spans="1:3" x14ac:dyDescent="0.2">
      <c r="A486" t="s">
        <v>196</v>
      </c>
      <c r="B486">
        <f>COUNTIFS($B$317:$B$475, "*clethodim*")</f>
        <v>12</v>
      </c>
      <c r="C486" s="2">
        <f t="shared" si="13"/>
        <v>12</v>
      </c>
    </row>
    <row r="487" spans="1:3" x14ac:dyDescent="0.2">
      <c r="A487" t="s">
        <v>131</v>
      </c>
      <c r="B487">
        <f>COUNTIFS($B$317:$B$475, "*metsulfuron*")</f>
        <v>3</v>
      </c>
      <c r="C487" s="2">
        <f t="shared" si="13"/>
        <v>3</v>
      </c>
    </row>
    <row r="488" spans="1:3" x14ac:dyDescent="0.2">
      <c r="A488" t="s">
        <v>45</v>
      </c>
      <c r="B488">
        <f>COUNTIFS($B$317:$B$475, "*flumioxazin*")</f>
        <v>10</v>
      </c>
      <c r="C488" s="2">
        <f t="shared" si="13"/>
        <v>10</v>
      </c>
    </row>
    <row r="489" spans="1:3" x14ac:dyDescent="0.2">
      <c r="A489" t="s">
        <v>321</v>
      </c>
      <c r="B489">
        <f>COUNTIFS($B$317:$B$475, "*sulfentrazone*")</f>
        <v>3</v>
      </c>
      <c r="C489" s="2">
        <f t="shared" si="13"/>
        <v>3</v>
      </c>
    </row>
    <row r="490" spans="1:3" x14ac:dyDescent="0.2">
      <c r="A490" t="s">
        <v>75</v>
      </c>
      <c r="B490">
        <f>COUNTIFS($B$317:$B$475, "*glufosinato*")</f>
        <v>3</v>
      </c>
      <c r="C490" s="2">
        <f t="shared" si="13"/>
        <v>3</v>
      </c>
    </row>
    <row r="491" spans="1:3" x14ac:dyDescent="0.2">
      <c r="A491" t="s">
        <v>58</v>
      </c>
      <c r="B491">
        <f>COUNTIFS($B$317:$B$475, "*diuron*")</f>
        <v>5</v>
      </c>
      <c r="C491" s="2">
        <f t="shared" si="13"/>
        <v>5</v>
      </c>
    </row>
    <row r="492" spans="1:3" x14ac:dyDescent="0.2">
      <c r="A492" t="s">
        <v>198</v>
      </c>
      <c r="B492">
        <f>COUNTIFS($B$317:$B$475, "*haloxifop*")</f>
        <v>4</v>
      </c>
      <c r="C492" s="2">
        <f t="shared" si="13"/>
        <v>4</v>
      </c>
    </row>
    <row r="493" spans="1:3" x14ac:dyDescent="0.2">
      <c r="A493" t="s">
        <v>322</v>
      </c>
      <c r="B493">
        <f>COUNTIFS($B$317:$B$475, "*chlorimuron*")</f>
        <v>7</v>
      </c>
      <c r="C493" s="2">
        <f t="shared" si="13"/>
        <v>7.0000000000000009</v>
      </c>
    </row>
    <row r="494" spans="1:3" x14ac:dyDescent="0.2">
      <c r="A494" t="s">
        <v>175</v>
      </c>
      <c r="B494">
        <f>COUNTIFS($B$317:$B$475, "* S-metolachlor*")</f>
        <v>2</v>
      </c>
      <c r="C494" s="2">
        <f t="shared" si="13"/>
        <v>2</v>
      </c>
    </row>
    <row r="495" spans="1:3" x14ac:dyDescent="0.2">
      <c r="A495" t="s">
        <v>199</v>
      </c>
      <c r="B495">
        <f>COUNTIFS($B$317:$B$475, "*saflufenacil*")</f>
        <v>12</v>
      </c>
      <c r="C495" s="2">
        <f t="shared" si="13"/>
        <v>12</v>
      </c>
    </row>
    <row r="496" spans="1:3" x14ac:dyDescent="0.2">
      <c r="A496" t="s">
        <v>38</v>
      </c>
      <c r="B496">
        <f>COUNTIFS($B$276:$B$475, "**")</f>
        <v>100</v>
      </c>
    </row>
    <row r="497" spans="1:3" x14ac:dyDescent="0.2">
      <c r="A497" s="3" t="s">
        <v>17</v>
      </c>
      <c r="B497" s="3"/>
      <c r="C497" s="3"/>
    </row>
    <row r="498" spans="1:3" x14ac:dyDescent="0.2">
      <c r="A498" t="s">
        <v>56</v>
      </c>
      <c r="B498">
        <f>COUNTIFS($C$317:$C$475, "*s-methalaclor*")</f>
        <v>17</v>
      </c>
      <c r="C498" s="2">
        <f>(B498/$B$508)*100</f>
        <v>28.333333333333332</v>
      </c>
    </row>
    <row r="499" spans="1:3" x14ac:dyDescent="0.2">
      <c r="A499" t="s">
        <v>259</v>
      </c>
      <c r="B499">
        <f>COUNTIFS($C$317:$C$475, "*diclosulan*")</f>
        <v>26</v>
      </c>
      <c r="C499" s="2">
        <f t="shared" ref="C499:C507" si="14">(B499/$B$508)*100</f>
        <v>43.333333333333336</v>
      </c>
    </row>
    <row r="500" spans="1:3" x14ac:dyDescent="0.2">
      <c r="A500" t="s">
        <v>130</v>
      </c>
      <c r="B500">
        <f>COUNTIFS($C$317:$C$475, "*imazethapyr*")</f>
        <v>7</v>
      </c>
      <c r="C500" s="2">
        <f t="shared" si="14"/>
        <v>11.666666666666666</v>
      </c>
    </row>
    <row r="501" spans="1:3" x14ac:dyDescent="0.2">
      <c r="A501" t="s">
        <v>321</v>
      </c>
      <c r="B501">
        <f>COUNTIFS($C$317:$C$475, "*sulfentrazone*")</f>
        <v>5</v>
      </c>
      <c r="C501" s="2">
        <f t="shared" si="14"/>
        <v>8.3333333333333321</v>
      </c>
    </row>
    <row r="502" spans="1:3" x14ac:dyDescent="0.2">
      <c r="A502" t="s">
        <v>74</v>
      </c>
      <c r="B502">
        <f>COUNTIFS($C$317:$C$475, "*glifosato*")</f>
        <v>4</v>
      </c>
      <c r="C502" s="2">
        <f t="shared" si="14"/>
        <v>6.666666666666667</v>
      </c>
    </row>
    <row r="503" spans="1:3" x14ac:dyDescent="0.2">
      <c r="A503" t="s">
        <v>349</v>
      </c>
      <c r="B503">
        <f>COUNTIFS($C$317:$C$475, "*imazaquim*")</f>
        <v>1</v>
      </c>
      <c r="C503" s="2">
        <f t="shared" si="14"/>
        <v>1.6666666666666667</v>
      </c>
    </row>
    <row r="504" spans="1:3" x14ac:dyDescent="0.2">
      <c r="A504" t="s">
        <v>350</v>
      </c>
      <c r="B504">
        <f>COUNTIFS($C$317:$C$475, "*flumioxazin*")</f>
        <v>11</v>
      </c>
      <c r="C504" s="2">
        <f t="shared" si="14"/>
        <v>18.333333333333332</v>
      </c>
    </row>
    <row r="505" spans="1:3" x14ac:dyDescent="0.2">
      <c r="A505" t="s">
        <v>75</v>
      </c>
      <c r="B505">
        <f t="shared" ref="B505" si="15">COUNTIFS($C$317:$C$475, "*glifosato*")</f>
        <v>4</v>
      </c>
      <c r="C505" s="2">
        <f t="shared" si="14"/>
        <v>6.666666666666667</v>
      </c>
    </row>
    <row r="506" spans="1:3" x14ac:dyDescent="0.2">
      <c r="A506" t="s">
        <v>49</v>
      </c>
      <c r="B506">
        <f>COUNTIFS($C$317:$C$475, "*glufosinato*")</f>
        <v>1</v>
      </c>
      <c r="C506" s="2">
        <f t="shared" si="14"/>
        <v>1.6666666666666667</v>
      </c>
    </row>
    <row r="507" spans="1:3" x14ac:dyDescent="0.2">
      <c r="A507" t="s">
        <v>57</v>
      </c>
      <c r="B507">
        <f>COUNTIFS($C$317:$C$475, "*trifluralina*")</f>
        <v>2</v>
      </c>
      <c r="C507" s="2">
        <f t="shared" si="14"/>
        <v>3.3333333333333335</v>
      </c>
    </row>
    <row r="508" spans="1:3" x14ac:dyDescent="0.2">
      <c r="A508" t="s">
        <v>38</v>
      </c>
      <c r="B508">
        <f>COUNTIFS($C$317:$C$475, "**")</f>
        <v>60</v>
      </c>
      <c r="C508" s="2"/>
    </row>
    <row r="509" spans="1:3" x14ac:dyDescent="0.2">
      <c r="A509" s="3" t="s">
        <v>15</v>
      </c>
      <c r="B509" s="3"/>
      <c r="C509" s="3"/>
    </row>
    <row r="510" spans="1:3" x14ac:dyDescent="0.2">
      <c r="A510" t="s">
        <v>74</v>
      </c>
      <c r="B510">
        <f>COUNTIFS($D$317:$D$475, "*glifosato*")</f>
        <v>92</v>
      </c>
      <c r="C510" s="2">
        <f>(B510/$B$520)*100</f>
        <v>92.929292929292927</v>
      </c>
    </row>
    <row r="511" spans="1:3" x14ac:dyDescent="0.2">
      <c r="A511" t="s">
        <v>350</v>
      </c>
      <c r="B511">
        <f>COUNTIFS($D$317:$D$475, "*flumioxazin*")</f>
        <v>1</v>
      </c>
      <c r="C511" s="2">
        <f t="shared" ref="C511:C519" si="16">(B511/$B$520)*100</f>
        <v>1.0101010101010102</v>
      </c>
    </row>
    <row r="512" spans="1:3" x14ac:dyDescent="0.2">
      <c r="A512" t="s">
        <v>76</v>
      </c>
      <c r="B512">
        <f>COUNTIFS($D$317:$D$475, "*clethodim*")</f>
        <v>14</v>
      </c>
      <c r="C512" s="2">
        <f t="shared" si="16"/>
        <v>14.14141414141414</v>
      </c>
    </row>
    <row r="513" spans="1:5" x14ac:dyDescent="0.2">
      <c r="A513" t="s">
        <v>130</v>
      </c>
      <c r="B513">
        <f>COUNTIFS($D$317:$D$475, "*imazethapyr*")</f>
        <v>10</v>
      </c>
      <c r="C513" s="2">
        <f t="shared" si="16"/>
        <v>10.1010101010101</v>
      </c>
    </row>
    <row r="514" spans="1:5" x14ac:dyDescent="0.2">
      <c r="A514" t="s">
        <v>382</v>
      </c>
      <c r="B514">
        <f>COUNTIFS($D$317:$D$475, "*haloxyfop*")</f>
        <v>8</v>
      </c>
      <c r="C514" s="2">
        <f t="shared" si="16"/>
        <v>8.0808080808080813</v>
      </c>
    </row>
    <row r="515" spans="1:5" x14ac:dyDescent="0.2">
      <c r="A515" t="s">
        <v>383</v>
      </c>
      <c r="B515">
        <f>COUNTIFS($D$317:$D$475, "*lactofen*")</f>
        <v>4</v>
      </c>
      <c r="C515" s="2">
        <f t="shared" si="16"/>
        <v>4.0404040404040407</v>
      </c>
    </row>
    <row r="516" spans="1:5" x14ac:dyDescent="0.2">
      <c r="A516" t="s">
        <v>384</v>
      </c>
      <c r="B516">
        <f>COUNTIFS($D$317:$D$475, "*fomesafen*")</f>
        <v>6</v>
      </c>
      <c r="C516" s="2">
        <f t="shared" si="16"/>
        <v>6.0606060606060606</v>
      </c>
    </row>
    <row r="517" spans="1:5" x14ac:dyDescent="0.2">
      <c r="A517" t="s">
        <v>321</v>
      </c>
      <c r="B517">
        <f>COUNTIFS($D$317:$D$475, "*sulfentrazone*")</f>
        <v>4</v>
      </c>
      <c r="C517" s="2">
        <f t="shared" si="16"/>
        <v>4.0404040404040407</v>
      </c>
    </row>
    <row r="518" spans="1:5" x14ac:dyDescent="0.2">
      <c r="A518" t="s">
        <v>322</v>
      </c>
      <c r="B518">
        <f>COUNTIFS($D$317:$D$475, "*chlorimuron*")</f>
        <v>11</v>
      </c>
      <c r="C518" s="2">
        <f>(B518/$B$520)*100</f>
        <v>11.111111111111111</v>
      </c>
    </row>
    <row r="519" spans="1:5" x14ac:dyDescent="0.2">
      <c r="A519" t="s">
        <v>385</v>
      </c>
      <c r="B519">
        <f>COUNTIFS($D$317:$D$475, "*basagran*")</f>
        <v>2</v>
      </c>
      <c r="C519" s="2">
        <f t="shared" si="16"/>
        <v>2.0202020202020203</v>
      </c>
    </row>
    <row r="520" spans="1:5" x14ac:dyDescent="0.2">
      <c r="A520" t="s">
        <v>38</v>
      </c>
      <c r="B520">
        <f>COUNTIFS($D$317:$D$475, "**")</f>
        <v>99</v>
      </c>
      <c r="C520" s="2"/>
    </row>
    <row r="521" spans="1:5" x14ac:dyDescent="0.2">
      <c r="A521" s="3" t="s">
        <v>386</v>
      </c>
      <c r="B521" s="3"/>
      <c r="C521" s="3"/>
    </row>
    <row r="522" spans="1:5" x14ac:dyDescent="0.2">
      <c r="A522" t="s">
        <v>74</v>
      </c>
      <c r="B522">
        <f>COUNTIFS($E$317:$E$475, "*glifosato*")</f>
        <v>2</v>
      </c>
      <c r="C522" s="2">
        <f>(B522/$B$527)*100</f>
        <v>3.6363636363636362</v>
      </c>
    </row>
    <row r="523" spans="1:5" x14ac:dyDescent="0.2">
      <c r="A523" t="s">
        <v>387</v>
      </c>
      <c r="B523">
        <f>COUNTIFS($E$317:$E$475, "*diquat*")</f>
        <v>13</v>
      </c>
      <c r="C523" s="2">
        <f t="shared" ref="C523:C526" si="17">(B523/$B$527)*100</f>
        <v>23.636363636363637</v>
      </c>
    </row>
    <row r="524" spans="1:5" x14ac:dyDescent="0.2">
      <c r="A524" t="s">
        <v>49</v>
      </c>
      <c r="B524">
        <f>COUNTIFS($E$317:$E$475, "*paraquat*")</f>
        <v>42</v>
      </c>
      <c r="C524" s="2">
        <f>(B524/$B$527)*100</f>
        <v>76.363636363636374</v>
      </c>
    </row>
    <row r="525" spans="1:5" x14ac:dyDescent="0.2">
      <c r="A525" t="s">
        <v>75</v>
      </c>
      <c r="B525">
        <f>COUNTIFS($E$317:$E$475, "*glufosinato*")</f>
        <v>5</v>
      </c>
      <c r="C525" s="2">
        <f t="shared" si="17"/>
        <v>9.0909090909090917</v>
      </c>
    </row>
    <row r="526" spans="1:5" x14ac:dyDescent="0.2">
      <c r="A526" t="s">
        <v>19</v>
      </c>
      <c r="B526">
        <f>COUNTIFS($E$317:$E$475, "*atrazine*")</f>
        <v>1</v>
      </c>
      <c r="C526" s="2">
        <f t="shared" si="17"/>
        <v>1.8181818181818181</v>
      </c>
    </row>
    <row r="527" spans="1:5" x14ac:dyDescent="0.2">
      <c r="A527" t="s">
        <v>38</v>
      </c>
      <c r="B527">
        <f>COUNTIFS($E$317:$E$475, "**")</f>
        <v>55</v>
      </c>
    </row>
    <row r="528" spans="1:5" x14ac:dyDescent="0.2">
      <c r="A528" s="5" t="s">
        <v>393</v>
      </c>
      <c r="B528" s="5" t="s">
        <v>394</v>
      </c>
      <c r="C528" s="5" t="s">
        <v>395</v>
      </c>
      <c r="D528" s="5" t="s">
        <v>396</v>
      </c>
      <c r="E528" s="5" t="s">
        <v>397</v>
      </c>
    </row>
    <row r="529" spans="1:5" x14ac:dyDescent="0.2">
      <c r="A529" t="s">
        <v>5</v>
      </c>
    </row>
    <row r="530" spans="1:5" x14ac:dyDescent="0.2">
      <c r="A530" t="s">
        <v>14</v>
      </c>
    </row>
    <row r="531" spans="1:5" x14ac:dyDescent="0.2">
      <c r="A531" t="s">
        <v>96</v>
      </c>
      <c r="C531" t="s">
        <v>398</v>
      </c>
      <c r="D531" t="s">
        <v>656</v>
      </c>
    </row>
    <row r="532" spans="1:5" x14ac:dyDescent="0.2">
      <c r="A532" t="s">
        <v>5</v>
      </c>
    </row>
    <row r="533" spans="1:5" x14ac:dyDescent="0.2">
      <c r="A533" t="s">
        <v>96</v>
      </c>
    </row>
    <row r="534" spans="1:5" x14ac:dyDescent="0.2">
      <c r="A534" t="s">
        <v>5</v>
      </c>
      <c r="B534" t="s">
        <v>18</v>
      </c>
      <c r="C534" t="s">
        <v>264</v>
      </c>
      <c r="D534" t="s">
        <v>264</v>
      </c>
      <c r="E534" t="s">
        <v>399</v>
      </c>
    </row>
    <row r="535" spans="1:5" x14ac:dyDescent="0.2">
      <c r="A535" t="s">
        <v>7</v>
      </c>
      <c r="B535" t="s">
        <v>74</v>
      </c>
    </row>
    <row r="536" spans="1:5" x14ac:dyDescent="0.2">
      <c r="A536" t="s">
        <v>14</v>
      </c>
      <c r="B536" t="s">
        <v>655</v>
      </c>
      <c r="C536" t="s">
        <v>400</v>
      </c>
      <c r="D536" t="s">
        <v>401</v>
      </c>
    </row>
    <row r="537" spans="1:5" x14ac:dyDescent="0.2">
      <c r="A537" t="s">
        <v>5</v>
      </c>
      <c r="B537" t="s">
        <v>102</v>
      </c>
      <c r="C537" t="s">
        <v>402</v>
      </c>
      <c r="D537" t="s">
        <v>403</v>
      </c>
      <c r="E537" t="s">
        <v>18</v>
      </c>
    </row>
    <row r="538" spans="1:5" x14ac:dyDescent="0.2">
      <c r="A538" t="s">
        <v>14</v>
      </c>
    </row>
    <row r="539" spans="1:5" x14ac:dyDescent="0.2">
      <c r="A539" t="s">
        <v>14</v>
      </c>
      <c r="B539" t="s">
        <v>18</v>
      </c>
      <c r="C539" t="s">
        <v>20</v>
      </c>
      <c r="D539" t="s">
        <v>404</v>
      </c>
    </row>
    <row r="540" spans="1:5" x14ac:dyDescent="0.2">
      <c r="A540" t="s">
        <v>21</v>
      </c>
    </row>
    <row r="541" spans="1:5" x14ac:dyDescent="0.2">
      <c r="A541" t="s">
        <v>96</v>
      </c>
    </row>
    <row r="542" spans="1:5" x14ac:dyDescent="0.2">
      <c r="A542" t="s">
        <v>96</v>
      </c>
      <c r="C542" t="s">
        <v>405</v>
      </c>
      <c r="D542" t="s">
        <v>406</v>
      </c>
    </row>
    <row r="543" spans="1:5" x14ac:dyDescent="0.2">
      <c r="A543" t="s">
        <v>5</v>
      </c>
      <c r="B543" t="s">
        <v>407</v>
      </c>
      <c r="D543" t="s">
        <v>408</v>
      </c>
      <c r="E543" t="s">
        <v>10</v>
      </c>
    </row>
    <row r="544" spans="1:5" x14ac:dyDescent="0.2">
      <c r="A544" t="s">
        <v>5</v>
      </c>
    </row>
    <row r="545" spans="1:5" x14ac:dyDescent="0.2">
      <c r="A545" t="s">
        <v>7</v>
      </c>
      <c r="B545" t="s">
        <v>18</v>
      </c>
    </row>
    <row r="546" spans="1:5" x14ac:dyDescent="0.2">
      <c r="A546" t="s">
        <v>5</v>
      </c>
    </row>
    <row r="547" spans="1:5" x14ac:dyDescent="0.2">
      <c r="A547" t="s">
        <v>14</v>
      </c>
    </row>
    <row r="548" spans="1:5" x14ac:dyDescent="0.2">
      <c r="A548" t="s">
        <v>5</v>
      </c>
      <c r="B548" t="s">
        <v>409</v>
      </c>
      <c r="C548" t="s">
        <v>410</v>
      </c>
      <c r="D548" t="s">
        <v>411</v>
      </c>
      <c r="E548" t="s">
        <v>412</v>
      </c>
    </row>
    <row r="549" spans="1:5" x14ac:dyDescent="0.2">
      <c r="A549" t="s">
        <v>21</v>
      </c>
      <c r="B549" t="s">
        <v>413</v>
      </c>
      <c r="C549" t="s">
        <v>414</v>
      </c>
    </row>
    <row r="550" spans="1:5" x14ac:dyDescent="0.2">
      <c r="A550" t="s">
        <v>14</v>
      </c>
      <c r="B550" t="s">
        <v>10</v>
      </c>
      <c r="C550" t="s">
        <v>415</v>
      </c>
      <c r="D550" t="s">
        <v>416</v>
      </c>
    </row>
    <row r="551" spans="1:5" x14ac:dyDescent="0.2">
      <c r="A551" t="s">
        <v>15</v>
      </c>
      <c r="D551" t="s">
        <v>417</v>
      </c>
    </row>
    <row r="552" spans="1:5" x14ac:dyDescent="0.2">
      <c r="A552" t="s">
        <v>14</v>
      </c>
    </row>
    <row r="553" spans="1:5" x14ac:dyDescent="0.2">
      <c r="A553" t="s">
        <v>17</v>
      </c>
    </row>
    <row r="554" spans="1:5" x14ac:dyDescent="0.2">
      <c r="A554" t="s">
        <v>96</v>
      </c>
    </row>
    <row r="555" spans="1:5" x14ac:dyDescent="0.2">
      <c r="A555" t="s">
        <v>21</v>
      </c>
      <c r="B555" t="s">
        <v>18</v>
      </c>
      <c r="C555" t="s">
        <v>418</v>
      </c>
    </row>
    <row r="556" spans="1:5" x14ac:dyDescent="0.2">
      <c r="A556" t="s">
        <v>96</v>
      </c>
    </row>
    <row r="557" spans="1:5" x14ac:dyDescent="0.2">
      <c r="A557" t="s">
        <v>21</v>
      </c>
      <c r="B557" t="s">
        <v>419</v>
      </c>
      <c r="C557" t="s">
        <v>423</v>
      </c>
    </row>
    <row r="558" spans="1:5" x14ac:dyDescent="0.2">
      <c r="A558" t="s">
        <v>15</v>
      </c>
    </row>
    <row r="559" spans="1:5" x14ac:dyDescent="0.2">
      <c r="A559" t="s">
        <v>5</v>
      </c>
      <c r="B559" t="s">
        <v>420</v>
      </c>
      <c r="C559" t="s">
        <v>424</v>
      </c>
      <c r="D559" t="s">
        <v>421</v>
      </c>
      <c r="E559" t="s">
        <v>422</v>
      </c>
    </row>
    <row r="560" spans="1:5" x14ac:dyDescent="0.2">
      <c r="A560" s="4" t="s">
        <v>425</v>
      </c>
      <c r="B560" s="4"/>
      <c r="C560" s="4"/>
    </row>
    <row r="561" spans="1:3" x14ac:dyDescent="0.2">
      <c r="A561" t="s">
        <v>35</v>
      </c>
      <c r="B561">
        <f>COUNTIFS($A$529:$A$559, "*Dessecante pre-plantio*")</f>
        <v>22</v>
      </c>
      <c r="C561" s="2">
        <f>(B561/$B$565)*100</f>
        <v>70.967741935483872</v>
      </c>
    </row>
    <row r="562" spans="1:3" x14ac:dyDescent="0.2">
      <c r="A562" t="s">
        <v>17</v>
      </c>
      <c r="B562">
        <f>COUNTIFS($A$529:$A$559, "*pre-emergente*")</f>
        <v>27</v>
      </c>
      <c r="C562" s="2">
        <f>(B562/$B$565)*100</f>
        <v>87.096774193548384</v>
      </c>
    </row>
    <row r="563" spans="1:3" x14ac:dyDescent="0.2">
      <c r="A563" t="s">
        <v>15</v>
      </c>
      <c r="B563">
        <f>COUNTIFS($A$529:$A$559, "*pos-emergente*")</f>
        <v>24</v>
      </c>
      <c r="C563" s="2">
        <f>(B563/$B$565)*100</f>
        <v>77.41935483870968</v>
      </c>
    </row>
    <row r="564" spans="1:3" x14ac:dyDescent="0.2">
      <c r="A564" t="s">
        <v>36</v>
      </c>
      <c r="B564">
        <f>COUNTIFS($A$529:$A$559, "*Dessecante pre-colheita*")</f>
        <v>9</v>
      </c>
      <c r="C564" s="2">
        <f>(B564/$B$565)*100</f>
        <v>29.032258064516132</v>
      </c>
    </row>
    <row r="565" spans="1:3" x14ac:dyDescent="0.2">
      <c r="A565" t="s">
        <v>38</v>
      </c>
      <c r="B565">
        <f>COUNTIFS($A$529:$A$559, "**")</f>
        <v>31</v>
      </c>
    </row>
    <row r="566" spans="1:3" x14ac:dyDescent="0.2">
      <c r="A566" s="3" t="s">
        <v>35</v>
      </c>
      <c r="B566" s="3"/>
      <c r="C566" s="3"/>
    </row>
    <row r="567" spans="1:3" x14ac:dyDescent="0.2">
      <c r="A567" t="s">
        <v>74</v>
      </c>
      <c r="B567">
        <f>COUNTIFS($B$529:$B559, "**")</f>
        <v>13</v>
      </c>
      <c r="C567" s="2">
        <f>(B567/$B$496)*100</f>
        <v>13</v>
      </c>
    </row>
    <row r="568" spans="1:3" x14ac:dyDescent="0.2">
      <c r="B568">
        <f>COUNTIFS($B$317:$B$475, "*2,4-d*")</f>
        <v>56</v>
      </c>
      <c r="C568" s="2">
        <f t="shared" ref="C568:C580" si="18">(B568/$B$496)*100</f>
        <v>56.000000000000007</v>
      </c>
    </row>
    <row r="569" spans="1:3" x14ac:dyDescent="0.2">
      <c r="B569">
        <f>COUNTIFS($B$317:$B$475, "*paraquat*")</f>
        <v>24</v>
      </c>
      <c r="C569" s="2">
        <f t="shared" si="18"/>
        <v>24</v>
      </c>
    </row>
    <row r="570" spans="1:3" x14ac:dyDescent="0.2">
      <c r="B570">
        <f>COUNTIFS($B$317:$B$475, "*clethodim*")</f>
        <v>12</v>
      </c>
      <c r="C570" s="2">
        <f t="shared" si="18"/>
        <v>12</v>
      </c>
    </row>
    <row r="571" spans="1:3" x14ac:dyDescent="0.2">
      <c r="B571">
        <f>COUNTIFS($B$317:$B$475, "*metsulfuron*")</f>
        <v>3</v>
      </c>
      <c r="C571" s="2">
        <f t="shared" si="18"/>
        <v>3</v>
      </c>
    </row>
    <row r="572" spans="1:3" x14ac:dyDescent="0.2">
      <c r="B572">
        <f>COUNTIFS($B$317:$B$475, "*flumioxazin*")</f>
        <v>10</v>
      </c>
      <c r="C572" s="2">
        <f t="shared" si="18"/>
        <v>10</v>
      </c>
    </row>
    <row r="573" spans="1:3" x14ac:dyDescent="0.2">
      <c r="B573">
        <f>COUNTIFS($B$317:$B$475, "*sulfentrazone*")</f>
        <v>3</v>
      </c>
      <c r="C573" s="2">
        <f t="shared" si="18"/>
        <v>3</v>
      </c>
    </row>
    <row r="574" spans="1:3" x14ac:dyDescent="0.2">
      <c r="B574">
        <f>COUNTIFS($B$317:$B$475, "*glufosinato*")</f>
        <v>3</v>
      </c>
      <c r="C574" s="2">
        <f t="shared" si="18"/>
        <v>3</v>
      </c>
    </row>
    <row r="575" spans="1:3" x14ac:dyDescent="0.2">
      <c r="B575">
        <f>COUNTIFS($B$317:$B$475, "*diuron*")</f>
        <v>5</v>
      </c>
      <c r="C575" s="2">
        <f t="shared" si="18"/>
        <v>5</v>
      </c>
    </row>
    <row r="576" spans="1:3" x14ac:dyDescent="0.2">
      <c r="B576">
        <f>COUNTIFS($B$317:$B$475, "*haloxifop*")</f>
        <v>4</v>
      </c>
      <c r="C576" s="2">
        <f t="shared" si="18"/>
        <v>4</v>
      </c>
    </row>
    <row r="577" spans="1:3" x14ac:dyDescent="0.2">
      <c r="B577">
        <f>COUNTIFS($B$317:$B$475, "*chlorimuron*")</f>
        <v>7</v>
      </c>
      <c r="C577" s="2">
        <f t="shared" si="18"/>
        <v>7.0000000000000009</v>
      </c>
    </row>
    <row r="578" spans="1:3" x14ac:dyDescent="0.2">
      <c r="B578">
        <f>COUNTIFS($B$317:$B$475, "* S-metolachlor*")</f>
        <v>2</v>
      </c>
      <c r="C578" s="2">
        <f t="shared" si="18"/>
        <v>2</v>
      </c>
    </row>
    <row r="579" spans="1:3" x14ac:dyDescent="0.2">
      <c r="B579">
        <f>COUNTIFS($B$317:$B$475, "*chlorimuron*")</f>
        <v>7</v>
      </c>
      <c r="C579" s="2">
        <f t="shared" si="18"/>
        <v>7.0000000000000009</v>
      </c>
    </row>
    <row r="580" spans="1:3" x14ac:dyDescent="0.2">
      <c r="B580">
        <f>COUNTIFS($B$317:$B$475, "*saflufenacil*")</f>
        <v>12</v>
      </c>
      <c r="C580" s="2">
        <f t="shared" si="18"/>
        <v>12</v>
      </c>
    </row>
    <row r="581" spans="1:3" x14ac:dyDescent="0.2">
      <c r="A581" t="s">
        <v>38</v>
      </c>
      <c r="B581">
        <f>COUNTIFS($B$276:$B$475, "**")</f>
        <v>100</v>
      </c>
    </row>
    <row r="582" spans="1:3" x14ac:dyDescent="0.2">
      <c r="A582" s="3" t="s">
        <v>17</v>
      </c>
      <c r="B582" s="3"/>
      <c r="C582" s="3"/>
    </row>
    <row r="583" spans="1:3" x14ac:dyDescent="0.2">
      <c r="B583">
        <f>COUNTIFS($C$529:$C558, "**")</f>
        <v>11</v>
      </c>
      <c r="C583" s="2">
        <f>(B583/$B$508)*100</f>
        <v>18.333333333333332</v>
      </c>
    </row>
    <row r="584" spans="1:3" x14ac:dyDescent="0.2">
      <c r="B584">
        <f>COUNTIFS($C$317:$C$475, "*diclosulan*")</f>
        <v>26</v>
      </c>
      <c r="C584" s="2">
        <f t="shared" ref="C584:C592" si="19">(B584/$B$508)*100</f>
        <v>43.333333333333336</v>
      </c>
    </row>
    <row r="585" spans="1:3" x14ac:dyDescent="0.2">
      <c r="B585">
        <f>COUNTIFS($C$317:$C$475, "*imazethapyr*")</f>
        <v>7</v>
      </c>
      <c r="C585" s="2">
        <f t="shared" si="19"/>
        <v>11.666666666666666</v>
      </c>
    </row>
    <row r="586" spans="1:3" x14ac:dyDescent="0.2">
      <c r="B586">
        <f>COUNTIFS($C$317:$C$475, "*sulfentrazone*")</f>
        <v>5</v>
      </c>
      <c r="C586" s="2">
        <f t="shared" si="19"/>
        <v>8.3333333333333321</v>
      </c>
    </row>
    <row r="587" spans="1:3" x14ac:dyDescent="0.2">
      <c r="B587">
        <f>COUNTIFS($C$317:$C$475, "*glifosato*")</f>
        <v>4</v>
      </c>
      <c r="C587" s="2">
        <f t="shared" si="19"/>
        <v>6.666666666666667</v>
      </c>
    </row>
    <row r="588" spans="1:3" x14ac:dyDescent="0.2">
      <c r="B588">
        <f>COUNTIFS($C$317:$C$475, "*imazaquim*")</f>
        <v>1</v>
      </c>
      <c r="C588" s="2">
        <f t="shared" si="19"/>
        <v>1.6666666666666667</v>
      </c>
    </row>
    <row r="589" spans="1:3" x14ac:dyDescent="0.2">
      <c r="B589">
        <f>COUNTIFS($C$317:$C$475, "*flumioxazin*")</f>
        <v>11</v>
      </c>
      <c r="C589" s="2">
        <f t="shared" si="19"/>
        <v>18.333333333333332</v>
      </c>
    </row>
    <row r="590" spans="1:3" x14ac:dyDescent="0.2">
      <c r="B590">
        <f t="shared" ref="B590" si="20">COUNTIFS($C$317:$C$475, "*glifosato*")</f>
        <v>4</v>
      </c>
      <c r="C590" s="2">
        <f t="shared" si="19"/>
        <v>6.666666666666667</v>
      </c>
    </row>
    <row r="591" spans="1:3" x14ac:dyDescent="0.2">
      <c r="B591">
        <f>COUNTIFS($C$317:$C$475, "*glufosinato*")</f>
        <v>1</v>
      </c>
      <c r="C591" s="2">
        <f t="shared" si="19"/>
        <v>1.6666666666666667</v>
      </c>
    </row>
    <row r="592" spans="1:3" x14ac:dyDescent="0.2">
      <c r="B592">
        <f>COUNTIFS($C$317:$C$475, "*trifluralina*")</f>
        <v>2</v>
      </c>
      <c r="C592" s="2">
        <f t="shared" si="19"/>
        <v>3.3333333333333335</v>
      </c>
    </row>
    <row r="593" spans="1:3" x14ac:dyDescent="0.2">
      <c r="A593" t="s">
        <v>38</v>
      </c>
      <c r="B593">
        <f>COUNTIFS($C$317:$C$475, "**")</f>
        <v>60</v>
      </c>
      <c r="C593" s="2"/>
    </row>
    <row r="594" spans="1:3" x14ac:dyDescent="0.2">
      <c r="A594" s="3" t="s">
        <v>15</v>
      </c>
      <c r="B594" s="3"/>
      <c r="C594" s="3"/>
    </row>
    <row r="595" spans="1:3" x14ac:dyDescent="0.2">
      <c r="B595">
        <f>COUNTIFS($D$317:$D$475, "*glifosato*")</f>
        <v>92</v>
      </c>
      <c r="C595" s="2">
        <f>(B595/$B$520)*100</f>
        <v>92.929292929292927</v>
      </c>
    </row>
    <row r="596" spans="1:3" x14ac:dyDescent="0.2">
      <c r="B596">
        <f>COUNTIFS($D$317:$D$475, "*flumioxazin*")</f>
        <v>1</v>
      </c>
      <c r="C596" s="2">
        <f t="shared" ref="C596:C603" si="21">(B596/$B$520)*100</f>
        <v>1.0101010101010102</v>
      </c>
    </row>
    <row r="597" spans="1:3" x14ac:dyDescent="0.2">
      <c r="B597">
        <f>COUNTIFS($D$317:$D$475, "*clethodim*")</f>
        <v>14</v>
      </c>
      <c r="C597" s="2">
        <f t="shared" si="21"/>
        <v>14.14141414141414</v>
      </c>
    </row>
    <row r="598" spans="1:3" x14ac:dyDescent="0.2">
      <c r="B598">
        <f>COUNTIFS($D$317:$D$475, "*imazethapyr*")</f>
        <v>10</v>
      </c>
      <c r="C598" s="2">
        <f t="shared" si="21"/>
        <v>10.1010101010101</v>
      </c>
    </row>
    <row r="599" spans="1:3" x14ac:dyDescent="0.2">
      <c r="B599">
        <f>COUNTIFS($D$317:$D$475, "*haloxyfop*")</f>
        <v>8</v>
      </c>
      <c r="C599" s="2">
        <f t="shared" si="21"/>
        <v>8.0808080808080813</v>
      </c>
    </row>
    <row r="600" spans="1:3" x14ac:dyDescent="0.2">
      <c r="B600">
        <f>COUNTIFS($D$317:$D$475, "*lactofen*")</f>
        <v>4</v>
      </c>
      <c r="C600" s="2">
        <f t="shared" si="21"/>
        <v>4.0404040404040407</v>
      </c>
    </row>
    <row r="601" spans="1:3" x14ac:dyDescent="0.2">
      <c r="B601">
        <f>COUNTIFS($D$317:$D$475, "*fomesafen*")</f>
        <v>6</v>
      </c>
      <c r="C601" s="2">
        <f t="shared" si="21"/>
        <v>6.0606060606060606</v>
      </c>
    </row>
    <row r="602" spans="1:3" x14ac:dyDescent="0.2">
      <c r="B602">
        <f>COUNTIFS($D$317:$D$475, "*sulfentrazone*")</f>
        <v>4</v>
      </c>
      <c r="C602" s="2">
        <f t="shared" si="21"/>
        <v>4.0404040404040407</v>
      </c>
    </row>
    <row r="603" spans="1:3" x14ac:dyDescent="0.2">
      <c r="B603">
        <f>COUNTIFS($D$317:$D$475, "*basagran*")</f>
        <v>2</v>
      </c>
      <c r="C603" s="2">
        <f t="shared" si="21"/>
        <v>2.0202020202020203</v>
      </c>
    </row>
    <row r="604" spans="1:3" x14ac:dyDescent="0.2">
      <c r="A604" t="s">
        <v>38</v>
      </c>
      <c r="B604">
        <f>COUNTIFS($D$317:$D$475, "**")</f>
        <v>99</v>
      </c>
      <c r="C604" s="2"/>
    </row>
    <row r="605" spans="1:3" x14ac:dyDescent="0.2">
      <c r="A605" s="3" t="s">
        <v>386</v>
      </c>
      <c r="B605" s="3"/>
      <c r="C605" s="3"/>
    </row>
    <row r="606" spans="1:3" x14ac:dyDescent="0.2">
      <c r="B606">
        <f>COUNTIFS($E$317:$E$475, "*glifosato*")</f>
        <v>2</v>
      </c>
      <c r="C606" s="2">
        <f>(B606/$B$527)*100</f>
        <v>3.6363636363636362</v>
      </c>
    </row>
    <row r="607" spans="1:3" x14ac:dyDescent="0.2">
      <c r="B607">
        <f>COUNTIFS($E$317:$E$475, "*diquat*")</f>
        <v>13</v>
      </c>
      <c r="C607" s="2">
        <f t="shared" ref="C607:C610" si="22">(B607/$B$527)*100</f>
        <v>23.636363636363637</v>
      </c>
    </row>
    <row r="608" spans="1:3" x14ac:dyDescent="0.2">
      <c r="B608">
        <f>COUNTIFS($E$317:$E$475, "*paraquat*")</f>
        <v>42</v>
      </c>
      <c r="C608" s="2">
        <f>(B608/$B$527)*100</f>
        <v>76.363636363636374</v>
      </c>
    </row>
    <row r="609" spans="1:5" x14ac:dyDescent="0.2">
      <c r="B609">
        <f>COUNTIFS($E$317:$E$475, "*glufosinato*")</f>
        <v>5</v>
      </c>
      <c r="C609" s="2">
        <f t="shared" si="22"/>
        <v>9.0909090909090917</v>
      </c>
    </row>
    <row r="610" spans="1:5" x14ac:dyDescent="0.2">
      <c r="B610">
        <f>COUNTIFS($E$317:$E$475, "*atrazine*")</f>
        <v>1</v>
      </c>
      <c r="C610" s="2">
        <f t="shared" si="22"/>
        <v>1.8181818181818181</v>
      </c>
    </row>
    <row r="611" spans="1:5" x14ac:dyDescent="0.2">
      <c r="A611" t="s">
        <v>38</v>
      </c>
      <c r="B611">
        <f>COUNTIFS($E$317:$E$475, "**")</f>
        <v>55</v>
      </c>
    </row>
    <row r="612" spans="1:5" x14ac:dyDescent="0.2">
      <c r="A612" s="5" t="s">
        <v>430</v>
      </c>
      <c r="B612" s="5" t="s">
        <v>431</v>
      </c>
      <c r="C612" s="5" t="s">
        <v>432</v>
      </c>
    </row>
    <row r="613" spans="1:5" x14ac:dyDescent="0.2">
      <c r="A613" t="s">
        <v>15</v>
      </c>
      <c r="D613" s="5" t="s">
        <v>433</v>
      </c>
      <c r="E613" s="5" t="s">
        <v>434</v>
      </c>
    </row>
    <row r="614" spans="1:5" x14ac:dyDescent="0.2">
      <c r="A614" t="s">
        <v>5</v>
      </c>
      <c r="B614" t="s">
        <v>18</v>
      </c>
      <c r="C614" t="s">
        <v>101</v>
      </c>
      <c r="D614" t="s">
        <v>18</v>
      </c>
    </row>
    <row r="615" spans="1:5" x14ac:dyDescent="0.2">
      <c r="A615" t="s">
        <v>15</v>
      </c>
      <c r="D615" t="s">
        <v>18</v>
      </c>
      <c r="E615" t="s">
        <v>10</v>
      </c>
    </row>
    <row r="616" spans="1:5" x14ac:dyDescent="0.2">
      <c r="A616" t="s">
        <v>36</v>
      </c>
      <c r="D616" t="s">
        <v>435</v>
      </c>
    </row>
    <row r="617" spans="1:5" x14ac:dyDescent="0.2">
      <c r="A617" t="s">
        <v>15</v>
      </c>
      <c r="E617" t="s">
        <v>163</v>
      </c>
    </row>
    <row r="618" spans="1:5" x14ac:dyDescent="0.2">
      <c r="A618" t="s">
        <v>15</v>
      </c>
    </row>
    <row r="619" spans="1:5" x14ac:dyDescent="0.2">
      <c r="A619" t="s">
        <v>15</v>
      </c>
    </row>
    <row r="620" spans="1:5" x14ac:dyDescent="0.2">
      <c r="A620" t="s">
        <v>96</v>
      </c>
      <c r="C620" t="s">
        <v>436</v>
      </c>
      <c r="D620" t="s">
        <v>18</v>
      </c>
    </row>
    <row r="621" spans="1:5" x14ac:dyDescent="0.2">
      <c r="A621" t="s">
        <v>260</v>
      </c>
      <c r="D621" t="s">
        <v>18</v>
      </c>
    </row>
    <row r="622" spans="1:5" x14ac:dyDescent="0.2">
      <c r="A622" t="s">
        <v>12</v>
      </c>
      <c r="D622" t="s">
        <v>18</v>
      </c>
      <c r="E622" t="s">
        <v>437</v>
      </c>
    </row>
    <row r="623" spans="1:5" x14ac:dyDescent="0.2">
      <c r="A623" t="s">
        <v>15</v>
      </c>
    </row>
    <row r="624" spans="1:5" x14ac:dyDescent="0.2">
      <c r="A624" t="s">
        <v>15</v>
      </c>
    </row>
    <row r="625" spans="1:4" x14ac:dyDescent="0.2">
      <c r="A625" t="s">
        <v>14</v>
      </c>
      <c r="B625" t="s">
        <v>439</v>
      </c>
      <c r="D625" t="s">
        <v>438</v>
      </c>
    </row>
    <row r="626" spans="1:4" x14ac:dyDescent="0.2">
      <c r="A626" t="s">
        <v>96</v>
      </c>
      <c r="C626" t="s">
        <v>441</v>
      </c>
      <c r="D626" t="s">
        <v>440</v>
      </c>
    </row>
    <row r="627" spans="1:4" x14ac:dyDescent="0.2">
      <c r="A627" t="s">
        <v>12</v>
      </c>
      <c r="B627" t="s">
        <v>18</v>
      </c>
      <c r="D627" t="s">
        <v>442</v>
      </c>
    </row>
    <row r="628" spans="1:4" x14ac:dyDescent="0.2">
      <c r="A628" t="s">
        <v>250</v>
      </c>
      <c r="D628" t="s">
        <v>18</v>
      </c>
    </row>
    <row r="629" spans="1:4" x14ac:dyDescent="0.2">
      <c r="A629" t="s">
        <v>15</v>
      </c>
    </row>
    <row r="630" spans="1:4" x14ac:dyDescent="0.2">
      <c r="A630" t="s">
        <v>14</v>
      </c>
      <c r="B630" t="s">
        <v>10</v>
      </c>
      <c r="C630" t="s">
        <v>101</v>
      </c>
    </row>
    <row r="631" spans="1:4" x14ac:dyDescent="0.2">
      <c r="A631" t="s">
        <v>15</v>
      </c>
      <c r="D631" t="s">
        <v>443</v>
      </c>
    </row>
    <row r="632" spans="1:4" x14ac:dyDescent="0.2">
      <c r="A632" t="s">
        <v>250</v>
      </c>
      <c r="D632" t="s">
        <v>444</v>
      </c>
    </row>
    <row r="633" spans="1:4" x14ac:dyDescent="0.2">
      <c r="A633" s="4" t="s">
        <v>445</v>
      </c>
      <c r="B633" s="4"/>
      <c r="C633" s="4"/>
    </row>
    <row r="634" spans="1:4" x14ac:dyDescent="0.2">
      <c r="A634" t="s">
        <v>35</v>
      </c>
      <c r="B634">
        <f>COUNTIFS($A$613:$A$632, "*Dessecante pre-plantio*")</f>
        <v>7</v>
      </c>
      <c r="C634" s="2">
        <f>(B634/$B$638)*100</f>
        <v>35</v>
      </c>
    </row>
    <row r="635" spans="1:4" x14ac:dyDescent="0.2">
      <c r="A635" t="s">
        <v>17</v>
      </c>
      <c r="B635">
        <f>COUNTIFS($A$613:$A$632, "*Pre-emergente*")</f>
        <v>5</v>
      </c>
      <c r="C635" s="2">
        <f t="shared" ref="C635:C637" si="23">(B635/$B$638)*100</f>
        <v>25</v>
      </c>
    </row>
    <row r="636" spans="1:4" x14ac:dyDescent="0.2">
      <c r="A636" t="s">
        <v>15</v>
      </c>
      <c r="B636">
        <f>COUNTIFS($A$613:$A$632, "*pos-emergente*")</f>
        <v>17</v>
      </c>
      <c r="C636" s="2">
        <f t="shared" si="23"/>
        <v>85</v>
      </c>
    </row>
    <row r="637" spans="1:4" x14ac:dyDescent="0.2">
      <c r="A637" t="s">
        <v>36</v>
      </c>
      <c r="B637">
        <f>COUNTIFS($A$613:$A$632, "*Dessecante pre-colheita*")</f>
        <v>5</v>
      </c>
      <c r="C637" s="2">
        <f t="shared" si="23"/>
        <v>25</v>
      </c>
    </row>
    <row r="638" spans="1:4" x14ac:dyDescent="0.2">
      <c r="A638" t="s">
        <v>38</v>
      </c>
      <c r="B638">
        <f>COUNTIFS($A$613:$A$632, "**")</f>
        <v>20</v>
      </c>
    </row>
    <row r="639" spans="1:4" x14ac:dyDescent="0.2">
      <c r="A639" s="3" t="s">
        <v>35</v>
      </c>
      <c r="B639" s="3"/>
      <c r="C639" s="3"/>
    </row>
    <row r="640" spans="1:4" x14ac:dyDescent="0.2">
      <c r="B640">
        <f>COUNTIFS($B$317:$B$475, "*glifosato*")</f>
        <v>85</v>
      </c>
      <c r="C640" s="2">
        <f>(B640/$B$496)*100</f>
        <v>85</v>
      </c>
    </row>
    <row r="641" spans="1:3" x14ac:dyDescent="0.2">
      <c r="B641">
        <f>COUNTIFS($B$317:$B$475, "*2,4-d*")</f>
        <v>56</v>
      </c>
      <c r="C641" s="2">
        <f t="shared" ref="C641:C653" si="24">(B641/$B$496)*100</f>
        <v>56.000000000000007</v>
      </c>
    </row>
    <row r="642" spans="1:3" x14ac:dyDescent="0.2">
      <c r="B642">
        <f>COUNTIFS($B$317:$B$475, "*paraquat*")</f>
        <v>24</v>
      </c>
      <c r="C642" s="2">
        <f t="shared" si="24"/>
        <v>24</v>
      </c>
    </row>
    <row r="643" spans="1:3" x14ac:dyDescent="0.2">
      <c r="B643">
        <f>COUNTIFS($B$317:$B$475, "*clethodim*")</f>
        <v>12</v>
      </c>
      <c r="C643" s="2">
        <f t="shared" si="24"/>
        <v>12</v>
      </c>
    </row>
    <row r="644" spans="1:3" x14ac:dyDescent="0.2">
      <c r="B644">
        <f>COUNTIFS($B$317:$B$475, "*metsulfuron*")</f>
        <v>3</v>
      </c>
      <c r="C644" s="2">
        <f t="shared" si="24"/>
        <v>3</v>
      </c>
    </row>
    <row r="645" spans="1:3" x14ac:dyDescent="0.2">
      <c r="B645">
        <f>COUNTIFS($B$317:$B$475, "*flumioxazin*")</f>
        <v>10</v>
      </c>
      <c r="C645" s="2">
        <f t="shared" si="24"/>
        <v>10</v>
      </c>
    </row>
    <row r="646" spans="1:3" x14ac:dyDescent="0.2">
      <c r="B646">
        <f>COUNTIFS($B$317:$B$475, "*sulfentrazone*")</f>
        <v>3</v>
      </c>
      <c r="C646" s="2">
        <f t="shared" si="24"/>
        <v>3</v>
      </c>
    </row>
    <row r="647" spans="1:3" x14ac:dyDescent="0.2">
      <c r="B647">
        <f>COUNTIFS($B$317:$B$475, "*glufosinato*")</f>
        <v>3</v>
      </c>
      <c r="C647" s="2">
        <f t="shared" si="24"/>
        <v>3</v>
      </c>
    </row>
    <row r="648" spans="1:3" x14ac:dyDescent="0.2">
      <c r="B648">
        <f>COUNTIFS($B$317:$B$475, "*diuron*")</f>
        <v>5</v>
      </c>
      <c r="C648" s="2">
        <f t="shared" si="24"/>
        <v>5</v>
      </c>
    </row>
    <row r="649" spans="1:3" x14ac:dyDescent="0.2">
      <c r="B649">
        <f>COUNTIFS($B$317:$B$475, "*haloxifop*")</f>
        <v>4</v>
      </c>
      <c r="C649" s="2">
        <f t="shared" si="24"/>
        <v>4</v>
      </c>
    </row>
    <row r="650" spans="1:3" x14ac:dyDescent="0.2">
      <c r="B650">
        <f>COUNTIFS($B$317:$B$475, "*chlorimuron*")</f>
        <v>7</v>
      </c>
      <c r="C650" s="2">
        <f t="shared" si="24"/>
        <v>7.0000000000000009</v>
      </c>
    </row>
    <row r="651" spans="1:3" x14ac:dyDescent="0.2">
      <c r="B651">
        <f>COUNTIFS($B$317:$B$475, "* S-metolachlor*")</f>
        <v>2</v>
      </c>
      <c r="C651" s="2">
        <f t="shared" si="24"/>
        <v>2</v>
      </c>
    </row>
    <row r="652" spans="1:3" x14ac:dyDescent="0.2">
      <c r="B652">
        <f>COUNTIFS($B$317:$B$475, "*chlorimuron*")</f>
        <v>7</v>
      </c>
      <c r="C652" s="2">
        <f t="shared" si="24"/>
        <v>7.0000000000000009</v>
      </c>
    </row>
    <row r="653" spans="1:3" x14ac:dyDescent="0.2">
      <c r="B653">
        <f>COUNTIFS($B$317:$B$475, "*saflufenacil*")</f>
        <v>12</v>
      </c>
      <c r="C653" s="2">
        <f t="shared" si="24"/>
        <v>12</v>
      </c>
    </row>
    <row r="654" spans="1:3" x14ac:dyDescent="0.2">
      <c r="A654" t="s">
        <v>38</v>
      </c>
      <c r="B654">
        <f>COUNTIFS($B$276:$B$475, "**")</f>
        <v>100</v>
      </c>
    </row>
    <row r="655" spans="1:3" x14ac:dyDescent="0.2">
      <c r="A655" s="3" t="s">
        <v>17</v>
      </c>
      <c r="B655" s="3"/>
      <c r="C655" s="3"/>
    </row>
    <row r="656" spans="1:3" x14ac:dyDescent="0.2">
      <c r="B656">
        <f>COUNTIFS($C$317:$C$475, "*s-methalaclor*")</f>
        <v>17</v>
      </c>
      <c r="C656" s="2">
        <f>(B656/$B$508)*100</f>
        <v>28.333333333333332</v>
      </c>
    </row>
    <row r="657" spans="1:3" x14ac:dyDescent="0.2">
      <c r="B657">
        <f>COUNTIFS($C$317:$C$475, "*diclosulan*")</f>
        <v>26</v>
      </c>
      <c r="C657" s="2">
        <f t="shared" ref="C657:C665" si="25">(B657/$B$508)*100</f>
        <v>43.333333333333336</v>
      </c>
    </row>
    <row r="658" spans="1:3" x14ac:dyDescent="0.2">
      <c r="B658">
        <f>COUNTIFS($C$317:$C$475, "*imazethapyr*")</f>
        <v>7</v>
      </c>
      <c r="C658" s="2">
        <f t="shared" si="25"/>
        <v>11.666666666666666</v>
      </c>
    </row>
    <row r="659" spans="1:3" x14ac:dyDescent="0.2">
      <c r="B659">
        <f>COUNTIFS($C$317:$C$475, "*sulfentrazone*")</f>
        <v>5</v>
      </c>
      <c r="C659" s="2">
        <f t="shared" si="25"/>
        <v>8.3333333333333321</v>
      </c>
    </row>
    <row r="660" spans="1:3" x14ac:dyDescent="0.2">
      <c r="B660">
        <f>COUNTIFS($C$317:$C$475, "*glifosato*")</f>
        <v>4</v>
      </c>
      <c r="C660" s="2">
        <f t="shared" si="25"/>
        <v>6.666666666666667</v>
      </c>
    </row>
    <row r="661" spans="1:3" x14ac:dyDescent="0.2">
      <c r="B661">
        <f>COUNTIFS($C$317:$C$475, "*imazaquim*")</f>
        <v>1</v>
      </c>
      <c r="C661" s="2">
        <f t="shared" si="25"/>
        <v>1.6666666666666667</v>
      </c>
    </row>
    <row r="662" spans="1:3" x14ac:dyDescent="0.2">
      <c r="B662">
        <f>COUNTIFS($C$317:$C$475, "*flumioxazin*")</f>
        <v>11</v>
      </c>
      <c r="C662" s="2">
        <f t="shared" si="25"/>
        <v>18.333333333333332</v>
      </c>
    </row>
    <row r="663" spans="1:3" x14ac:dyDescent="0.2">
      <c r="B663">
        <f t="shared" ref="B663" si="26">COUNTIFS($C$317:$C$475, "*glifosato*")</f>
        <v>4</v>
      </c>
      <c r="C663" s="2">
        <f t="shared" si="25"/>
        <v>6.666666666666667</v>
      </c>
    </row>
    <row r="664" spans="1:3" x14ac:dyDescent="0.2">
      <c r="B664">
        <f>COUNTIFS($C$317:$C$475, "*glufosinato*")</f>
        <v>1</v>
      </c>
      <c r="C664" s="2">
        <f t="shared" si="25"/>
        <v>1.6666666666666667</v>
      </c>
    </row>
    <row r="665" spans="1:3" x14ac:dyDescent="0.2">
      <c r="B665">
        <f>COUNTIFS($C$317:$C$475, "*trifluralina*")</f>
        <v>2</v>
      </c>
      <c r="C665" s="2">
        <f t="shared" si="25"/>
        <v>3.3333333333333335</v>
      </c>
    </row>
    <row r="666" spans="1:3" x14ac:dyDescent="0.2">
      <c r="A666" t="s">
        <v>38</v>
      </c>
      <c r="B666">
        <f>COUNTIFS($C$317:$C$475, "**")</f>
        <v>60</v>
      </c>
      <c r="C666" s="2"/>
    </row>
    <row r="667" spans="1:3" x14ac:dyDescent="0.2">
      <c r="A667" s="3" t="s">
        <v>15</v>
      </c>
      <c r="B667" s="3"/>
      <c r="C667" s="3"/>
    </row>
    <row r="668" spans="1:3" x14ac:dyDescent="0.2">
      <c r="B668">
        <f>COUNTIFS($D$317:$D$475, "*glifosato*")</f>
        <v>92</v>
      </c>
      <c r="C668" s="2">
        <f>(B668/$B$520)*100</f>
        <v>92.929292929292927</v>
      </c>
    </row>
    <row r="669" spans="1:3" x14ac:dyDescent="0.2">
      <c r="B669">
        <f>COUNTIFS($D$317:$D$475, "*flumioxazin*")</f>
        <v>1</v>
      </c>
      <c r="C669" s="2">
        <f t="shared" ref="C669:C676" si="27">(B669/$B$520)*100</f>
        <v>1.0101010101010102</v>
      </c>
    </row>
    <row r="670" spans="1:3" x14ac:dyDescent="0.2">
      <c r="B670">
        <f>COUNTIFS($D$317:$D$475, "*clethodim*")</f>
        <v>14</v>
      </c>
      <c r="C670" s="2">
        <f t="shared" si="27"/>
        <v>14.14141414141414</v>
      </c>
    </row>
    <row r="671" spans="1:3" x14ac:dyDescent="0.2">
      <c r="B671">
        <f>COUNTIFS($D$317:$D$475, "*imazethapyr*")</f>
        <v>10</v>
      </c>
      <c r="C671" s="2">
        <f t="shared" si="27"/>
        <v>10.1010101010101</v>
      </c>
    </row>
    <row r="672" spans="1:3" x14ac:dyDescent="0.2">
      <c r="B672">
        <f>COUNTIFS($D$317:$D$475, "*haloxyfop*")</f>
        <v>8</v>
      </c>
      <c r="C672" s="2">
        <f t="shared" si="27"/>
        <v>8.0808080808080813</v>
      </c>
    </row>
    <row r="673" spans="1:5" x14ac:dyDescent="0.2">
      <c r="B673">
        <f>COUNTIFS($D$317:$D$475, "*lactofen*")</f>
        <v>4</v>
      </c>
      <c r="C673" s="2">
        <f t="shared" si="27"/>
        <v>4.0404040404040407</v>
      </c>
    </row>
    <row r="674" spans="1:5" x14ac:dyDescent="0.2">
      <c r="B674">
        <f>COUNTIFS($D$317:$D$475, "*fomesafen*")</f>
        <v>6</v>
      </c>
      <c r="C674" s="2">
        <f t="shared" si="27"/>
        <v>6.0606060606060606</v>
      </c>
    </row>
    <row r="675" spans="1:5" x14ac:dyDescent="0.2">
      <c r="B675">
        <f>COUNTIFS($D$317:$D$475, "*sulfentrazone*")</f>
        <v>4</v>
      </c>
      <c r="C675" s="2">
        <f t="shared" si="27"/>
        <v>4.0404040404040407</v>
      </c>
    </row>
    <row r="676" spans="1:5" x14ac:dyDescent="0.2">
      <c r="B676">
        <f>COUNTIFS($D$317:$D$475, "*basagran*")</f>
        <v>2</v>
      </c>
      <c r="C676" s="2">
        <f t="shared" si="27"/>
        <v>2.0202020202020203</v>
      </c>
    </row>
    <row r="677" spans="1:5" x14ac:dyDescent="0.2">
      <c r="A677" t="s">
        <v>38</v>
      </c>
      <c r="B677">
        <f>COUNTIFS($D$317:$D$475, "**")</f>
        <v>99</v>
      </c>
      <c r="C677" s="2"/>
    </row>
    <row r="678" spans="1:5" x14ac:dyDescent="0.2">
      <c r="A678" s="3" t="s">
        <v>386</v>
      </c>
      <c r="B678" s="3"/>
      <c r="C678" s="3"/>
    </row>
    <row r="679" spans="1:5" x14ac:dyDescent="0.2">
      <c r="B679">
        <f>COUNTIFS($E$317:$E$475, "*glifosato*")</f>
        <v>2</v>
      </c>
      <c r="C679" s="2">
        <f>(B679/$B$527)*100</f>
        <v>3.6363636363636362</v>
      </c>
    </row>
    <row r="680" spans="1:5" x14ac:dyDescent="0.2">
      <c r="B680">
        <f>COUNTIFS($E$317:$E$475, "*diquat*")</f>
        <v>13</v>
      </c>
      <c r="C680" s="2">
        <f t="shared" ref="C680:C683" si="28">(B680/$B$527)*100</f>
        <v>23.636363636363637</v>
      </c>
    </row>
    <row r="681" spans="1:5" x14ac:dyDescent="0.2">
      <c r="B681">
        <f>COUNTIFS($E$317:$E$475, "*paraquat*")</f>
        <v>42</v>
      </c>
      <c r="C681" s="2">
        <f>(B681/$B$527)*100</f>
        <v>76.363636363636374</v>
      </c>
    </row>
    <row r="682" spans="1:5" x14ac:dyDescent="0.2">
      <c r="B682">
        <f>COUNTIFS($E$317:$E$475, "*glufosinato*")</f>
        <v>5</v>
      </c>
      <c r="C682" s="2">
        <f t="shared" si="28"/>
        <v>9.0909090909090917</v>
      </c>
    </row>
    <row r="683" spans="1:5" x14ac:dyDescent="0.2">
      <c r="B683">
        <f>COUNTIFS($E$317:$E$475, "*atrazine*")</f>
        <v>1</v>
      </c>
      <c r="C683" s="2">
        <f t="shared" si="28"/>
        <v>1.8181818181818181</v>
      </c>
    </row>
    <row r="684" spans="1:5" x14ac:dyDescent="0.2">
      <c r="A684" t="s">
        <v>38</v>
      </c>
      <c r="B684">
        <f>COUNTIFS($E$317:$E$475, "**")</f>
        <v>55</v>
      </c>
    </row>
    <row r="685" spans="1:5" x14ac:dyDescent="0.2">
      <c r="A685" s="5" t="s">
        <v>446</v>
      </c>
      <c r="B685" s="5" t="s">
        <v>447</v>
      </c>
      <c r="C685" s="5" t="s">
        <v>448</v>
      </c>
    </row>
    <row r="686" spans="1:5" x14ac:dyDescent="0.2">
      <c r="A686" t="s">
        <v>17</v>
      </c>
      <c r="D686" s="5" t="s">
        <v>449</v>
      </c>
      <c r="E686" s="5" t="s">
        <v>450</v>
      </c>
    </row>
    <row r="687" spans="1:5" x14ac:dyDescent="0.2">
      <c r="A687" t="s">
        <v>15</v>
      </c>
    </row>
    <row r="688" spans="1:5" x14ac:dyDescent="0.2">
      <c r="A688" t="s">
        <v>15</v>
      </c>
      <c r="D688" t="s">
        <v>451</v>
      </c>
    </row>
    <row r="689" spans="1:4" x14ac:dyDescent="0.2">
      <c r="A689" t="s">
        <v>15</v>
      </c>
      <c r="D689" t="s">
        <v>452</v>
      </c>
    </row>
    <row r="690" spans="1:4" x14ac:dyDescent="0.2">
      <c r="A690" t="s">
        <v>15</v>
      </c>
    </row>
    <row r="691" spans="1:4" x14ac:dyDescent="0.2">
      <c r="A691" t="s">
        <v>14</v>
      </c>
      <c r="B691" t="s">
        <v>74</v>
      </c>
      <c r="C691" t="s">
        <v>453</v>
      </c>
    </row>
    <row r="692" spans="1:4" x14ac:dyDescent="0.2">
      <c r="A692" t="s">
        <v>15</v>
      </c>
      <c r="D692" t="s">
        <v>74</v>
      </c>
    </row>
    <row r="693" spans="1:4" x14ac:dyDescent="0.2">
      <c r="A693" t="s">
        <v>15</v>
      </c>
      <c r="D693" t="s">
        <v>18</v>
      </c>
    </row>
    <row r="694" spans="1:4" x14ac:dyDescent="0.2">
      <c r="A694" t="s">
        <v>96</v>
      </c>
    </row>
    <row r="695" spans="1:4" x14ac:dyDescent="0.2">
      <c r="A695" t="s">
        <v>15</v>
      </c>
    </row>
    <row r="696" spans="1:4" x14ac:dyDescent="0.2">
      <c r="A696" t="s">
        <v>15</v>
      </c>
    </row>
    <row r="697" spans="1:4" x14ac:dyDescent="0.2">
      <c r="A697" t="s">
        <v>15</v>
      </c>
    </row>
    <row r="698" spans="1:4" x14ac:dyDescent="0.2">
      <c r="A698" t="s">
        <v>7</v>
      </c>
      <c r="B698" t="s">
        <v>74</v>
      </c>
    </row>
    <row r="699" spans="1:4" x14ac:dyDescent="0.2">
      <c r="A699" t="s">
        <v>250</v>
      </c>
    </row>
    <row r="700" spans="1:4" x14ac:dyDescent="0.2">
      <c r="A700" t="s">
        <v>15</v>
      </c>
    </row>
    <row r="701" spans="1:4" x14ac:dyDescent="0.2">
      <c r="A701" t="s">
        <v>7</v>
      </c>
      <c r="D701" t="s">
        <v>454</v>
      </c>
    </row>
    <row r="702" spans="1:4" x14ac:dyDescent="0.2">
      <c r="A702" t="s">
        <v>7</v>
      </c>
      <c r="B702" t="s">
        <v>18</v>
      </c>
    </row>
    <row r="703" spans="1:4" x14ac:dyDescent="0.2">
      <c r="A703" t="s">
        <v>15</v>
      </c>
    </row>
    <row r="704" spans="1:4" x14ac:dyDescent="0.2">
      <c r="A704" t="s">
        <v>7</v>
      </c>
      <c r="B704" t="s">
        <v>120</v>
      </c>
    </row>
    <row r="705" spans="1:3" x14ac:dyDescent="0.2">
      <c r="A705" s="4" t="s">
        <v>455</v>
      </c>
      <c r="B705" s="4"/>
      <c r="C705" s="4"/>
    </row>
    <row r="706" spans="1:3" x14ac:dyDescent="0.2">
      <c r="A706" t="s">
        <v>35</v>
      </c>
      <c r="B706">
        <f>COUNTIFS($A$686:$A$704, "*Dessecante pre-plantio*")</f>
        <v>6</v>
      </c>
      <c r="C706" s="2">
        <f>(B706/$B$710)*100</f>
        <v>31.578947368421051</v>
      </c>
    </row>
    <row r="707" spans="1:3" x14ac:dyDescent="0.2">
      <c r="A707" t="s">
        <v>17</v>
      </c>
      <c r="B707">
        <f>COUNTIFS($A$686:$A$704, "*pre-emergente*")</f>
        <v>3</v>
      </c>
      <c r="C707" s="2">
        <f t="shared" ref="C707:C709" si="29">(B707/$B$710)*100</f>
        <v>15.789473684210526</v>
      </c>
    </row>
    <row r="708" spans="1:3" x14ac:dyDescent="0.2">
      <c r="A708" t="s">
        <v>15</v>
      </c>
      <c r="B708">
        <f>COUNTIFS($A$686:$A$704, "*pos-emergente*")</f>
        <v>13</v>
      </c>
      <c r="C708" s="2">
        <f t="shared" si="29"/>
        <v>68.421052631578945</v>
      </c>
    </row>
    <row r="709" spans="1:3" x14ac:dyDescent="0.2">
      <c r="A709" t="s">
        <v>36</v>
      </c>
      <c r="B709">
        <f>COUNTIFS($A$686:$A$704, "*Dessecante pre-colheita*")</f>
        <v>1</v>
      </c>
      <c r="C709" s="2">
        <f t="shared" si="29"/>
        <v>5.2631578947368416</v>
      </c>
    </row>
    <row r="710" spans="1:3" x14ac:dyDescent="0.2">
      <c r="A710" t="s">
        <v>38</v>
      </c>
      <c r="B710">
        <f>COUNTIFS($A$686:$A$704, "**")</f>
        <v>19</v>
      </c>
    </row>
    <row r="711" spans="1:3" x14ac:dyDescent="0.2">
      <c r="A711" s="3" t="s">
        <v>35</v>
      </c>
      <c r="B711" s="3"/>
      <c r="C711" s="3"/>
    </row>
    <row r="712" spans="1:3" x14ac:dyDescent="0.2">
      <c r="B712">
        <f>COUNTIFS($B$317:$B$475, "*glifosato*")</f>
        <v>85</v>
      </c>
      <c r="C712" s="2">
        <f>(B712/$B$496)*100</f>
        <v>85</v>
      </c>
    </row>
    <row r="713" spans="1:3" x14ac:dyDescent="0.2">
      <c r="B713">
        <f>COUNTIFS($B$317:$B$475, "*2,4-d*")</f>
        <v>56</v>
      </c>
      <c r="C713" s="2">
        <f t="shared" ref="C713:C725" si="30">(B713/$B$496)*100</f>
        <v>56.000000000000007</v>
      </c>
    </row>
    <row r="714" spans="1:3" x14ac:dyDescent="0.2">
      <c r="B714">
        <f>COUNTIFS($B$317:$B$475, "*paraquat*")</f>
        <v>24</v>
      </c>
      <c r="C714" s="2">
        <f t="shared" si="30"/>
        <v>24</v>
      </c>
    </row>
    <row r="715" spans="1:3" x14ac:dyDescent="0.2">
      <c r="B715">
        <f>COUNTIFS($B$317:$B$475, "*clethodim*")</f>
        <v>12</v>
      </c>
      <c r="C715" s="2">
        <f t="shared" si="30"/>
        <v>12</v>
      </c>
    </row>
    <row r="716" spans="1:3" x14ac:dyDescent="0.2">
      <c r="B716">
        <f>COUNTIFS($B$317:$B$475, "*metsulfuron*")</f>
        <v>3</v>
      </c>
      <c r="C716" s="2">
        <f t="shared" si="30"/>
        <v>3</v>
      </c>
    </row>
    <row r="717" spans="1:3" x14ac:dyDescent="0.2">
      <c r="B717">
        <f>COUNTIFS($B$317:$B$475, "*flumioxazin*")</f>
        <v>10</v>
      </c>
      <c r="C717" s="2">
        <f t="shared" si="30"/>
        <v>10</v>
      </c>
    </row>
    <row r="718" spans="1:3" x14ac:dyDescent="0.2">
      <c r="B718">
        <f>COUNTIFS($B$317:$B$475, "*sulfentrazone*")</f>
        <v>3</v>
      </c>
      <c r="C718" s="2">
        <f t="shared" si="30"/>
        <v>3</v>
      </c>
    </row>
    <row r="719" spans="1:3" x14ac:dyDescent="0.2">
      <c r="B719">
        <f>COUNTIFS($B$317:$B$475, "*glufosinato*")</f>
        <v>3</v>
      </c>
      <c r="C719" s="2">
        <f t="shared" si="30"/>
        <v>3</v>
      </c>
    </row>
    <row r="720" spans="1:3" x14ac:dyDescent="0.2">
      <c r="B720">
        <f>COUNTIFS($B$317:$B$475, "*diuron*")</f>
        <v>5</v>
      </c>
      <c r="C720" s="2">
        <f t="shared" si="30"/>
        <v>5</v>
      </c>
    </row>
    <row r="721" spans="1:3" x14ac:dyDescent="0.2">
      <c r="B721">
        <f>COUNTIFS($B$317:$B$475, "*haloxifop*")</f>
        <v>4</v>
      </c>
      <c r="C721" s="2">
        <f t="shared" si="30"/>
        <v>4</v>
      </c>
    </row>
    <row r="722" spans="1:3" x14ac:dyDescent="0.2">
      <c r="B722">
        <f>COUNTIFS($B$317:$B$475, "*chlorimuron*")</f>
        <v>7</v>
      </c>
      <c r="C722" s="2">
        <f t="shared" si="30"/>
        <v>7.0000000000000009</v>
      </c>
    </row>
    <row r="723" spans="1:3" x14ac:dyDescent="0.2">
      <c r="B723">
        <f>COUNTIFS($B$317:$B$475, "* S-metolachlor*")</f>
        <v>2</v>
      </c>
      <c r="C723" s="2">
        <f t="shared" si="30"/>
        <v>2</v>
      </c>
    </row>
    <row r="724" spans="1:3" x14ac:dyDescent="0.2">
      <c r="B724">
        <f>COUNTIFS($B$317:$B$475, "*chlorimuron*")</f>
        <v>7</v>
      </c>
      <c r="C724" s="2">
        <f t="shared" si="30"/>
        <v>7.0000000000000009</v>
      </c>
    </row>
    <row r="725" spans="1:3" x14ac:dyDescent="0.2">
      <c r="B725">
        <f>COUNTIFS($B$317:$B$475, "*saflufenacil*")</f>
        <v>12</v>
      </c>
      <c r="C725" s="2">
        <f t="shared" si="30"/>
        <v>12</v>
      </c>
    </row>
    <row r="726" spans="1:3" x14ac:dyDescent="0.2">
      <c r="A726" t="s">
        <v>38</v>
      </c>
      <c r="B726">
        <f>COUNTIFS($B$276:$B$475, "**")</f>
        <v>100</v>
      </c>
    </row>
    <row r="727" spans="1:3" x14ac:dyDescent="0.2">
      <c r="A727" s="3" t="s">
        <v>17</v>
      </c>
      <c r="B727" s="3"/>
      <c r="C727" s="3"/>
    </row>
    <row r="728" spans="1:3" x14ac:dyDescent="0.2">
      <c r="B728">
        <f>COUNTIFS($C$317:$C$475, "*s-methalaclor*")</f>
        <v>17</v>
      </c>
      <c r="C728" s="2">
        <f>(B728/$B$508)*100</f>
        <v>28.333333333333332</v>
      </c>
    </row>
    <row r="729" spans="1:3" x14ac:dyDescent="0.2">
      <c r="B729">
        <f>COUNTIFS($C$317:$C$475, "*diclosulan*")</f>
        <v>26</v>
      </c>
      <c r="C729" s="2">
        <f t="shared" ref="C729:C737" si="31">(B729/$B$508)*100</f>
        <v>43.333333333333336</v>
      </c>
    </row>
    <row r="730" spans="1:3" x14ac:dyDescent="0.2">
      <c r="B730">
        <f>COUNTIFS($C$317:$C$475, "*imazethapyr*")</f>
        <v>7</v>
      </c>
      <c r="C730" s="2">
        <f t="shared" si="31"/>
        <v>11.666666666666666</v>
      </c>
    </row>
    <row r="731" spans="1:3" x14ac:dyDescent="0.2">
      <c r="B731">
        <f>COUNTIFS($C$317:$C$475, "*sulfentrazone*")</f>
        <v>5</v>
      </c>
      <c r="C731" s="2">
        <f t="shared" si="31"/>
        <v>8.3333333333333321</v>
      </c>
    </row>
    <row r="732" spans="1:3" x14ac:dyDescent="0.2">
      <c r="B732">
        <f>COUNTIFS($C$317:$C$475, "*glifosato*")</f>
        <v>4</v>
      </c>
      <c r="C732" s="2">
        <f t="shared" si="31"/>
        <v>6.666666666666667</v>
      </c>
    </row>
    <row r="733" spans="1:3" x14ac:dyDescent="0.2">
      <c r="B733">
        <f>COUNTIFS($C$317:$C$475, "*imazaquim*")</f>
        <v>1</v>
      </c>
      <c r="C733" s="2">
        <f t="shared" si="31"/>
        <v>1.6666666666666667</v>
      </c>
    </row>
    <row r="734" spans="1:3" x14ac:dyDescent="0.2">
      <c r="B734">
        <f>COUNTIFS($C$317:$C$475, "*flumioxazin*")</f>
        <v>11</v>
      </c>
      <c r="C734" s="2">
        <f t="shared" si="31"/>
        <v>18.333333333333332</v>
      </c>
    </row>
    <row r="735" spans="1:3" x14ac:dyDescent="0.2">
      <c r="B735">
        <f t="shared" ref="B735" si="32">COUNTIFS($C$317:$C$475, "*glifosato*")</f>
        <v>4</v>
      </c>
      <c r="C735" s="2">
        <f t="shared" si="31"/>
        <v>6.666666666666667</v>
      </c>
    </row>
    <row r="736" spans="1:3" x14ac:dyDescent="0.2">
      <c r="B736">
        <f>COUNTIFS($C$317:$C$475, "*glufosinato*")</f>
        <v>1</v>
      </c>
      <c r="C736" s="2">
        <f t="shared" si="31"/>
        <v>1.6666666666666667</v>
      </c>
    </row>
    <row r="737" spans="1:3" x14ac:dyDescent="0.2">
      <c r="B737">
        <f>COUNTIFS($C$317:$C$475, "*trifluralina*")</f>
        <v>2</v>
      </c>
      <c r="C737" s="2">
        <f t="shared" si="31"/>
        <v>3.3333333333333335</v>
      </c>
    </row>
    <row r="738" spans="1:3" x14ac:dyDescent="0.2">
      <c r="A738" t="s">
        <v>38</v>
      </c>
      <c r="B738">
        <f>COUNTIFS($C$317:$C$475, "**")</f>
        <v>60</v>
      </c>
      <c r="C738" s="2"/>
    </row>
    <row r="739" spans="1:3" x14ac:dyDescent="0.2">
      <c r="A739" s="3" t="s">
        <v>15</v>
      </c>
      <c r="B739" s="3"/>
      <c r="C739" s="3"/>
    </row>
    <row r="740" spans="1:3" x14ac:dyDescent="0.2">
      <c r="B740">
        <f>COUNTIFS($D$317:$D$475, "*glifosato*")</f>
        <v>92</v>
      </c>
      <c r="C740" s="2">
        <f>(B740/$B$520)*100</f>
        <v>92.929292929292927</v>
      </c>
    </row>
    <row r="741" spans="1:3" x14ac:dyDescent="0.2">
      <c r="B741">
        <f>COUNTIFS($D$317:$D$475, "*flumioxazin*")</f>
        <v>1</v>
      </c>
      <c r="C741" s="2">
        <f t="shared" ref="C741:C748" si="33">(B741/$B$520)*100</f>
        <v>1.0101010101010102</v>
      </c>
    </row>
    <row r="742" spans="1:3" x14ac:dyDescent="0.2">
      <c r="B742">
        <f>COUNTIFS($D$317:$D$475, "*clethodim*")</f>
        <v>14</v>
      </c>
      <c r="C742" s="2">
        <f t="shared" si="33"/>
        <v>14.14141414141414</v>
      </c>
    </row>
    <row r="743" spans="1:3" x14ac:dyDescent="0.2">
      <c r="B743">
        <f>COUNTIFS($D$317:$D$475, "*imazethapyr*")</f>
        <v>10</v>
      </c>
      <c r="C743" s="2">
        <f t="shared" si="33"/>
        <v>10.1010101010101</v>
      </c>
    </row>
    <row r="744" spans="1:3" x14ac:dyDescent="0.2">
      <c r="B744">
        <f>COUNTIFS($D$317:$D$475, "*haloxyfop*")</f>
        <v>8</v>
      </c>
      <c r="C744" s="2">
        <f t="shared" si="33"/>
        <v>8.0808080808080813</v>
      </c>
    </row>
    <row r="745" spans="1:3" x14ac:dyDescent="0.2">
      <c r="B745">
        <f>COUNTIFS($D$317:$D$475, "*lactofen*")</f>
        <v>4</v>
      </c>
      <c r="C745" s="2">
        <f t="shared" si="33"/>
        <v>4.0404040404040407</v>
      </c>
    </row>
    <row r="746" spans="1:3" x14ac:dyDescent="0.2">
      <c r="B746">
        <f>COUNTIFS($D$317:$D$475, "*fomesafen*")</f>
        <v>6</v>
      </c>
      <c r="C746" s="2">
        <f t="shared" si="33"/>
        <v>6.0606060606060606</v>
      </c>
    </row>
    <row r="747" spans="1:3" x14ac:dyDescent="0.2">
      <c r="B747">
        <f>COUNTIFS($D$317:$D$475, "*sulfentrazone*")</f>
        <v>4</v>
      </c>
      <c r="C747" s="2">
        <f t="shared" si="33"/>
        <v>4.0404040404040407</v>
      </c>
    </row>
    <row r="748" spans="1:3" x14ac:dyDescent="0.2">
      <c r="B748">
        <f>COUNTIFS($D$317:$D$475, "*basagran*")</f>
        <v>2</v>
      </c>
      <c r="C748" s="2">
        <f t="shared" si="33"/>
        <v>2.0202020202020203</v>
      </c>
    </row>
    <row r="749" spans="1:3" x14ac:dyDescent="0.2">
      <c r="A749" t="s">
        <v>38</v>
      </c>
      <c r="B749">
        <f>COUNTIFS($D$317:$D$475, "**")</f>
        <v>99</v>
      </c>
      <c r="C749" s="2"/>
    </row>
    <row r="750" spans="1:3" x14ac:dyDescent="0.2">
      <c r="A750" s="3" t="s">
        <v>386</v>
      </c>
      <c r="B750" s="3"/>
      <c r="C750" s="3"/>
    </row>
    <row r="751" spans="1:3" x14ac:dyDescent="0.2">
      <c r="B751">
        <f>COUNTIFS($E$317:$E$475, "*glifosato*")</f>
        <v>2</v>
      </c>
      <c r="C751" s="2">
        <f>(B751/$B$527)*100</f>
        <v>3.6363636363636362</v>
      </c>
    </row>
    <row r="752" spans="1:3" x14ac:dyDescent="0.2">
      <c r="B752">
        <f>COUNTIFS($E$317:$E$475, "*diquat*")</f>
        <v>13</v>
      </c>
      <c r="C752" s="2">
        <f t="shared" ref="C752:C755" si="34">(B752/$B$527)*100</f>
        <v>23.636363636363637</v>
      </c>
    </row>
    <row r="753" spans="1:5" x14ac:dyDescent="0.2">
      <c r="B753">
        <f>COUNTIFS($E$317:$E$475, "*paraquat*")</f>
        <v>42</v>
      </c>
      <c r="C753" s="2">
        <f>(B753/$B$527)*100</f>
        <v>76.363636363636374</v>
      </c>
    </row>
    <row r="754" spans="1:5" x14ac:dyDescent="0.2">
      <c r="B754">
        <f>COUNTIFS($E$317:$E$475, "*glufosinato*")</f>
        <v>5</v>
      </c>
      <c r="C754" s="2">
        <f t="shared" si="34"/>
        <v>9.0909090909090917</v>
      </c>
    </row>
    <row r="755" spans="1:5" x14ac:dyDescent="0.2">
      <c r="B755">
        <f>COUNTIFS($E$317:$E$475, "*atrazine*")</f>
        <v>1</v>
      </c>
      <c r="C755" s="2">
        <f t="shared" si="34"/>
        <v>1.8181818181818181</v>
      </c>
    </row>
    <row r="756" spans="1:5" x14ac:dyDescent="0.2">
      <c r="A756" t="s">
        <v>38</v>
      </c>
      <c r="B756">
        <f>COUNTIFS($E$317:$E$475, "**")</f>
        <v>55</v>
      </c>
    </row>
    <row r="757" spans="1:5" x14ac:dyDescent="0.2">
      <c r="A757" s="5" t="s">
        <v>456</v>
      </c>
      <c r="B757" s="5" t="s">
        <v>457</v>
      </c>
      <c r="C757" s="5" t="s">
        <v>458</v>
      </c>
    </row>
    <row r="758" spans="1:5" x14ac:dyDescent="0.2">
      <c r="A758" t="s">
        <v>15</v>
      </c>
      <c r="D758" s="5" t="s">
        <v>459</v>
      </c>
      <c r="E758" s="5" t="s">
        <v>460</v>
      </c>
    </row>
    <row r="759" spans="1:5" x14ac:dyDescent="0.2">
      <c r="A759" t="s">
        <v>12</v>
      </c>
      <c r="D759" t="s">
        <v>461</v>
      </c>
    </row>
    <row r="760" spans="1:5" x14ac:dyDescent="0.2">
      <c r="A760" t="s">
        <v>14</v>
      </c>
      <c r="B760" t="s">
        <v>74</v>
      </c>
      <c r="C760" t="s">
        <v>453</v>
      </c>
    </row>
    <row r="761" spans="1:5" x14ac:dyDescent="0.2">
      <c r="A761" t="s">
        <v>14</v>
      </c>
      <c r="D761" t="s">
        <v>257</v>
      </c>
    </row>
    <row r="762" spans="1:5" x14ac:dyDescent="0.2">
      <c r="A762" t="s">
        <v>7</v>
      </c>
    </row>
    <row r="763" spans="1:5" x14ac:dyDescent="0.2">
      <c r="A763" t="s">
        <v>96</v>
      </c>
      <c r="C763" t="s">
        <v>462</v>
      </c>
    </row>
    <row r="764" spans="1:5" x14ac:dyDescent="0.2">
      <c r="A764" t="s">
        <v>14</v>
      </c>
      <c r="D764" t="s">
        <v>18</v>
      </c>
    </row>
    <row r="765" spans="1:5" x14ac:dyDescent="0.2">
      <c r="A765" t="s">
        <v>14</v>
      </c>
      <c r="B765" t="s">
        <v>18</v>
      </c>
      <c r="C765" t="s">
        <v>463</v>
      </c>
    </row>
    <row r="766" spans="1:5" x14ac:dyDescent="0.2">
      <c r="A766" t="s">
        <v>7</v>
      </c>
      <c r="B766" t="s">
        <v>74</v>
      </c>
      <c r="D766" t="s">
        <v>464</v>
      </c>
    </row>
    <row r="767" spans="1:5" x14ac:dyDescent="0.2">
      <c r="A767" t="s">
        <v>21</v>
      </c>
      <c r="B767" t="s">
        <v>18</v>
      </c>
      <c r="C767" t="s">
        <v>465</v>
      </c>
    </row>
    <row r="768" spans="1:5" x14ac:dyDescent="0.2">
      <c r="A768" t="s">
        <v>7</v>
      </c>
    </row>
    <row r="769" spans="1:4" x14ac:dyDescent="0.2">
      <c r="A769" t="s">
        <v>15</v>
      </c>
    </row>
    <row r="770" spans="1:4" x14ac:dyDescent="0.2">
      <c r="A770" t="s">
        <v>5</v>
      </c>
      <c r="B770" t="s">
        <v>18</v>
      </c>
      <c r="C770" t="s">
        <v>466</v>
      </c>
    </row>
    <row r="771" spans="1:4" x14ac:dyDescent="0.2">
      <c r="A771" t="s">
        <v>12</v>
      </c>
      <c r="B771" t="s">
        <v>468</v>
      </c>
      <c r="D771" t="s">
        <v>467</v>
      </c>
    </row>
    <row r="772" spans="1:4" x14ac:dyDescent="0.2">
      <c r="A772" t="s">
        <v>7</v>
      </c>
      <c r="B772" t="s">
        <v>18</v>
      </c>
      <c r="D772" t="s">
        <v>468</v>
      </c>
    </row>
    <row r="773" spans="1:4" x14ac:dyDescent="0.2">
      <c r="A773" s="4" t="s">
        <v>469</v>
      </c>
      <c r="B773" s="4"/>
      <c r="C773" s="4"/>
    </row>
    <row r="774" spans="1:4" x14ac:dyDescent="0.2">
      <c r="A774" t="s">
        <v>35</v>
      </c>
      <c r="B774">
        <f>COUNTIFS($A$758:$A$772, "*Dessecante pre-plantio*")</f>
        <v>12</v>
      </c>
      <c r="C774" s="2">
        <f>(B774/$B$778)*100</f>
        <v>80</v>
      </c>
    </row>
    <row r="775" spans="1:4" x14ac:dyDescent="0.2">
      <c r="A775" t="s">
        <v>17</v>
      </c>
      <c r="B775">
        <f>COUNTIFS($A$758:$A$772, "*pre-emergente*")</f>
        <v>7</v>
      </c>
      <c r="C775" s="2">
        <f t="shared" ref="C775:C777" si="35">(B775/$B$778)*100</f>
        <v>46.666666666666664</v>
      </c>
    </row>
    <row r="776" spans="1:4" x14ac:dyDescent="0.2">
      <c r="A776" t="s">
        <v>15</v>
      </c>
      <c r="B776">
        <f>COUNTIFS($A$758:$A$772, "*pos-emergente*")</f>
        <v>10</v>
      </c>
      <c r="C776" s="2">
        <f t="shared" si="35"/>
        <v>66.666666666666657</v>
      </c>
    </row>
    <row r="777" spans="1:4" x14ac:dyDescent="0.2">
      <c r="A777" t="s">
        <v>36</v>
      </c>
      <c r="B777">
        <f>COUNTIFS($A$758:$A$772, "*Dessecante pre-colheita*")</f>
        <v>1</v>
      </c>
      <c r="C777" s="2">
        <f t="shared" si="35"/>
        <v>6.666666666666667</v>
      </c>
    </row>
    <row r="778" spans="1:4" x14ac:dyDescent="0.2">
      <c r="A778" t="s">
        <v>38</v>
      </c>
      <c r="B778">
        <f>COUNTIFS($A$758:$A$772, "**")</f>
        <v>15</v>
      </c>
    </row>
    <row r="779" spans="1:4" x14ac:dyDescent="0.2">
      <c r="A779" s="3" t="s">
        <v>35</v>
      </c>
      <c r="B779" s="3"/>
      <c r="C779" s="3"/>
    </row>
    <row r="780" spans="1:4" x14ac:dyDescent="0.2">
      <c r="B780">
        <f>COUNTIFS($B$317:$B$475, "*glifosato*")</f>
        <v>85</v>
      </c>
      <c r="C780" s="2">
        <f>(B780/$B$496)*100</f>
        <v>85</v>
      </c>
    </row>
    <row r="781" spans="1:4" x14ac:dyDescent="0.2">
      <c r="B781">
        <f>COUNTIFS($B$317:$B$475, "*2,4-d*")</f>
        <v>56</v>
      </c>
      <c r="C781" s="2">
        <f t="shared" ref="C781:C793" si="36">(B781/$B$496)*100</f>
        <v>56.000000000000007</v>
      </c>
    </row>
    <row r="782" spans="1:4" x14ac:dyDescent="0.2">
      <c r="B782">
        <f>COUNTIFS($B$317:$B$475, "*paraquat*")</f>
        <v>24</v>
      </c>
      <c r="C782" s="2">
        <f t="shared" si="36"/>
        <v>24</v>
      </c>
    </row>
    <row r="783" spans="1:4" x14ac:dyDescent="0.2">
      <c r="B783">
        <f>COUNTIFS($B$317:$B$475, "*clethodim*")</f>
        <v>12</v>
      </c>
      <c r="C783" s="2">
        <f t="shared" si="36"/>
        <v>12</v>
      </c>
    </row>
    <row r="784" spans="1:4" x14ac:dyDescent="0.2">
      <c r="B784">
        <f>COUNTIFS($B$317:$B$475, "*metsulfuron*")</f>
        <v>3</v>
      </c>
      <c r="C784" s="2">
        <f t="shared" si="36"/>
        <v>3</v>
      </c>
    </row>
    <row r="785" spans="1:3" x14ac:dyDescent="0.2">
      <c r="B785">
        <f>COUNTIFS($B$317:$B$475, "*flumioxazin*")</f>
        <v>10</v>
      </c>
      <c r="C785" s="2">
        <f t="shared" si="36"/>
        <v>10</v>
      </c>
    </row>
    <row r="786" spans="1:3" x14ac:dyDescent="0.2">
      <c r="B786">
        <f>COUNTIFS($B$317:$B$475, "*sulfentrazone*")</f>
        <v>3</v>
      </c>
      <c r="C786" s="2">
        <f t="shared" si="36"/>
        <v>3</v>
      </c>
    </row>
    <row r="787" spans="1:3" x14ac:dyDescent="0.2">
      <c r="B787">
        <f>COUNTIFS($B$317:$B$475, "*glufosinato*")</f>
        <v>3</v>
      </c>
      <c r="C787" s="2">
        <f t="shared" si="36"/>
        <v>3</v>
      </c>
    </row>
    <row r="788" spans="1:3" x14ac:dyDescent="0.2">
      <c r="B788">
        <f>COUNTIFS($B$317:$B$475, "*diuron*")</f>
        <v>5</v>
      </c>
      <c r="C788" s="2">
        <f t="shared" si="36"/>
        <v>5</v>
      </c>
    </row>
    <row r="789" spans="1:3" x14ac:dyDescent="0.2">
      <c r="B789">
        <f>COUNTIFS($B$317:$B$475, "*haloxifop*")</f>
        <v>4</v>
      </c>
      <c r="C789" s="2">
        <f t="shared" si="36"/>
        <v>4</v>
      </c>
    </row>
    <row r="790" spans="1:3" x14ac:dyDescent="0.2">
      <c r="B790">
        <f>COUNTIFS($B$317:$B$475, "*chlorimuron*")</f>
        <v>7</v>
      </c>
      <c r="C790" s="2">
        <f t="shared" si="36"/>
        <v>7.0000000000000009</v>
      </c>
    </row>
    <row r="791" spans="1:3" x14ac:dyDescent="0.2">
      <c r="B791">
        <f>COUNTIFS($B$317:$B$475, "* S-metolachlor*")</f>
        <v>2</v>
      </c>
      <c r="C791" s="2">
        <f t="shared" si="36"/>
        <v>2</v>
      </c>
    </row>
    <row r="792" spans="1:3" x14ac:dyDescent="0.2">
      <c r="B792">
        <f>COUNTIFS($B$317:$B$475, "*chlorimuron*")</f>
        <v>7</v>
      </c>
      <c r="C792" s="2">
        <f t="shared" si="36"/>
        <v>7.0000000000000009</v>
      </c>
    </row>
    <row r="793" spans="1:3" x14ac:dyDescent="0.2">
      <c r="B793">
        <f>COUNTIFS($B$317:$B$475, "*saflufenacil*")</f>
        <v>12</v>
      </c>
      <c r="C793" s="2">
        <f t="shared" si="36"/>
        <v>12</v>
      </c>
    </row>
    <row r="794" spans="1:3" x14ac:dyDescent="0.2">
      <c r="A794" t="s">
        <v>38</v>
      </c>
      <c r="B794">
        <f>COUNTIFS($B$276:$B$475, "**")</f>
        <v>100</v>
      </c>
    </row>
    <row r="795" spans="1:3" x14ac:dyDescent="0.2">
      <c r="A795" s="3" t="s">
        <v>17</v>
      </c>
      <c r="B795" s="3"/>
      <c r="C795" s="3"/>
    </row>
    <row r="796" spans="1:3" x14ac:dyDescent="0.2">
      <c r="B796">
        <f>COUNTIFS($C$317:$C$475, "*s-methalaclor*")</f>
        <v>17</v>
      </c>
      <c r="C796" s="2">
        <f>(B796/$B$508)*100</f>
        <v>28.333333333333332</v>
      </c>
    </row>
    <row r="797" spans="1:3" x14ac:dyDescent="0.2">
      <c r="B797">
        <f>COUNTIFS($C$317:$C$475, "*diclosulan*")</f>
        <v>26</v>
      </c>
      <c r="C797" s="2">
        <f t="shared" ref="C797:C805" si="37">(B797/$B$508)*100</f>
        <v>43.333333333333336</v>
      </c>
    </row>
    <row r="798" spans="1:3" x14ac:dyDescent="0.2">
      <c r="B798">
        <f>COUNTIFS($C$317:$C$475, "*imazethapyr*")</f>
        <v>7</v>
      </c>
      <c r="C798" s="2">
        <f t="shared" si="37"/>
        <v>11.666666666666666</v>
      </c>
    </row>
    <row r="799" spans="1:3" x14ac:dyDescent="0.2">
      <c r="B799">
        <f>COUNTIFS($C$317:$C$475, "*sulfentrazone*")</f>
        <v>5</v>
      </c>
      <c r="C799" s="2">
        <f t="shared" si="37"/>
        <v>8.3333333333333321</v>
      </c>
    </row>
    <row r="800" spans="1:3" x14ac:dyDescent="0.2">
      <c r="B800">
        <f>COUNTIFS($C$317:$C$475, "*glifosato*")</f>
        <v>4</v>
      </c>
      <c r="C800" s="2">
        <f t="shared" si="37"/>
        <v>6.666666666666667</v>
      </c>
    </row>
    <row r="801" spans="1:3" x14ac:dyDescent="0.2">
      <c r="B801">
        <f>COUNTIFS($C$317:$C$475, "*imazaquim*")</f>
        <v>1</v>
      </c>
      <c r="C801" s="2">
        <f t="shared" si="37"/>
        <v>1.6666666666666667</v>
      </c>
    </row>
    <row r="802" spans="1:3" x14ac:dyDescent="0.2">
      <c r="B802">
        <f>COUNTIFS($C$317:$C$475, "*flumioxazin*")</f>
        <v>11</v>
      </c>
      <c r="C802" s="2">
        <f t="shared" si="37"/>
        <v>18.333333333333332</v>
      </c>
    </row>
    <row r="803" spans="1:3" x14ac:dyDescent="0.2">
      <c r="B803">
        <f t="shared" ref="B803" si="38">COUNTIFS($C$317:$C$475, "*glifosato*")</f>
        <v>4</v>
      </c>
      <c r="C803" s="2">
        <f t="shared" si="37"/>
        <v>6.666666666666667</v>
      </c>
    </row>
    <row r="804" spans="1:3" x14ac:dyDescent="0.2">
      <c r="B804">
        <f>COUNTIFS($C$317:$C$475, "*glufosinato*")</f>
        <v>1</v>
      </c>
      <c r="C804" s="2">
        <f t="shared" si="37"/>
        <v>1.6666666666666667</v>
      </c>
    </row>
    <row r="805" spans="1:3" x14ac:dyDescent="0.2">
      <c r="B805">
        <f>COUNTIFS($C$317:$C$475, "*trifluralina*")</f>
        <v>2</v>
      </c>
      <c r="C805" s="2">
        <f t="shared" si="37"/>
        <v>3.3333333333333335</v>
      </c>
    </row>
    <row r="806" spans="1:3" x14ac:dyDescent="0.2">
      <c r="A806" t="s">
        <v>38</v>
      </c>
      <c r="B806">
        <f>COUNTIFS($C$317:$C$475, "**")</f>
        <v>60</v>
      </c>
      <c r="C806" s="2"/>
    </row>
    <row r="807" spans="1:3" x14ac:dyDescent="0.2">
      <c r="A807" s="3" t="s">
        <v>15</v>
      </c>
      <c r="B807" s="3"/>
      <c r="C807" s="3"/>
    </row>
    <row r="808" spans="1:3" x14ac:dyDescent="0.2">
      <c r="B808">
        <f>COUNTIFS($D$317:$D$475, "*glifosato*")</f>
        <v>92</v>
      </c>
      <c r="C808" s="2">
        <f>(B808/$B$520)*100</f>
        <v>92.929292929292927</v>
      </c>
    </row>
    <row r="809" spans="1:3" x14ac:dyDescent="0.2">
      <c r="B809">
        <f>COUNTIFS($D$317:$D$475, "*flumioxazin*")</f>
        <v>1</v>
      </c>
      <c r="C809" s="2">
        <f t="shared" ref="C809:C816" si="39">(B809/$B$520)*100</f>
        <v>1.0101010101010102</v>
      </c>
    </row>
    <row r="810" spans="1:3" x14ac:dyDescent="0.2">
      <c r="B810">
        <f>COUNTIFS($D$317:$D$475, "*clethodim*")</f>
        <v>14</v>
      </c>
      <c r="C810" s="2">
        <f t="shared" si="39"/>
        <v>14.14141414141414</v>
      </c>
    </row>
    <row r="811" spans="1:3" x14ac:dyDescent="0.2">
      <c r="B811">
        <f>COUNTIFS($D$317:$D$475, "*imazethapyr*")</f>
        <v>10</v>
      </c>
      <c r="C811" s="2">
        <f t="shared" si="39"/>
        <v>10.1010101010101</v>
      </c>
    </row>
    <row r="812" spans="1:3" x14ac:dyDescent="0.2">
      <c r="B812">
        <f>COUNTIFS($D$317:$D$475, "*haloxyfop*")</f>
        <v>8</v>
      </c>
      <c r="C812" s="2">
        <f t="shared" si="39"/>
        <v>8.0808080808080813</v>
      </c>
    </row>
    <row r="813" spans="1:3" x14ac:dyDescent="0.2">
      <c r="B813">
        <f>COUNTIFS($D$317:$D$475, "*lactofen*")</f>
        <v>4</v>
      </c>
      <c r="C813" s="2">
        <f t="shared" si="39"/>
        <v>4.0404040404040407</v>
      </c>
    </row>
    <row r="814" spans="1:3" x14ac:dyDescent="0.2">
      <c r="B814">
        <f>COUNTIFS($D$317:$D$475, "*fomesafen*")</f>
        <v>6</v>
      </c>
      <c r="C814" s="2">
        <f t="shared" si="39"/>
        <v>6.0606060606060606</v>
      </c>
    </row>
    <row r="815" spans="1:3" x14ac:dyDescent="0.2">
      <c r="B815">
        <f>COUNTIFS($D$317:$D$475, "*sulfentrazone*")</f>
        <v>4</v>
      </c>
      <c r="C815" s="2">
        <f t="shared" si="39"/>
        <v>4.0404040404040407</v>
      </c>
    </row>
    <row r="816" spans="1:3" x14ac:dyDescent="0.2">
      <c r="B816">
        <f>COUNTIFS($D$317:$D$475, "*basagran*")</f>
        <v>2</v>
      </c>
      <c r="C816" s="2">
        <f t="shared" si="39"/>
        <v>2.0202020202020203</v>
      </c>
    </row>
    <row r="817" spans="1:5" x14ac:dyDescent="0.2">
      <c r="A817" t="s">
        <v>38</v>
      </c>
      <c r="B817">
        <f>COUNTIFS($D$317:$D$475, "**")</f>
        <v>99</v>
      </c>
      <c r="C817" s="2"/>
    </row>
    <row r="818" spans="1:5" x14ac:dyDescent="0.2">
      <c r="A818" s="3" t="s">
        <v>386</v>
      </c>
      <c r="B818" s="3"/>
      <c r="C818" s="3"/>
    </row>
    <row r="819" spans="1:5" x14ac:dyDescent="0.2">
      <c r="B819">
        <f>COUNTIFS($E$317:$E$475, "*glifosato*")</f>
        <v>2</v>
      </c>
      <c r="C819" s="2">
        <f>(B819/$B$527)*100</f>
        <v>3.6363636363636362</v>
      </c>
    </row>
    <row r="820" spans="1:5" x14ac:dyDescent="0.2">
      <c r="B820">
        <f>COUNTIFS($E$317:$E$475, "*diquat*")</f>
        <v>13</v>
      </c>
      <c r="C820" s="2">
        <f t="shared" ref="C820:C823" si="40">(B820/$B$527)*100</f>
        <v>23.636363636363637</v>
      </c>
    </row>
    <row r="821" spans="1:5" x14ac:dyDescent="0.2">
      <c r="B821">
        <f>COUNTIFS($E$317:$E$475, "*paraquat*")</f>
        <v>42</v>
      </c>
      <c r="C821" s="2">
        <f>(B821/$B$527)*100</f>
        <v>76.363636363636374</v>
      </c>
    </row>
    <row r="822" spans="1:5" x14ac:dyDescent="0.2">
      <c r="B822">
        <f>COUNTIFS($E$317:$E$475, "*glufosinato*")</f>
        <v>5</v>
      </c>
      <c r="C822" s="2">
        <f t="shared" si="40"/>
        <v>9.0909090909090917</v>
      </c>
    </row>
    <row r="823" spans="1:5" x14ac:dyDescent="0.2">
      <c r="B823">
        <f>COUNTIFS($E$317:$E$475, "*atrazine*")</f>
        <v>1</v>
      </c>
      <c r="C823" s="2">
        <f t="shared" si="40"/>
        <v>1.8181818181818181</v>
      </c>
    </row>
    <row r="824" spans="1:5" x14ac:dyDescent="0.2">
      <c r="A824" t="s">
        <v>38</v>
      </c>
      <c r="B824">
        <f>COUNTIFS($E$317:$E$475, "**")</f>
        <v>55</v>
      </c>
    </row>
    <row r="825" spans="1:5" x14ac:dyDescent="0.2">
      <c r="A825" s="5" t="s">
        <v>470</v>
      </c>
      <c r="B825" s="5" t="s">
        <v>471</v>
      </c>
      <c r="C825" s="5" t="s">
        <v>472</v>
      </c>
      <c r="D825" s="5" t="s">
        <v>473</v>
      </c>
      <c r="E825" s="5" t="s">
        <v>474</v>
      </c>
    </row>
    <row r="826" spans="1:5" x14ac:dyDescent="0.2">
      <c r="A826" t="s">
        <v>475</v>
      </c>
      <c r="B826" t="s">
        <v>476</v>
      </c>
      <c r="C826" t="s">
        <v>477</v>
      </c>
      <c r="D826" t="s">
        <v>478</v>
      </c>
      <c r="E826" t="s">
        <v>479</v>
      </c>
    </row>
    <row r="827" spans="1:5" x14ac:dyDescent="0.2">
      <c r="A827" t="s">
        <v>475</v>
      </c>
      <c r="B827" t="s">
        <v>18</v>
      </c>
      <c r="C827" t="s">
        <v>480</v>
      </c>
      <c r="D827" t="s">
        <v>481</v>
      </c>
      <c r="E827" t="s">
        <v>482</v>
      </c>
    </row>
    <row r="828" spans="1:5" x14ac:dyDescent="0.2">
      <c r="A828" t="s">
        <v>7</v>
      </c>
      <c r="B828" t="s">
        <v>8</v>
      </c>
    </row>
    <row r="829" spans="1:5" x14ac:dyDescent="0.2">
      <c r="A829" t="s">
        <v>483</v>
      </c>
      <c r="B829" t="s">
        <v>484</v>
      </c>
      <c r="C829" t="s">
        <v>246</v>
      </c>
      <c r="D829" t="s">
        <v>485</v>
      </c>
    </row>
    <row r="830" spans="1:5" x14ac:dyDescent="0.2">
      <c r="A830" t="s">
        <v>475</v>
      </c>
      <c r="B830" t="s">
        <v>18</v>
      </c>
      <c r="C830" t="s">
        <v>486</v>
      </c>
      <c r="D830" t="s">
        <v>487</v>
      </c>
      <c r="E830" t="s">
        <v>488</v>
      </c>
    </row>
    <row r="831" spans="1:5" x14ac:dyDescent="0.2">
      <c r="A831" t="s">
        <v>489</v>
      </c>
    </row>
    <row r="832" spans="1:5" x14ac:dyDescent="0.2">
      <c r="A832" t="s">
        <v>490</v>
      </c>
      <c r="B832" t="s">
        <v>147</v>
      </c>
      <c r="D832" t="s">
        <v>491</v>
      </c>
    </row>
    <row r="833" spans="1:5" x14ac:dyDescent="0.2">
      <c r="A833" t="s">
        <v>475</v>
      </c>
      <c r="B833" t="s">
        <v>492</v>
      </c>
      <c r="C833" t="s">
        <v>493</v>
      </c>
      <c r="D833" t="s">
        <v>485</v>
      </c>
      <c r="E833" t="s">
        <v>494</v>
      </c>
    </row>
    <row r="834" spans="1:5" x14ac:dyDescent="0.2">
      <c r="A834" t="s">
        <v>495</v>
      </c>
    </row>
    <row r="835" spans="1:5" x14ac:dyDescent="0.2">
      <c r="A835" t="s">
        <v>490</v>
      </c>
      <c r="B835" t="s">
        <v>496</v>
      </c>
      <c r="D835" t="s">
        <v>497</v>
      </c>
    </row>
    <row r="836" spans="1:5" x14ac:dyDescent="0.2">
      <c r="A836" t="s">
        <v>475</v>
      </c>
    </row>
    <row r="837" spans="1:5" x14ac:dyDescent="0.2">
      <c r="A837" t="s">
        <v>475</v>
      </c>
    </row>
    <row r="838" spans="1:5" x14ac:dyDescent="0.2">
      <c r="A838" t="s">
        <v>7</v>
      </c>
      <c r="B838" t="s">
        <v>74</v>
      </c>
    </row>
    <row r="839" spans="1:5" x14ac:dyDescent="0.2">
      <c r="A839" t="s">
        <v>495</v>
      </c>
      <c r="B839" t="s">
        <v>498</v>
      </c>
      <c r="D839" t="s">
        <v>499</v>
      </c>
      <c r="E839" t="s">
        <v>258</v>
      </c>
    </row>
    <row r="840" spans="1:5" x14ac:dyDescent="0.2">
      <c r="A840" t="s">
        <v>475</v>
      </c>
      <c r="B840" t="s">
        <v>74</v>
      </c>
      <c r="C840" t="s">
        <v>500</v>
      </c>
      <c r="D840" t="s">
        <v>384</v>
      </c>
      <c r="E840" t="s">
        <v>501</v>
      </c>
    </row>
    <row r="841" spans="1:5" x14ac:dyDescent="0.2">
      <c r="A841" t="s">
        <v>475</v>
      </c>
      <c r="B841" t="s">
        <v>18</v>
      </c>
      <c r="C841" t="s">
        <v>45</v>
      </c>
      <c r="D841" t="s">
        <v>502</v>
      </c>
      <c r="E841" t="s">
        <v>258</v>
      </c>
    </row>
    <row r="842" spans="1:5" x14ac:dyDescent="0.2">
      <c r="A842" t="s">
        <v>483</v>
      </c>
    </row>
    <row r="843" spans="1:5" x14ac:dyDescent="0.2">
      <c r="A843" t="s">
        <v>490</v>
      </c>
    </row>
    <row r="844" spans="1:5" x14ac:dyDescent="0.2">
      <c r="A844" t="s">
        <v>483</v>
      </c>
    </row>
    <row r="845" spans="1:5" x14ac:dyDescent="0.2">
      <c r="A845" t="s">
        <v>503</v>
      </c>
    </row>
    <row r="846" spans="1:5" x14ac:dyDescent="0.2">
      <c r="A846" t="s">
        <v>489</v>
      </c>
    </row>
    <row r="847" spans="1:5" x14ac:dyDescent="0.2">
      <c r="A847" t="s">
        <v>495</v>
      </c>
      <c r="B847" t="s">
        <v>18</v>
      </c>
      <c r="D847" t="s">
        <v>504</v>
      </c>
      <c r="E847" t="s">
        <v>49</v>
      </c>
    </row>
    <row r="848" spans="1:5" x14ac:dyDescent="0.2">
      <c r="A848" t="s">
        <v>475</v>
      </c>
      <c r="B848" t="s">
        <v>159</v>
      </c>
      <c r="C848" t="s">
        <v>505</v>
      </c>
      <c r="D848" t="s">
        <v>506</v>
      </c>
      <c r="E848" t="s">
        <v>507</v>
      </c>
    </row>
    <row r="849" spans="1:5" x14ac:dyDescent="0.2">
      <c r="A849" t="s">
        <v>475</v>
      </c>
      <c r="B849" t="s">
        <v>249</v>
      </c>
      <c r="C849" t="s">
        <v>246</v>
      </c>
      <c r="D849" t="s">
        <v>485</v>
      </c>
      <c r="E849" t="s">
        <v>248</v>
      </c>
    </row>
    <row r="850" spans="1:5" x14ac:dyDescent="0.2">
      <c r="A850" t="s">
        <v>475</v>
      </c>
      <c r="B850" t="s">
        <v>10</v>
      </c>
      <c r="D850" t="s">
        <v>508</v>
      </c>
      <c r="E850" t="s">
        <v>51</v>
      </c>
    </row>
    <row r="851" spans="1:5" x14ac:dyDescent="0.2">
      <c r="A851" t="s">
        <v>495</v>
      </c>
      <c r="B851" t="s">
        <v>509</v>
      </c>
      <c r="D851" t="s">
        <v>510</v>
      </c>
      <c r="E851" t="s">
        <v>263</v>
      </c>
    </row>
    <row r="852" spans="1:5" x14ac:dyDescent="0.2">
      <c r="A852" t="s">
        <v>489</v>
      </c>
    </row>
    <row r="853" spans="1:5" x14ac:dyDescent="0.2">
      <c r="A853" t="s">
        <v>250</v>
      </c>
    </row>
    <row r="854" spans="1:5" x14ac:dyDescent="0.2">
      <c r="A854" t="s">
        <v>490</v>
      </c>
      <c r="B854" t="s">
        <v>511</v>
      </c>
      <c r="D854" t="s">
        <v>512</v>
      </c>
    </row>
    <row r="855" spans="1:5" x14ac:dyDescent="0.2">
      <c r="A855" t="s">
        <v>475</v>
      </c>
    </row>
    <row r="856" spans="1:5" x14ac:dyDescent="0.2">
      <c r="A856" t="s">
        <v>489</v>
      </c>
      <c r="D856" t="s">
        <v>508</v>
      </c>
    </row>
    <row r="857" spans="1:5" x14ac:dyDescent="0.2">
      <c r="A857" t="s">
        <v>475</v>
      </c>
      <c r="B857" t="s">
        <v>51</v>
      </c>
      <c r="C857" t="s">
        <v>161</v>
      </c>
      <c r="D857" t="s">
        <v>513</v>
      </c>
      <c r="E857" t="s">
        <v>514</v>
      </c>
    </row>
    <row r="858" spans="1:5" x14ac:dyDescent="0.2">
      <c r="A858" t="s">
        <v>495</v>
      </c>
      <c r="B858" t="s">
        <v>74</v>
      </c>
      <c r="D858" t="s">
        <v>515</v>
      </c>
      <c r="E858" t="s">
        <v>75</v>
      </c>
    </row>
    <row r="859" spans="1:5" x14ac:dyDescent="0.2">
      <c r="A859" t="s">
        <v>21</v>
      </c>
      <c r="B859" t="s">
        <v>46</v>
      </c>
      <c r="C859" t="s">
        <v>74</v>
      </c>
    </row>
    <row r="860" spans="1:5" x14ac:dyDescent="0.2">
      <c r="A860" t="s">
        <v>495</v>
      </c>
      <c r="B860" t="s">
        <v>18</v>
      </c>
      <c r="D860" t="s">
        <v>516</v>
      </c>
      <c r="E860" t="s">
        <v>49</v>
      </c>
    </row>
    <row r="861" spans="1:5" x14ac:dyDescent="0.2">
      <c r="A861" t="s">
        <v>490</v>
      </c>
      <c r="B861" t="s">
        <v>74</v>
      </c>
      <c r="D861" t="s">
        <v>517</v>
      </c>
    </row>
    <row r="862" spans="1:5" x14ac:dyDescent="0.2">
      <c r="A862" t="s">
        <v>490</v>
      </c>
      <c r="B862" t="s">
        <v>74</v>
      </c>
      <c r="D862" t="s">
        <v>518</v>
      </c>
    </row>
    <row r="863" spans="1:5" x14ac:dyDescent="0.2">
      <c r="A863" t="s">
        <v>7</v>
      </c>
      <c r="B863" t="s">
        <v>18</v>
      </c>
    </row>
    <row r="864" spans="1:5" x14ac:dyDescent="0.2">
      <c r="A864" t="s">
        <v>250</v>
      </c>
    </row>
    <row r="865" spans="1:5" x14ac:dyDescent="0.2">
      <c r="A865" t="s">
        <v>7</v>
      </c>
    </row>
    <row r="866" spans="1:5" x14ac:dyDescent="0.2">
      <c r="A866" t="s">
        <v>7</v>
      </c>
      <c r="B866" t="s">
        <v>18</v>
      </c>
    </row>
    <row r="867" spans="1:5" x14ac:dyDescent="0.2">
      <c r="A867" t="s">
        <v>490</v>
      </c>
      <c r="B867" t="s">
        <v>18</v>
      </c>
      <c r="D867" t="s">
        <v>151</v>
      </c>
    </row>
    <row r="868" spans="1:5" x14ac:dyDescent="0.2">
      <c r="A868" t="s">
        <v>475</v>
      </c>
      <c r="B868" t="s">
        <v>519</v>
      </c>
      <c r="D868" t="s">
        <v>520</v>
      </c>
      <c r="E868" t="s">
        <v>521</v>
      </c>
    </row>
    <row r="869" spans="1:5" x14ac:dyDescent="0.2">
      <c r="A869" t="s">
        <v>475</v>
      </c>
      <c r="B869" t="s">
        <v>522</v>
      </c>
      <c r="C869" t="s">
        <v>151</v>
      </c>
      <c r="D869" t="s">
        <v>523</v>
      </c>
      <c r="E869" t="s">
        <v>524</v>
      </c>
    </row>
    <row r="870" spans="1:5" x14ac:dyDescent="0.2">
      <c r="A870" t="s">
        <v>495</v>
      </c>
      <c r="B870" t="s">
        <v>18</v>
      </c>
      <c r="D870" t="s">
        <v>508</v>
      </c>
      <c r="E870" t="s">
        <v>525</v>
      </c>
    </row>
    <row r="871" spans="1:5" x14ac:dyDescent="0.2">
      <c r="A871" t="s">
        <v>475</v>
      </c>
      <c r="B871" t="s">
        <v>130</v>
      </c>
      <c r="C871" t="s">
        <v>526</v>
      </c>
      <c r="D871" t="s">
        <v>485</v>
      </c>
      <c r="E871" t="s">
        <v>255</v>
      </c>
    </row>
    <row r="872" spans="1:5" x14ac:dyDescent="0.2">
      <c r="A872" t="s">
        <v>475</v>
      </c>
    </row>
    <row r="873" spans="1:5" x14ac:dyDescent="0.2">
      <c r="A873" t="s">
        <v>475</v>
      </c>
    </row>
    <row r="874" spans="1:5" x14ac:dyDescent="0.2">
      <c r="A874" t="s">
        <v>490</v>
      </c>
      <c r="B874" t="s">
        <v>10</v>
      </c>
      <c r="D874" t="s">
        <v>527</v>
      </c>
    </row>
    <row r="875" spans="1:5" x14ac:dyDescent="0.2">
      <c r="A875" t="s">
        <v>495</v>
      </c>
      <c r="B875" t="s">
        <v>528</v>
      </c>
      <c r="D875" t="s">
        <v>529</v>
      </c>
      <c r="E875" t="s">
        <v>11</v>
      </c>
    </row>
    <row r="876" spans="1:5" x14ac:dyDescent="0.2">
      <c r="A876" t="s">
        <v>495</v>
      </c>
    </row>
    <row r="877" spans="1:5" x14ac:dyDescent="0.2">
      <c r="A877" t="s">
        <v>475</v>
      </c>
      <c r="B877" t="s">
        <v>18</v>
      </c>
      <c r="C877" t="s">
        <v>530</v>
      </c>
      <c r="D877" t="s">
        <v>531</v>
      </c>
      <c r="E877" t="s">
        <v>13</v>
      </c>
    </row>
    <row r="878" spans="1:5" x14ac:dyDescent="0.2">
      <c r="A878" t="s">
        <v>7</v>
      </c>
      <c r="B878" t="s">
        <v>120</v>
      </c>
    </row>
    <row r="879" spans="1:5" x14ac:dyDescent="0.2">
      <c r="A879" t="s">
        <v>490</v>
      </c>
    </row>
    <row r="880" spans="1:5" x14ac:dyDescent="0.2">
      <c r="A880" t="s">
        <v>7</v>
      </c>
      <c r="B880" t="s">
        <v>74</v>
      </c>
    </row>
    <row r="881" spans="1:5" x14ac:dyDescent="0.2">
      <c r="A881" t="s">
        <v>475</v>
      </c>
      <c r="B881" t="s">
        <v>10</v>
      </c>
      <c r="C881" t="s">
        <v>175</v>
      </c>
      <c r="D881" t="s">
        <v>532</v>
      </c>
      <c r="E881" t="s">
        <v>533</v>
      </c>
    </row>
    <row r="882" spans="1:5" x14ac:dyDescent="0.2">
      <c r="A882" t="s">
        <v>495</v>
      </c>
    </row>
    <row r="883" spans="1:5" x14ac:dyDescent="0.2">
      <c r="A883" s="4" t="s">
        <v>469</v>
      </c>
      <c r="B883" s="4"/>
      <c r="C883" s="4"/>
    </row>
    <row r="884" spans="1:5" x14ac:dyDescent="0.2">
      <c r="A884" t="s">
        <v>35</v>
      </c>
      <c r="B884">
        <f>COUNTIFS($A$826:$A$882, "*Dessecante pre-plantio*")</f>
        <v>53</v>
      </c>
      <c r="C884" s="2">
        <f>(B884/$B$888)*100</f>
        <v>92.982456140350877</v>
      </c>
    </row>
    <row r="885" spans="1:5" x14ac:dyDescent="0.2">
      <c r="A885" t="s">
        <v>17</v>
      </c>
      <c r="B885">
        <f>COUNTIFS($A$826:$A$882, "*pre-emergente*")</f>
        <v>25</v>
      </c>
      <c r="C885" s="2">
        <f t="shared" ref="C885:C887" si="41">(B885/$B$888)*100</f>
        <v>43.859649122807014</v>
      </c>
    </row>
    <row r="886" spans="1:5" x14ac:dyDescent="0.2">
      <c r="A886" t="s">
        <v>15</v>
      </c>
      <c r="B886">
        <f>COUNTIFS($A$826:$A$882, "*pros-emergente*")</f>
        <v>46</v>
      </c>
      <c r="C886" s="2">
        <f t="shared" si="41"/>
        <v>80.701754385964904</v>
      </c>
    </row>
    <row r="887" spans="1:5" x14ac:dyDescent="0.2">
      <c r="A887" t="s">
        <v>36</v>
      </c>
      <c r="B887">
        <f>COUNTIFS($A$826:$A$882, "*Dessecante pre-colheita*")</f>
        <v>33</v>
      </c>
      <c r="C887" s="2">
        <f t="shared" si="41"/>
        <v>57.894736842105267</v>
      </c>
    </row>
    <row r="888" spans="1:5" x14ac:dyDescent="0.2">
      <c r="A888" t="s">
        <v>38</v>
      </c>
      <c r="B888">
        <f>COUNTIFS($A$826:$A$882, "**")</f>
        <v>57</v>
      </c>
    </row>
    <row r="889" spans="1:5" x14ac:dyDescent="0.2">
      <c r="A889" s="3" t="s">
        <v>35</v>
      </c>
      <c r="B889" s="3"/>
      <c r="C889" s="3"/>
    </row>
    <row r="890" spans="1:5" x14ac:dyDescent="0.2">
      <c r="B890">
        <f>COUNTIFS($B$826:$B$882, "**")</f>
        <v>37</v>
      </c>
      <c r="C890" s="2">
        <f>(B890/$B$496)*100</f>
        <v>37</v>
      </c>
    </row>
    <row r="891" spans="1:5" x14ac:dyDescent="0.2">
      <c r="B891">
        <f>COUNTIFS($B$317:$B$475, "*2,4-d*")</f>
        <v>56</v>
      </c>
      <c r="C891" s="2">
        <f t="shared" ref="C891:C903" si="42">(B891/$B$496)*100</f>
        <v>56.000000000000007</v>
      </c>
    </row>
    <row r="892" spans="1:5" x14ac:dyDescent="0.2">
      <c r="B892">
        <f>COUNTIFS($B$317:$B$475, "*paraquat*")</f>
        <v>24</v>
      </c>
      <c r="C892" s="2">
        <f t="shared" si="42"/>
        <v>24</v>
      </c>
    </row>
    <row r="893" spans="1:5" x14ac:dyDescent="0.2">
      <c r="B893">
        <f>COUNTIFS($B$317:$B$475, "*clethodim*")</f>
        <v>12</v>
      </c>
      <c r="C893" s="2">
        <f t="shared" si="42"/>
        <v>12</v>
      </c>
    </row>
    <row r="894" spans="1:5" x14ac:dyDescent="0.2">
      <c r="B894">
        <f>COUNTIFS($B$317:$B$475, "*metsulfuron*")</f>
        <v>3</v>
      </c>
      <c r="C894" s="2">
        <f t="shared" si="42"/>
        <v>3</v>
      </c>
    </row>
    <row r="895" spans="1:5" x14ac:dyDescent="0.2">
      <c r="B895">
        <f>COUNTIFS($B$317:$B$475, "*flumioxazin*")</f>
        <v>10</v>
      </c>
      <c r="C895" s="2">
        <f t="shared" si="42"/>
        <v>10</v>
      </c>
    </row>
    <row r="896" spans="1:5" x14ac:dyDescent="0.2">
      <c r="B896">
        <f>COUNTIFS($B$317:$B$475, "*sulfentrazone*")</f>
        <v>3</v>
      </c>
      <c r="C896" s="2">
        <f t="shared" si="42"/>
        <v>3</v>
      </c>
    </row>
    <row r="897" spans="1:3" x14ac:dyDescent="0.2">
      <c r="B897">
        <f>COUNTIFS($B$317:$B$475, "*glufosinato*")</f>
        <v>3</v>
      </c>
      <c r="C897" s="2">
        <f t="shared" si="42"/>
        <v>3</v>
      </c>
    </row>
    <row r="898" spans="1:3" x14ac:dyDescent="0.2">
      <c r="B898">
        <f>COUNTIFS($B$317:$B$475, "*diuron*")</f>
        <v>5</v>
      </c>
      <c r="C898" s="2">
        <f t="shared" si="42"/>
        <v>5</v>
      </c>
    </row>
    <row r="899" spans="1:3" x14ac:dyDescent="0.2">
      <c r="B899">
        <f>COUNTIFS($B$317:$B$475, "*haloxifop*")</f>
        <v>4</v>
      </c>
      <c r="C899" s="2">
        <f t="shared" si="42"/>
        <v>4</v>
      </c>
    </row>
    <row r="900" spans="1:3" x14ac:dyDescent="0.2">
      <c r="B900">
        <f>COUNTIFS($B$317:$B$475, "*chlorimuron*")</f>
        <v>7</v>
      </c>
      <c r="C900" s="2">
        <f t="shared" si="42"/>
        <v>7.0000000000000009</v>
      </c>
    </row>
    <row r="901" spans="1:3" x14ac:dyDescent="0.2">
      <c r="B901">
        <f>COUNTIFS($B$317:$B$475, "* S-metolachlor*")</f>
        <v>2</v>
      </c>
      <c r="C901" s="2">
        <f t="shared" si="42"/>
        <v>2</v>
      </c>
    </row>
    <row r="902" spans="1:3" x14ac:dyDescent="0.2">
      <c r="B902">
        <f>COUNTIFS($B$317:$B$475, "*chlorimuron*")</f>
        <v>7</v>
      </c>
      <c r="C902" s="2">
        <f t="shared" si="42"/>
        <v>7.0000000000000009</v>
      </c>
    </row>
    <row r="903" spans="1:3" x14ac:dyDescent="0.2">
      <c r="B903">
        <f>COUNTIFS($B$317:$B$475, "*saflufenacil*")</f>
        <v>12</v>
      </c>
      <c r="C903" s="2">
        <f t="shared" si="42"/>
        <v>12</v>
      </c>
    </row>
    <row r="904" spans="1:3" x14ac:dyDescent="0.2">
      <c r="A904" t="s">
        <v>38</v>
      </c>
      <c r="B904">
        <f>COUNTIFS($B$276:$B$475, "**")</f>
        <v>100</v>
      </c>
    </row>
    <row r="905" spans="1:3" x14ac:dyDescent="0.2">
      <c r="A905" s="3" t="s">
        <v>17</v>
      </c>
      <c r="B905" s="3"/>
      <c r="C905" s="3"/>
    </row>
    <row r="906" spans="1:3" x14ac:dyDescent="0.2">
      <c r="B906">
        <f>COUNTIFS($C$826:$C$882, "**")</f>
        <v>15</v>
      </c>
      <c r="C906" s="2">
        <f>(B906/$B$508)*100</f>
        <v>25</v>
      </c>
    </row>
    <row r="907" spans="1:3" x14ac:dyDescent="0.2">
      <c r="B907">
        <f>COUNTIFS($C$317:$C$475, "*diclosulan*")</f>
        <v>26</v>
      </c>
      <c r="C907" s="2">
        <f t="shared" ref="C907:C915" si="43">(B907/$B$508)*100</f>
        <v>43.333333333333336</v>
      </c>
    </row>
    <row r="908" spans="1:3" x14ac:dyDescent="0.2">
      <c r="B908">
        <f>COUNTIFS($C$317:$C$475, "*imazethapyr*")</f>
        <v>7</v>
      </c>
      <c r="C908" s="2">
        <f t="shared" si="43"/>
        <v>11.666666666666666</v>
      </c>
    </row>
    <row r="909" spans="1:3" x14ac:dyDescent="0.2">
      <c r="B909">
        <f>COUNTIFS($C$317:$C$475, "*sulfentrazone*")</f>
        <v>5</v>
      </c>
      <c r="C909" s="2">
        <f t="shared" si="43"/>
        <v>8.3333333333333321</v>
      </c>
    </row>
    <row r="910" spans="1:3" x14ac:dyDescent="0.2">
      <c r="B910">
        <f>COUNTIFS($C$317:$C$475, "*glifosato*")</f>
        <v>4</v>
      </c>
      <c r="C910" s="2">
        <f t="shared" si="43"/>
        <v>6.666666666666667</v>
      </c>
    </row>
    <row r="911" spans="1:3" x14ac:dyDescent="0.2">
      <c r="B911">
        <f>COUNTIFS($C$317:$C$475, "*imazaquim*")</f>
        <v>1</v>
      </c>
      <c r="C911" s="2">
        <f t="shared" si="43"/>
        <v>1.6666666666666667</v>
      </c>
    </row>
    <row r="912" spans="1:3" x14ac:dyDescent="0.2">
      <c r="B912">
        <f>COUNTIFS($C$317:$C$475, "*flumioxazin*")</f>
        <v>11</v>
      </c>
      <c r="C912" s="2">
        <f t="shared" si="43"/>
        <v>18.333333333333332</v>
      </c>
    </row>
    <row r="913" spans="1:3" x14ac:dyDescent="0.2">
      <c r="B913">
        <f t="shared" ref="B913" si="44">COUNTIFS($C$317:$C$475, "*glifosato*")</f>
        <v>4</v>
      </c>
      <c r="C913" s="2">
        <f t="shared" si="43"/>
        <v>6.666666666666667</v>
      </c>
    </row>
    <row r="914" spans="1:3" x14ac:dyDescent="0.2">
      <c r="B914">
        <f>COUNTIFS($C$317:$C$475, "*glufosinato*")</f>
        <v>1</v>
      </c>
      <c r="C914" s="2">
        <f t="shared" si="43"/>
        <v>1.6666666666666667</v>
      </c>
    </row>
    <row r="915" spans="1:3" x14ac:dyDescent="0.2">
      <c r="B915">
        <f>COUNTIFS($C$317:$C$475, "*trifluralina*")</f>
        <v>2</v>
      </c>
      <c r="C915" s="2">
        <f t="shared" si="43"/>
        <v>3.3333333333333335</v>
      </c>
    </row>
    <row r="916" spans="1:3" x14ac:dyDescent="0.2">
      <c r="A916" t="s">
        <v>38</v>
      </c>
      <c r="B916">
        <f>COUNTIFS($C$317:$C$475, "**")</f>
        <v>60</v>
      </c>
      <c r="C916" s="2"/>
    </row>
    <row r="917" spans="1:3" x14ac:dyDescent="0.2">
      <c r="A917" s="3" t="s">
        <v>15</v>
      </c>
      <c r="B917" s="3"/>
      <c r="C917" s="3"/>
    </row>
    <row r="918" spans="1:3" x14ac:dyDescent="0.2">
      <c r="B918">
        <f>COUNTIFS($D$826:$D$882, "**")</f>
        <v>31</v>
      </c>
      <c r="C918" s="2">
        <f>(B918/$B$520)*100</f>
        <v>31.313131313131315</v>
      </c>
    </row>
    <row r="919" spans="1:3" x14ac:dyDescent="0.2">
      <c r="B919">
        <f>COUNTIFS($D$317:$D$475, "*flumioxazin*")</f>
        <v>1</v>
      </c>
      <c r="C919" s="2">
        <f t="shared" ref="C919:C926" si="45">(B919/$B$520)*100</f>
        <v>1.0101010101010102</v>
      </c>
    </row>
    <row r="920" spans="1:3" x14ac:dyDescent="0.2">
      <c r="B920">
        <f>COUNTIFS($D$317:$D$475, "*clethodim*")</f>
        <v>14</v>
      </c>
      <c r="C920" s="2">
        <f t="shared" si="45"/>
        <v>14.14141414141414</v>
      </c>
    </row>
    <row r="921" spans="1:3" x14ac:dyDescent="0.2">
      <c r="B921">
        <f>COUNTIFS($D$317:$D$475, "*imazethapyr*")</f>
        <v>10</v>
      </c>
      <c r="C921" s="2">
        <f t="shared" si="45"/>
        <v>10.1010101010101</v>
      </c>
    </row>
    <row r="922" spans="1:3" x14ac:dyDescent="0.2">
      <c r="B922">
        <f>COUNTIFS($D$317:$D$475, "*haloxyfop*")</f>
        <v>8</v>
      </c>
      <c r="C922" s="2">
        <f t="shared" si="45"/>
        <v>8.0808080808080813</v>
      </c>
    </row>
    <row r="923" spans="1:3" x14ac:dyDescent="0.2">
      <c r="B923">
        <f>COUNTIFS($D$317:$D$475, "*lactofen*")</f>
        <v>4</v>
      </c>
      <c r="C923" s="2">
        <f t="shared" si="45"/>
        <v>4.0404040404040407</v>
      </c>
    </row>
    <row r="924" spans="1:3" x14ac:dyDescent="0.2">
      <c r="B924">
        <f>COUNTIFS($D$317:$D$475, "*fomesafen*")</f>
        <v>6</v>
      </c>
      <c r="C924" s="2">
        <f t="shared" si="45"/>
        <v>6.0606060606060606</v>
      </c>
    </row>
    <row r="925" spans="1:3" x14ac:dyDescent="0.2">
      <c r="B925">
        <f>COUNTIFS($D$317:$D$475, "*sulfentrazone*")</f>
        <v>4</v>
      </c>
      <c r="C925" s="2">
        <f t="shared" si="45"/>
        <v>4.0404040404040407</v>
      </c>
    </row>
    <row r="926" spans="1:3" x14ac:dyDescent="0.2">
      <c r="B926">
        <f>COUNTIFS($D$317:$D$475, "*basagran*")</f>
        <v>2</v>
      </c>
      <c r="C926" s="2">
        <f t="shared" si="45"/>
        <v>2.0202020202020203</v>
      </c>
    </row>
    <row r="927" spans="1:3" x14ac:dyDescent="0.2">
      <c r="A927" t="s">
        <v>38</v>
      </c>
      <c r="B927">
        <f>COUNTIFS($D$317:$D$475, "**")</f>
        <v>99</v>
      </c>
      <c r="C927" s="2"/>
    </row>
    <row r="928" spans="1:3" x14ac:dyDescent="0.2">
      <c r="A928" s="3" t="s">
        <v>386</v>
      </c>
      <c r="B928" s="3"/>
      <c r="C928" s="3"/>
    </row>
    <row r="929" spans="1:5" x14ac:dyDescent="0.2">
      <c r="B929">
        <f>COUNTIFS($E$826:$E$882, "**")</f>
        <v>22</v>
      </c>
      <c r="C929" s="2">
        <f>(B929/$B$527)*100</f>
        <v>40</v>
      </c>
    </row>
    <row r="930" spans="1:5" x14ac:dyDescent="0.2">
      <c r="B930">
        <f>COUNTIFS($E$317:$E$475, "*diquat*")</f>
        <v>13</v>
      </c>
      <c r="C930" s="2">
        <f t="shared" ref="C930:C933" si="46">(B930/$B$527)*100</f>
        <v>23.636363636363637</v>
      </c>
    </row>
    <row r="931" spans="1:5" x14ac:dyDescent="0.2">
      <c r="B931">
        <f>COUNTIFS($E$317:$E$475, "*paraquat*")</f>
        <v>42</v>
      </c>
      <c r="C931" s="2">
        <f>(B931/$B$527)*100</f>
        <v>76.363636363636374</v>
      </c>
    </row>
    <row r="932" spans="1:5" x14ac:dyDescent="0.2">
      <c r="B932">
        <f>COUNTIFS($E$317:$E$475, "*glufosinato*")</f>
        <v>5</v>
      </c>
      <c r="C932" s="2">
        <f t="shared" si="46"/>
        <v>9.0909090909090917</v>
      </c>
    </row>
    <row r="933" spans="1:5" x14ac:dyDescent="0.2">
      <c r="B933">
        <f>COUNTIFS($E$317:$E$475, "*atrazine*")</f>
        <v>1</v>
      </c>
      <c r="C933" s="2">
        <f t="shared" si="46"/>
        <v>1.8181818181818181</v>
      </c>
    </row>
    <row r="934" spans="1:5" x14ac:dyDescent="0.2">
      <c r="A934" t="s">
        <v>38</v>
      </c>
      <c r="B934">
        <f>COUNTIFS($E$317:$E$475, "**")</f>
        <v>55</v>
      </c>
    </row>
    <row r="935" spans="1:5" x14ac:dyDescent="0.2">
      <c r="A935" s="5" t="s">
        <v>534</v>
      </c>
      <c r="B935" s="5" t="s">
        <v>535</v>
      </c>
      <c r="C935" s="5" t="s">
        <v>536</v>
      </c>
    </row>
    <row r="936" spans="1:5" x14ac:dyDescent="0.2">
      <c r="A936" t="s">
        <v>483</v>
      </c>
      <c r="B936" t="s">
        <v>18</v>
      </c>
      <c r="C936" t="s">
        <v>539</v>
      </c>
      <c r="D936" s="5" t="s">
        <v>537</v>
      </c>
      <c r="E936" s="5" t="s">
        <v>538</v>
      </c>
    </row>
    <row r="937" spans="1:5" x14ac:dyDescent="0.2">
      <c r="A937" t="s">
        <v>7</v>
      </c>
      <c r="D937" t="s">
        <v>540</v>
      </c>
    </row>
    <row r="938" spans="1:5" x14ac:dyDescent="0.2">
      <c r="A938" t="s">
        <v>490</v>
      </c>
      <c r="B938" t="s">
        <v>18</v>
      </c>
    </row>
    <row r="939" spans="1:5" x14ac:dyDescent="0.2">
      <c r="A939" t="s">
        <v>489</v>
      </c>
      <c r="D939" t="s">
        <v>541</v>
      </c>
    </row>
    <row r="940" spans="1:5" x14ac:dyDescent="0.2">
      <c r="A940" t="s">
        <v>542</v>
      </c>
      <c r="D940" t="s">
        <v>18</v>
      </c>
    </row>
    <row r="941" spans="1:5" x14ac:dyDescent="0.2">
      <c r="A941" t="s">
        <v>503</v>
      </c>
    </row>
    <row r="942" spans="1:5" x14ac:dyDescent="0.2">
      <c r="A942" t="s">
        <v>475</v>
      </c>
      <c r="B942" t="s">
        <v>543</v>
      </c>
      <c r="C942" t="s">
        <v>544</v>
      </c>
    </row>
    <row r="943" spans="1:5" x14ac:dyDescent="0.2">
      <c r="A943" t="s">
        <v>7</v>
      </c>
      <c r="B943" t="s">
        <v>547</v>
      </c>
      <c r="D943" t="s">
        <v>545</v>
      </c>
      <c r="E943" t="s">
        <v>546</v>
      </c>
    </row>
    <row r="944" spans="1:5" x14ac:dyDescent="0.2">
      <c r="A944" t="s">
        <v>483</v>
      </c>
      <c r="B944" t="s">
        <v>49</v>
      </c>
      <c r="C944" t="s">
        <v>548</v>
      </c>
    </row>
    <row r="945" spans="1:5" x14ac:dyDescent="0.2">
      <c r="A945" t="s">
        <v>7</v>
      </c>
      <c r="B945" t="s">
        <v>262</v>
      </c>
      <c r="D945" t="s">
        <v>549</v>
      </c>
    </row>
    <row r="946" spans="1:5" x14ac:dyDescent="0.2">
      <c r="A946" t="s">
        <v>489</v>
      </c>
    </row>
    <row r="947" spans="1:5" x14ac:dyDescent="0.2">
      <c r="A947" t="s">
        <v>550</v>
      </c>
    </row>
    <row r="948" spans="1:5" x14ac:dyDescent="0.2">
      <c r="A948" t="s">
        <v>495</v>
      </c>
      <c r="B948" t="s">
        <v>18</v>
      </c>
    </row>
    <row r="949" spans="1:5" x14ac:dyDescent="0.2">
      <c r="A949" t="s">
        <v>489</v>
      </c>
      <c r="D949" t="s">
        <v>11</v>
      </c>
      <c r="E949" t="s">
        <v>18</v>
      </c>
    </row>
    <row r="950" spans="1:5" x14ac:dyDescent="0.2">
      <c r="A950" t="s">
        <v>21</v>
      </c>
      <c r="C950" t="s">
        <v>551</v>
      </c>
      <c r="D950" t="s">
        <v>413</v>
      </c>
    </row>
    <row r="951" spans="1:5" x14ac:dyDescent="0.2">
      <c r="A951" t="s">
        <v>483</v>
      </c>
      <c r="B951" t="s">
        <v>552</v>
      </c>
      <c r="C951" t="s">
        <v>553</v>
      </c>
    </row>
    <row r="952" spans="1:5" x14ac:dyDescent="0.2">
      <c r="A952" s="4" t="s">
        <v>586</v>
      </c>
      <c r="B952" s="4"/>
      <c r="C952" s="4"/>
      <c r="D952" t="s">
        <v>554</v>
      </c>
    </row>
    <row r="953" spans="1:5" x14ac:dyDescent="0.2">
      <c r="A953" t="s">
        <v>35</v>
      </c>
      <c r="B953">
        <f>COUNTIFS($A$936:$A$951, "*Dessecante pre-plantio*")</f>
        <v>11</v>
      </c>
      <c r="C953" s="2">
        <f>(B953/$B$957)*100</f>
        <v>68.75</v>
      </c>
    </row>
    <row r="954" spans="1:5" x14ac:dyDescent="0.2">
      <c r="A954" t="s">
        <v>17</v>
      </c>
      <c r="B954">
        <f>COUNTIFS($A$936:$A$951, "*pre-emergente*")</f>
        <v>8</v>
      </c>
      <c r="C954" s="2">
        <f t="shared" ref="C954:C956" si="47">(B954/$B$957)*100</f>
        <v>50</v>
      </c>
    </row>
    <row r="955" spans="1:5" x14ac:dyDescent="0.2">
      <c r="A955" t="s">
        <v>15</v>
      </c>
      <c r="B955">
        <f>COUNTIFS($A$936:$A$951, "*pros-emergente*")</f>
        <v>11</v>
      </c>
      <c r="C955" s="2">
        <f t="shared" si="47"/>
        <v>68.75</v>
      </c>
    </row>
    <row r="956" spans="1:5" x14ac:dyDescent="0.2">
      <c r="A956" t="s">
        <v>36</v>
      </c>
      <c r="B956">
        <f>COUNTIFS($A$936:$A$951, "*Dessecante pre-colheita*")</f>
        <v>4</v>
      </c>
      <c r="C956" s="2">
        <f t="shared" si="47"/>
        <v>25</v>
      </c>
    </row>
    <row r="957" spans="1:5" x14ac:dyDescent="0.2">
      <c r="A957" t="s">
        <v>38</v>
      </c>
      <c r="B957">
        <f>COUNTIFS($A$936:$A$951, "**")</f>
        <v>16</v>
      </c>
    </row>
    <row r="958" spans="1:5" x14ac:dyDescent="0.2">
      <c r="A958" s="3" t="s">
        <v>35</v>
      </c>
      <c r="B958" s="3"/>
      <c r="C958" s="3"/>
    </row>
    <row r="959" spans="1:5" x14ac:dyDescent="0.2">
      <c r="B959">
        <f>COUNTIFS($B$317:$B$475, "*glifosato*")</f>
        <v>85</v>
      </c>
      <c r="C959" s="2">
        <f>(B959/$B$496)*100</f>
        <v>85</v>
      </c>
    </row>
    <row r="960" spans="1:5" x14ac:dyDescent="0.2">
      <c r="B960">
        <f>COUNTIFS($B$317:$B$475, "*2,4-d*")</f>
        <v>56</v>
      </c>
      <c r="C960" s="2">
        <f t="shared" ref="C960:C972" si="48">(B960/$B$496)*100</f>
        <v>56.000000000000007</v>
      </c>
    </row>
    <row r="961" spans="1:4" x14ac:dyDescent="0.2">
      <c r="B961">
        <f>COUNTIFS($B$317:$B$475, "*paraquat*")</f>
        <v>24</v>
      </c>
      <c r="C961" s="2">
        <f t="shared" si="48"/>
        <v>24</v>
      </c>
    </row>
    <row r="962" spans="1:4" x14ac:dyDescent="0.2">
      <c r="B962">
        <f>COUNTIFS($B$317:$B$475, "*clethodim*")</f>
        <v>12</v>
      </c>
      <c r="C962" s="2">
        <f t="shared" si="48"/>
        <v>12</v>
      </c>
    </row>
    <row r="963" spans="1:4" x14ac:dyDescent="0.2">
      <c r="B963">
        <f>COUNTIFS($B$317:$B$475, "*metsulfuron*")</f>
        <v>3</v>
      </c>
      <c r="C963" s="2">
        <f t="shared" si="48"/>
        <v>3</v>
      </c>
    </row>
    <row r="964" spans="1:4" x14ac:dyDescent="0.2">
      <c r="B964">
        <f>COUNTIFS($B$317:$B$475, "*flumioxazin*")</f>
        <v>10</v>
      </c>
      <c r="C964" s="2">
        <f t="shared" si="48"/>
        <v>10</v>
      </c>
    </row>
    <row r="965" spans="1:4" x14ac:dyDescent="0.2">
      <c r="B965">
        <f>COUNTIFS($B$317:$B$475, "*sulfentrazone*")</f>
        <v>3</v>
      </c>
      <c r="C965" s="2">
        <f t="shared" si="48"/>
        <v>3</v>
      </c>
    </row>
    <row r="966" spans="1:4" x14ac:dyDescent="0.2">
      <c r="B966">
        <f>COUNTIFS($B$317:$B$475, "*glufosinato*")</f>
        <v>3</v>
      </c>
      <c r="C966" s="2">
        <f t="shared" si="48"/>
        <v>3</v>
      </c>
    </row>
    <row r="967" spans="1:4" x14ac:dyDescent="0.2">
      <c r="B967">
        <f>COUNTIFS($B$317:$B$475, "*diuron*")</f>
        <v>5</v>
      </c>
      <c r="C967" s="2">
        <f t="shared" si="48"/>
        <v>5</v>
      </c>
    </row>
    <row r="968" spans="1:4" x14ac:dyDescent="0.2">
      <c r="B968">
        <f>COUNTIFS($B$317:$B$475, "*haloxifop*")</f>
        <v>4</v>
      </c>
      <c r="C968" s="2">
        <f t="shared" si="48"/>
        <v>4</v>
      </c>
    </row>
    <row r="969" spans="1:4" x14ac:dyDescent="0.2">
      <c r="B969">
        <f>COUNTIFS($B$317:$B$475, "*chlorimuron*")</f>
        <v>7</v>
      </c>
      <c r="C969" s="2">
        <f t="shared" si="48"/>
        <v>7.0000000000000009</v>
      </c>
    </row>
    <row r="970" spans="1:4" x14ac:dyDescent="0.2">
      <c r="B970">
        <f>COUNTIFS($B$317:$B$475, "* S-metolachlor*")</f>
        <v>2</v>
      </c>
      <c r="C970" s="2">
        <f t="shared" si="48"/>
        <v>2</v>
      </c>
    </row>
    <row r="971" spans="1:4" x14ac:dyDescent="0.2">
      <c r="B971">
        <f>COUNTIFS($B$317:$B$475, "*chlorimuron*")</f>
        <v>7</v>
      </c>
      <c r="C971" s="2">
        <f t="shared" si="48"/>
        <v>7.0000000000000009</v>
      </c>
    </row>
    <row r="972" spans="1:4" x14ac:dyDescent="0.2">
      <c r="B972">
        <f>COUNTIFS($B$317:$B$475, "*saflufenacil*")</f>
        <v>12</v>
      </c>
      <c r="C972" s="2">
        <f t="shared" si="48"/>
        <v>12</v>
      </c>
      <c r="D972" s="7"/>
    </row>
    <row r="973" spans="1:4" x14ac:dyDescent="0.2">
      <c r="A973" t="s">
        <v>38</v>
      </c>
      <c r="B973">
        <f>COUNTIFS($B$276:$B$475, "**")</f>
        <v>100</v>
      </c>
      <c r="D973" s="7"/>
    </row>
    <row r="974" spans="1:4" x14ac:dyDescent="0.2">
      <c r="A974" s="3" t="s">
        <v>17</v>
      </c>
      <c r="B974" s="3"/>
      <c r="C974" s="3"/>
      <c r="D974" s="7"/>
    </row>
    <row r="975" spans="1:4" x14ac:dyDescent="0.2">
      <c r="B975">
        <f>COUNTIFS($C$317:$C$475, "*s-methalaclor*")</f>
        <v>17</v>
      </c>
      <c r="C975" s="2">
        <f>(B975/$B$508)*100</f>
        <v>28.333333333333332</v>
      </c>
      <c r="D975" s="7"/>
    </row>
    <row r="976" spans="1:4" x14ac:dyDescent="0.2">
      <c r="B976">
        <f>COUNTIFS($C$317:$C$475, "*diclosulan*")</f>
        <v>26</v>
      </c>
      <c r="C976" s="2">
        <f t="shared" ref="C976:C984" si="49">(B976/$B$508)*100</f>
        <v>43.333333333333336</v>
      </c>
      <c r="D976" s="7"/>
    </row>
    <row r="977" spans="1:3" x14ac:dyDescent="0.2">
      <c r="B977">
        <f>COUNTIFS($C$317:$C$475, "*imazethapyr*")</f>
        <v>7</v>
      </c>
      <c r="C977" s="2">
        <f t="shared" si="49"/>
        <v>11.666666666666666</v>
      </c>
    </row>
    <row r="978" spans="1:3" x14ac:dyDescent="0.2">
      <c r="B978">
        <f>COUNTIFS($C$317:$C$475, "*sulfentrazone*")</f>
        <v>5</v>
      </c>
      <c r="C978" s="2">
        <f t="shared" si="49"/>
        <v>8.3333333333333321</v>
      </c>
    </row>
    <row r="979" spans="1:3" x14ac:dyDescent="0.2">
      <c r="B979">
        <f>COUNTIFS($C$317:$C$475, "*glifosato*")</f>
        <v>4</v>
      </c>
      <c r="C979" s="2">
        <f t="shared" si="49"/>
        <v>6.666666666666667</v>
      </c>
    </row>
    <row r="980" spans="1:3" x14ac:dyDescent="0.2">
      <c r="B980">
        <f>COUNTIFS($C$317:$C$475, "*imazaquim*")</f>
        <v>1</v>
      </c>
      <c r="C980" s="2">
        <f t="shared" si="49"/>
        <v>1.6666666666666667</v>
      </c>
    </row>
    <row r="981" spans="1:3" x14ac:dyDescent="0.2">
      <c r="B981">
        <f>COUNTIFS($C$317:$C$475, "*flumioxazin*")</f>
        <v>11</v>
      </c>
      <c r="C981" s="2">
        <f t="shared" si="49"/>
        <v>18.333333333333332</v>
      </c>
    </row>
    <row r="982" spans="1:3" x14ac:dyDescent="0.2">
      <c r="B982">
        <f t="shared" ref="B982" si="50">COUNTIFS($C$317:$C$475, "*glifosato*")</f>
        <v>4</v>
      </c>
      <c r="C982" s="2">
        <f t="shared" si="49"/>
        <v>6.666666666666667</v>
      </c>
    </row>
    <row r="983" spans="1:3" x14ac:dyDescent="0.2">
      <c r="B983">
        <f>COUNTIFS($C$317:$C$475, "*glufosinato*")</f>
        <v>1</v>
      </c>
      <c r="C983" s="2">
        <f t="shared" si="49"/>
        <v>1.6666666666666667</v>
      </c>
    </row>
    <row r="984" spans="1:3" x14ac:dyDescent="0.2">
      <c r="B984">
        <f>COUNTIFS($C$317:$C$475, "*trifluralina*")</f>
        <v>2</v>
      </c>
      <c r="C984" s="2">
        <f t="shared" si="49"/>
        <v>3.3333333333333335</v>
      </c>
    </row>
    <row r="985" spans="1:3" x14ac:dyDescent="0.2">
      <c r="A985" t="s">
        <v>38</v>
      </c>
      <c r="B985">
        <f>COUNTIFS($C$317:$C$475, "**")</f>
        <v>60</v>
      </c>
      <c r="C985" s="2"/>
    </row>
    <row r="986" spans="1:3" x14ac:dyDescent="0.2">
      <c r="A986" s="3" t="s">
        <v>15</v>
      </c>
      <c r="B986" s="3"/>
      <c r="C986" s="3"/>
    </row>
    <row r="987" spans="1:3" x14ac:dyDescent="0.2">
      <c r="B987">
        <f>COUNTIFS($D$317:$D$475, "*glifosato*")</f>
        <v>92</v>
      </c>
      <c r="C987" s="2">
        <f>(B987/$B$520)*100</f>
        <v>92.929292929292927</v>
      </c>
    </row>
    <row r="988" spans="1:3" x14ac:dyDescent="0.2">
      <c r="B988">
        <f>COUNTIFS($D$317:$D$475, "*flumioxazin*")</f>
        <v>1</v>
      </c>
      <c r="C988" s="2">
        <f t="shared" ref="C988:C995" si="51">(B988/$B$520)*100</f>
        <v>1.0101010101010102</v>
      </c>
    </row>
    <row r="989" spans="1:3" x14ac:dyDescent="0.2">
      <c r="B989">
        <f>COUNTIFS($D$317:$D$475, "*clethodim*")</f>
        <v>14</v>
      </c>
      <c r="C989" s="2">
        <f t="shared" si="51"/>
        <v>14.14141414141414</v>
      </c>
    </row>
    <row r="990" spans="1:3" x14ac:dyDescent="0.2">
      <c r="B990">
        <f>COUNTIFS($D$317:$D$475, "*imazethapyr*")</f>
        <v>10</v>
      </c>
      <c r="C990" s="2">
        <f t="shared" si="51"/>
        <v>10.1010101010101</v>
      </c>
    </row>
    <row r="991" spans="1:3" x14ac:dyDescent="0.2">
      <c r="B991">
        <f>COUNTIFS($D$317:$D$475, "*haloxyfop*")</f>
        <v>8</v>
      </c>
      <c r="C991" s="2">
        <f t="shared" si="51"/>
        <v>8.0808080808080813</v>
      </c>
    </row>
    <row r="992" spans="1:3" x14ac:dyDescent="0.2">
      <c r="B992">
        <f>COUNTIFS($D$317:$D$475, "*lactofen*")</f>
        <v>4</v>
      </c>
      <c r="C992" s="2">
        <f t="shared" si="51"/>
        <v>4.0404040404040407</v>
      </c>
    </row>
    <row r="993" spans="1:5" x14ac:dyDescent="0.2">
      <c r="B993">
        <f>COUNTIFS($D$317:$D$475, "*fomesafen*")</f>
        <v>6</v>
      </c>
      <c r="C993" s="2">
        <f t="shared" si="51"/>
        <v>6.0606060606060606</v>
      </c>
    </row>
    <row r="994" spans="1:5" x14ac:dyDescent="0.2">
      <c r="B994">
        <f>COUNTIFS($D$317:$D$475, "*sulfentrazone*")</f>
        <v>4</v>
      </c>
      <c r="C994" s="2">
        <f t="shared" si="51"/>
        <v>4.0404040404040407</v>
      </c>
    </row>
    <row r="995" spans="1:5" x14ac:dyDescent="0.2">
      <c r="B995">
        <f>COUNTIFS($D$317:$D$475, "*basagran*")</f>
        <v>2</v>
      </c>
      <c r="C995" s="2">
        <f t="shared" si="51"/>
        <v>2.0202020202020203</v>
      </c>
    </row>
    <row r="996" spans="1:5" x14ac:dyDescent="0.2">
      <c r="A996" t="s">
        <v>38</v>
      </c>
      <c r="B996">
        <f>COUNTIFS($D$317:$D$475, "**")</f>
        <v>99</v>
      </c>
      <c r="C996" s="2"/>
    </row>
    <row r="997" spans="1:5" x14ac:dyDescent="0.2">
      <c r="A997" s="3" t="s">
        <v>386</v>
      </c>
      <c r="B997" s="3"/>
      <c r="C997" s="3"/>
    </row>
    <row r="998" spans="1:5" x14ac:dyDescent="0.2">
      <c r="B998">
        <f>COUNTIFS($E$317:$E$475, "*glifosato*")</f>
        <v>2</v>
      </c>
      <c r="C998" s="2">
        <f>(B998/$B$527)*100</f>
        <v>3.6363636363636362</v>
      </c>
    </row>
    <row r="999" spans="1:5" x14ac:dyDescent="0.2">
      <c r="B999">
        <f>COUNTIFS($E$317:$E$475, "*diquat*")</f>
        <v>13</v>
      </c>
      <c r="C999" s="2">
        <f t="shared" ref="C999:C1002" si="52">(B999/$B$527)*100</f>
        <v>23.636363636363637</v>
      </c>
    </row>
    <row r="1000" spans="1:5" x14ac:dyDescent="0.2">
      <c r="B1000">
        <f>COUNTIFS($E$317:$E$475, "*paraquat*")</f>
        <v>42</v>
      </c>
      <c r="C1000" s="2">
        <f>(B1000/$B$527)*100</f>
        <v>76.363636363636374</v>
      </c>
    </row>
    <row r="1001" spans="1:5" x14ac:dyDescent="0.2">
      <c r="B1001">
        <f>COUNTIFS($E$317:$E$475, "*glufosinato*")</f>
        <v>5</v>
      </c>
      <c r="C1001" s="2">
        <f t="shared" si="52"/>
        <v>9.0909090909090917</v>
      </c>
    </row>
    <row r="1002" spans="1:5" x14ac:dyDescent="0.2">
      <c r="B1002">
        <f>COUNTIFS($E$317:$E$475, "*atrazine*")</f>
        <v>1</v>
      </c>
      <c r="C1002" s="2">
        <f t="shared" si="52"/>
        <v>1.8181818181818181</v>
      </c>
    </row>
    <row r="1003" spans="1:5" x14ac:dyDescent="0.2">
      <c r="A1003" t="s">
        <v>38</v>
      </c>
      <c r="B1003">
        <f>COUNTIFS($E$317:$E$475, "**")</f>
        <v>55</v>
      </c>
    </row>
    <row r="1004" spans="1:5" x14ac:dyDescent="0.2">
      <c r="A1004" s="5" t="s">
        <v>555</v>
      </c>
      <c r="B1004" s="5" t="s">
        <v>556</v>
      </c>
      <c r="C1004" s="5" t="s">
        <v>557</v>
      </c>
    </row>
    <row r="1005" spans="1:5" x14ac:dyDescent="0.2">
      <c r="A1005" t="s">
        <v>12</v>
      </c>
      <c r="B1005" t="s">
        <v>560</v>
      </c>
      <c r="D1005" s="5" t="s">
        <v>558</v>
      </c>
      <c r="E1005" s="5" t="s">
        <v>559</v>
      </c>
    </row>
    <row r="1006" spans="1:5" x14ac:dyDescent="0.2">
      <c r="A1006" t="s">
        <v>7</v>
      </c>
      <c r="B1006" t="s">
        <v>8</v>
      </c>
      <c r="D1006" t="s">
        <v>561</v>
      </c>
    </row>
    <row r="1007" spans="1:5" x14ac:dyDescent="0.2">
      <c r="A1007" t="s">
        <v>7</v>
      </c>
    </row>
    <row r="1008" spans="1:5" x14ac:dyDescent="0.2">
      <c r="A1008" t="s">
        <v>14</v>
      </c>
      <c r="B1008" t="s">
        <v>18</v>
      </c>
      <c r="C1008" t="s">
        <v>561</v>
      </c>
    </row>
    <row r="1009" spans="1:5" x14ac:dyDescent="0.2">
      <c r="A1009" t="s">
        <v>12</v>
      </c>
      <c r="B1009" t="s">
        <v>563</v>
      </c>
      <c r="D1009" t="s">
        <v>562</v>
      </c>
    </row>
    <row r="1010" spans="1:5" x14ac:dyDescent="0.2">
      <c r="A1010" t="s">
        <v>14</v>
      </c>
      <c r="B1010" t="s">
        <v>153</v>
      </c>
      <c r="C1010" t="s">
        <v>239</v>
      </c>
      <c r="D1010" t="s">
        <v>564</v>
      </c>
    </row>
    <row r="1011" spans="1:5" x14ac:dyDescent="0.2">
      <c r="A1011" t="s">
        <v>566</v>
      </c>
      <c r="B1011" t="s">
        <v>18</v>
      </c>
      <c r="D1011" t="s">
        <v>565</v>
      </c>
    </row>
    <row r="1012" spans="1:5" x14ac:dyDescent="0.2">
      <c r="A1012" t="s">
        <v>7</v>
      </c>
      <c r="D1012" t="s">
        <v>567</v>
      </c>
      <c r="E1012" t="s">
        <v>18</v>
      </c>
    </row>
    <row r="1013" spans="1:5" x14ac:dyDescent="0.2">
      <c r="A1013" t="s">
        <v>12</v>
      </c>
      <c r="B1013" t="s">
        <v>247</v>
      </c>
    </row>
    <row r="1014" spans="1:5" x14ac:dyDescent="0.2">
      <c r="A1014" t="s">
        <v>7</v>
      </c>
      <c r="B1014" t="s">
        <v>568</v>
      </c>
      <c r="D1014" t="s">
        <v>561</v>
      </c>
    </row>
    <row r="1015" spans="1:5" x14ac:dyDescent="0.2">
      <c r="A1015" t="s">
        <v>569</v>
      </c>
    </row>
    <row r="1016" spans="1:5" x14ac:dyDescent="0.2">
      <c r="A1016" t="s">
        <v>12</v>
      </c>
      <c r="B1016" t="s">
        <v>74</v>
      </c>
    </row>
    <row r="1017" spans="1:5" x14ac:dyDescent="0.2">
      <c r="A1017" t="s">
        <v>7</v>
      </c>
      <c r="B1017" t="s">
        <v>269</v>
      </c>
      <c r="D1017" t="s">
        <v>570</v>
      </c>
    </row>
    <row r="1018" spans="1:5" x14ac:dyDescent="0.2">
      <c r="A1018" t="s">
        <v>12</v>
      </c>
      <c r="B1018" t="s">
        <v>18</v>
      </c>
    </row>
    <row r="1019" spans="1:5" x14ac:dyDescent="0.2">
      <c r="A1019" t="s">
        <v>14</v>
      </c>
      <c r="B1019" t="s">
        <v>571</v>
      </c>
      <c r="C1019" t="s">
        <v>131</v>
      </c>
      <c r="D1019" t="s">
        <v>561</v>
      </c>
    </row>
    <row r="1020" spans="1:5" x14ac:dyDescent="0.2">
      <c r="A1020" t="s">
        <v>7</v>
      </c>
      <c r="B1020" t="s">
        <v>18</v>
      </c>
      <c r="D1020" t="s">
        <v>572</v>
      </c>
    </row>
    <row r="1021" spans="1:5" x14ac:dyDescent="0.2">
      <c r="A1021" t="s">
        <v>566</v>
      </c>
      <c r="B1021" t="s">
        <v>573</v>
      </c>
    </row>
    <row r="1022" spans="1:5" x14ac:dyDescent="0.2">
      <c r="A1022" t="s">
        <v>7</v>
      </c>
      <c r="D1022" t="s">
        <v>574</v>
      </c>
      <c r="E1022" t="s">
        <v>575</v>
      </c>
    </row>
    <row r="1023" spans="1:5" x14ac:dyDescent="0.2">
      <c r="A1023" t="s">
        <v>12</v>
      </c>
      <c r="B1023" t="s">
        <v>576</v>
      </c>
    </row>
    <row r="1024" spans="1:5" x14ac:dyDescent="0.2">
      <c r="A1024" t="s">
        <v>578</v>
      </c>
      <c r="D1024" t="s">
        <v>577</v>
      </c>
    </row>
    <row r="1025" spans="1:5" x14ac:dyDescent="0.2">
      <c r="A1025" t="s">
        <v>14</v>
      </c>
      <c r="B1025" t="s">
        <v>10</v>
      </c>
      <c r="C1025" t="s">
        <v>580</v>
      </c>
      <c r="D1025" t="s">
        <v>579</v>
      </c>
      <c r="E1025" t="s">
        <v>18</v>
      </c>
    </row>
    <row r="1026" spans="1:5" x14ac:dyDescent="0.2">
      <c r="A1026" t="s">
        <v>12</v>
      </c>
      <c r="B1026" t="s">
        <v>582</v>
      </c>
      <c r="D1026" t="s">
        <v>581</v>
      </c>
    </row>
    <row r="1027" spans="1:5" x14ac:dyDescent="0.2">
      <c r="A1027" t="s">
        <v>578</v>
      </c>
      <c r="D1027" t="s">
        <v>583</v>
      </c>
    </row>
    <row r="1028" spans="1:5" x14ac:dyDescent="0.2">
      <c r="A1028" t="s">
        <v>15</v>
      </c>
      <c r="D1028" t="s">
        <v>46</v>
      </c>
      <c r="E1028" t="s">
        <v>11</v>
      </c>
    </row>
    <row r="1029" spans="1:5" x14ac:dyDescent="0.2">
      <c r="A1029" t="s">
        <v>584</v>
      </c>
    </row>
    <row r="1030" spans="1:5" x14ac:dyDescent="0.2">
      <c r="A1030" t="s">
        <v>12</v>
      </c>
    </row>
    <row r="1031" spans="1:5" x14ac:dyDescent="0.2">
      <c r="A1031" t="s">
        <v>12</v>
      </c>
      <c r="B1031" t="s">
        <v>18</v>
      </c>
    </row>
    <row r="1032" spans="1:5" x14ac:dyDescent="0.2">
      <c r="A1032" t="s">
        <v>578</v>
      </c>
      <c r="D1032" t="s">
        <v>585</v>
      </c>
    </row>
    <row r="1033" spans="1:5" x14ac:dyDescent="0.2">
      <c r="A1033" t="s">
        <v>7</v>
      </c>
      <c r="B1033" t="s">
        <v>18</v>
      </c>
      <c r="D1033" t="s">
        <v>131</v>
      </c>
      <c r="E1033" t="s">
        <v>13</v>
      </c>
    </row>
    <row r="1034" spans="1:5" x14ac:dyDescent="0.2">
      <c r="A1034" t="s">
        <v>584</v>
      </c>
    </row>
    <row r="1035" spans="1:5" x14ac:dyDescent="0.2">
      <c r="A1035" s="4" t="s">
        <v>587</v>
      </c>
      <c r="B1035" s="4"/>
      <c r="C1035" s="4"/>
    </row>
    <row r="1036" spans="1:5" x14ac:dyDescent="0.2">
      <c r="A1036" t="s">
        <v>35</v>
      </c>
      <c r="B1036">
        <f>COUNTIFS($A$1005:$A$1034, "*Dessecante pre-plantio*")</f>
        <v>29</v>
      </c>
      <c r="C1036" s="2">
        <f>(B1036/$B$1040)*100</f>
        <v>96.666666666666671</v>
      </c>
    </row>
    <row r="1037" spans="1:5" x14ac:dyDescent="0.2">
      <c r="A1037" t="s">
        <v>17</v>
      </c>
      <c r="B1037">
        <f>COUNTIFS($A$1005:$A$1034, "*pre-emergente*")</f>
        <v>6</v>
      </c>
      <c r="C1037" s="2">
        <f t="shared" ref="C1037:C1039" si="53">(B1037/$B$1040)*100</f>
        <v>20</v>
      </c>
    </row>
    <row r="1038" spans="1:5" x14ac:dyDescent="0.2">
      <c r="A1038" t="s">
        <v>15</v>
      </c>
      <c r="B1038">
        <f>COUNTIFS($A$1005:$A$1034, "*pos-emergente*")</f>
        <v>21</v>
      </c>
      <c r="C1038" s="2">
        <f t="shared" si="53"/>
        <v>70</v>
      </c>
    </row>
    <row r="1039" spans="1:5" x14ac:dyDescent="0.2">
      <c r="A1039" t="s">
        <v>36</v>
      </c>
      <c r="B1039">
        <f>COUNTIFS($A$1005:$A$1034, "*Dessecante pre-colheita*")</f>
        <v>0</v>
      </c>
      <c r="C1039" s="2">
        <f t="shared" si="53"/>
        <v>0</v>
      </c>
    </row>
    <row r="1040" spans="1:5" x14ac:dyDescent="0.2">
      <c r="A1040" t="s">
        <v>38</v>
      </c>
      <c r="B1040">
        <f>COUNTIFS($A$1005:$A$1034, "**")</f>
        <v>30</v>
      </c>
    </row>
    <row r="1041" spans="1:3" x14ac:dyDescent="0.2">
      <c r="A1041" s="3" t="s">
        <v>35</v>
      </c>
      <c r="B1041" s="3"/>
      <c r="C1041" s="3"/>
    </row>
    <row r="1042" spans="1:3" x14ac:dyDescent="0.2">
      <c r="B1042">
        <f>COUNTIFS($B$317:$B$475, "*glifosato*")</f>
        <v>85</v>
      </c>
      <c r="C1042" s="2">
        <f>(B1042/$B$496)*100</f>
        <v>85</v>
      </c>
    </row>
    <row r="1043" spans="1:3" x14ac:dyDescent="0.2">
      <c r="B1043">
        <f>COUNTIFS($B$317:$B$475, "*2,4-d*")</f>
        <v>56</v>
      </c>
      <c r="C1043" s="2">
        <f t="shared" ref="C1043:C1055" si="54">(B1043/$B$496)*100</f>
        <v>56.000000000000007</v>
      </c>
    </row>
    <row r="1044" spans="1:3" x14ac:dyDescent="0.2">
      <c r="B1044">
        <f>COUNTIFS($B$317:$B$475, "*paraquat*")</f>
        <v>24</v>
      </c>
      <c r="C1044" s="2">
        <f t="shared" si="54"/>
        <v>24</v>
      </c>
    </row>
    <row r="1045" spans="1:3" x14ac:dyDescent="0.2">
      <c r="B1045">
        <f>COUNTIFS($B$317:$B$475, "*clethodim*")</f>
        <v>12</v>
      </c>
      <c r="C1045" s="2">
        <f t="shared" si="54"/>
        <v>12</v>
      </c>
    </row>
    <row r="1046" spans="1:3" x14ac:dyDescent="0.2">
      <c r="B1046">
        <f>COUNTIFS($B$317:$B$475, "*metsulfuron*")</f>
        <v>3</v>
      </c>
      <c r="C1046" s="2">
        <f t="shared" si="54"/>
        <v>3</v>
      </c>
    </row>
    <row r="1047" spans="1:3" x14ac:dyDescent="0.2">
      <c r="B1047">
        <f>COUNTIFS($B$317:$B$475, "*flumioxazin*")</f>
        <v>10</v>
      </c>
      <c r="C1047" s="2">
        <f t="shared" si="54"/>
        <v>10</v>
      </c>
    </row>
    <row r="1048" spans="1:3" x14ac:dyDescent="0.2">
      <c r="B1048">
        <f>COUNTIFS($B$317:$B$475, "*sulfentrazone*")</f>
        <v>3</v>
      </c>
      <c r="C1048" s="2">
        <f t="shared" si="54"/>
        <v>3</v>
      </c>
    </row>
    <row r="1049" spans="1:3" x14ac:dyDescent="0.2">
      <c r="B1049">
        <f>COUNTIFS($B$317:$B$475, "*glufosinato*")</f>
        <v>3</v>
      </c>
      <c r="C1049" s="2">
        <f t="shared" si="54"/>
        <v>3</v>
      </c>
    </row>
    <row r="1050" spans="1:3" x14ac:dyDescent="0.2">
      <c r="B1050">
        <f>COUNTIFS($B$317:$B$475, "*diuron*")</f>
        <v>5</v>
      </c>
      <c r="C1050" s="2">
        <f t="shared" si="54"/>
        <v>5</v>
      </c>
    </row>
    <row r="1051" spans="1:3" x14ac:dyDescent="0.2">
      <c r="B1051">
        <f>COUNTIFS($B$317:$B$475, "*haloxifop*")</f>
        <v>4</v>
      </c>
      <c r="C1051" s="2">
        <f t="shared" si="54"/>
        <v>4</v>
      </c>
    </row>
    <row r="1052" spans="1:3" x14ac:dyDescent="0.2">
      <c r="B1052">
        <f>COUNTIFS($B$317:$B$475, "*chlorimuron*")</f>
        <v>7</v>
      </c>
      <c r="C1052" s="2">
        <f t="shared" si="54"/>
        <v>7.0000000000000009</v>
      </c>
    </row>
    <row r="1053" spans="1:3" x14ac:dyDescent="0.2">
      <c r="B1053">
        <f>COUNTIFS($B$317:$B$475, "* S-metolachlor*")</f>
        <v>2</v>
      </c>
      <c r="C1053" s="2">
        <f t="shared" si="54"/>
        <v>2</v>
      </c>
    </row>
    <row r="1054" spans="1:3" x14ac:dyDescent="0.2">
      <c r="B1054">
        <f>COUNTIFS($B$317:$B$475, "*chlorimuron*")</f>
        <v>7</v>
      </c>
      <c r="C1054" s="2">
        <f t="shared" si="54"/>
        <v>7.0000000000000009</v>
      </c>
    </row>
    <row r="1055" spans="1:3" x14ac:dyDescent="0.2">
      <c r="B1055">
        <f>COUNTIFS($B$317:$B$475, "*saflufenacil*")</f>
        <v>12</v>
      </c>
      <c r="C1055" s="2">
        <f t="shared" si="54"/>
        <v>12</v>
      </c>
    </row>
    <row r="1056" spans="1:3" x14ac:dyDescent="0.2">
      <c r="A1056" t="s">
        <v>38</v>
      </c>
      <c r="B1056">
        <f>COUNTIFS($B$276:$B$475, "**")</f>
        <v>100</v>
      </c>
    </row>
    <row r="1057" spans="1:3" x14ac:dyDescent="0.2">
      <c r="A1057" s="3" t="s">
        <v>17</v>
      </c>
      <c r="B1057" s="3"/>
      <c r="C1057" s="3"/>
    </row>
    <row r="1058" spans="1:3" x14ac:dyDescent="0.2">
      <c r="B1058">
        <f>COUNTIFS($C$317:$C$475, "*s-methalaclor*")</f>
        <v>17</v>
      </c>
      <c r="C1058" s="2">
        <f>(B1058/$B$508)*100</f>
        <v>28.333333333333332</v>
      </c>
    </row>
    <row r="1059" spans="1:3" x14ac:dyDescent="0.2">
      <c r="B1059">
        <f>COUNTIFS($C$317:$C$475, "*diclosulan*")</f>
        <v>26</v>
      </c>
      <c r="C1059" s="2">
        <f t="shared" ref="C1059:C1067" si="55">(B1059/$B$508)*100</f>
        <v>43.333333333333336</v>
      </c>
    </row>
    <row r="1060" spans="1:3" x14ac:dyDescent="0.2">
      <c r="B1060">
        <f>COUNTIFS($C$317:$C$475, "*imazethapyr*")</f>
        <v>7</v>
      </c>
      <c r="C1060" s="2">
        <f t="shared" si="55"/>
        <v>11.666666666666666</v>
      </c>
    </row>
    <row r="1061" spans="1:3" x14ac:dyDescent="0.2">
      <c r="B1061">
        <f>COUNTIFS($C$317:$C$475, "*sulfentrazone*")</f>
        <v>5</v>
      </c>
      <c r="C1061" s="2">
        <f t="shared" si="55"/>
        <v>8.3333333333333321</v>
      </c>
    </row>
    <row r="1062" spans="1:3" x14ac:dyDescent="0.2">
      <c r="B1062">
        <f>COUNTIFS($C$317:$C$475, "*glifosato*")</f>
        <v>4</v>
      </c>
      <c r="C1062" s="2">
        <f t="shared" si="55"/>
        <v>6.666666666666667</v>
      </c>
    </row>
    <row r="1063" spans="1:3" x14ac:dyDescent="0.2">
      <c r="B1063">
        <f>COUNTIFS($C$317:$C$475, "*imazaquim*")</f>
        <v>1</v>
      </c>
      <c r="C1063" s="2">
        <f t="shared" si="55"/>
        <v>1.6666666666666667</v>
      </c>
    </row>
    <row r="1064" spans="1:3" x14ac:dyDescent="0.2">
      <c r="B1064">
        <f>COUNTIFS($C$317:$C$475, "*flumioxazin*")</f>
        <v>11</v>
      </c>
      <c r="C1064" s="2">
        <f t="shared" si="55"/>
        <v>18.333333333333332</v>
      </c>
    </row>
    <row r="1065" spans="1:3" x14ac:dyDescent="0.2">
      <c r="B1065">
        <f t="shared" ref="B1065" si="56">COUNTIFS($C$317:$C$475, "*glifosato*")</f>
        <v>4</v>
      </c>
      <c r="C1065" s="2">
        <f t="shared" si="55"/>
        <v>6.666666666666667</v>
      </c>
    </row>
    <row r="1066" spans="1:3" x14ac:dyDescent="0.2">
      <c r="B1066">
        <f>COUNTIFS($C$317:$C$475, "*glufosinato*")</f>
        <v>1</v>
      </c>
      <c r="C1066" s="2">
        <f t="shared" si="55"/>
        <v>1.6666666666666667</v>
      </c>
    </row>
    <row r="1067" spans="1:3" x14ac:dyDescent="0.2">
      <c r="B1067">
        <f>COUNTIFS($C$317:$C$475, "*trifluralina*")</f>
        <v>2</v>
      </c>
      <c r="C1067" s="2">
        <f t="shared" si="55"/>
        <v>3.3333333333333335</v>
      </c>
    </row>
    <row r="1068" spans="1:3" x14ac:dyDescent="0.2">
      <c r="A1068" t="s">
        <v>38</v>
      </c>
      <c r="B1068">
        <f>COUNTIFS($C$317:$C$475, "**")</f>
        <v>60</v>
      </c>
      <c r="C1068" s="2"/>
    </row>
    <row r="1069" spans="1:3" x14ac:dyDescent="0.2">
      <c r="A1069" s="3" t="s">
        <v>15</v>
      </c>
      <c r="B1069" s="3"/>
      <c r="C1069" s="3"/>
    </row>
    <row r="1070" spans="1:3" x14ac:dyDescent="0.2">
      <c r="B1070">
        <f>COUNTIFS($D$317:$D$475, "*glifosato*")</f>
        <v>92</v>
      </c>
      <c r="C1070" s="2">
        <f>(B1070/$B$520)*100</f>
        <v>92.929292929292927</v>
      </c>
    </row>
    <row r="1071" spans="1:3" x14ac:dyDescent="0.2">
      <c r="B1071">
        <f>COUNTIFS($D$317:$D$475, "*flumioxazin*")</f>
        <v>1</v>
      </c>
      <c r="C1071" s="2">
        <f t="shared" ref="C1071:C1078" si="57">(B1071/$B$520)*100</f>
        <v>1.0101010101010102</v>
      </c>
    </row>
    <row r="1072" spans="1:3" x14ac:dyDescent="0.2">
      <c r="B1072">
        <f>COUNTIFS($D$317:$D$475, "*clethodim*")</f>
        <v>14</v>
      </c>
      <c r="C1072" s="2">
        <f t="shared" si="57"/>
        <v>14.14141414141414</v>
      </c>
    </row>
    <row r="1073" spans="1:5" x14ac:dyDescent="0.2">
      <c r="B1073">
        <f>COUNTIFS($D$317:$D$475, "*imazethapyr*")</f>
        <v>10</v>
      </c>
      <c r="C1073" s="2">
        <f t="shared" si="57"/>
        <v>10.1010101010101</v>
      </c>
    </row>
    <row r="1074" spans="1:5" x14ac:dyDescent="0.2">
      <c r="B1074">
        <f>COUNTIFS($D$317:$D$475, "*haloxyfop*")</f>
        <v>8</v>
      </c>
      <c r="C1074" s="2">
        <f t="shared" si="57"/>
        <v>8.0808080808080813</v>
      </c>
    </row>
    <row r="1075" spans="1:5" x14ac:dyDescent="0.2">
      <c r="B1075">
        <f>COUNTIFS($D$317:$D$475, "*lactofen*")</f>
        <v>4</v>
      </c>
      <c r="C1075" s="2">
        <f t="shared" si="57"/>
        <v>4.0404040404040407</v>
      </c>
    </row>
    <row r="1076" spans="1:5" x14ac:dyDescent="0.2">
      <c r="B1076">
        <f>COUNTIFS($D$317:$D$475, "*fomesafen*")</f>
        <v>6</v>
      </c>
      <c r="C1076" s="2">
        <f t="shared" si="57"/>
        <v>6.0606060606060606</v>
      </c>
    </row>
    <row r="1077" spans="1:5" x14ac:dyDescent="0.2">
      <c r="B1077">
        <f>COUNTIFS($D$317:$D$475, "*sulfentrazone*")</f>
        <v>4</v>
      </c>
      <c r="C1077" s="2">
        <f t="shared" si="57"/>
        <v>4.0404040404040407</v>
      </c>
    </row>
    <row r="1078" spans="1:5" x14ac:dyDescent="0.2">
      <c r="B1078">
        <f>COUNTIFS($D$317:$D$475, "*basagran*")</f>
        <v>2</v>
      </c>
      <c r="C1078" s="2">
        <f t="shared" si="57"/>
        <v>2.0202020202020203</v>
      </c>
    </row>
    <row r="1079" spans="1:5" x14ac:dyDescent="0.2">
      <c r="A1079" t="s">
        <v>38</v>
      </c>
      <c r="B1079">
        <f>COUNTIFS($D$317:$D$475, "**")</f>
        <v>99</v>
      </c>
      <c r="C1079" s="2"/>
      <c r="D1079" s="7"/>
      <c r="E1079" s="7"/>
    </row>
    <row r="1080" spans="1:5" x14ac:dyDescent="0.2">
      <c r="A1080" s="3" t="s">
        <v>386</v>
      </c>
      <c r="B1080" s="3"/>
      <c r="C1080" s="3"/>
      <c r="D1080" s="7"/>
      <c r="E1080" s="7"/>
    </row>
    <row r="1081" spans="1:5" x14ac:dyDescent="0.2">
      <c r="B1081">
        <f>COUNTIFS($E$317:$E$475, "*glifosato*")</f>
        <v>2</v>
      </c>
      <c r="C1081" s="2">
        <f>(B1081/$B$527)*100</f>
        <v>3.6363636363636362</v>
      </c>
      <c r="D1081" s="7"/>
      <c r="E1081" s="7"/>
    </row>
    <row r="1082" spans="1:5" x14ac:dyDescent="0.2">
      <c r="B1082">
        <f>COUNTIFS($E$317:$E$475, "*diquat*")</f>
        <v>13</v>
      </c>
      <c r="C1082" s="2">
        <f t="shared" ref="C1082:C1085" si="58">(B1082/$B$527)*100</f>
        <v>23.636363636363637</v>
      </c>
      <c r="D1082" s="7"/>
      <c r="E1082" s="7"/>
    </row>
    <row r="1083" spans="1:5" x14ac:dyDescent="0.2">
      <c r="B1083">
        <f>COUNTIFS($E$317:$E$475, "*paraquat*")</f>
        <v>42</v>
      </c>
      <c r="C1083" s="2">
        <f>(B1083/$B$527)*100</f>
        <v>76.363636363636374</v>
      </c>
      <c r="D1083" s="7"/>
      <c r="E1083" s="7"/>
    </row>
    <row r="1084" spans="1:5" x14ac:dyDescent="0.2">
      <c r="B1084">
        <f>COUNTIFS($E$317:$E$475, "*glufosinato*")</f>
        <v>5</v>
      </c>
      <c r="C1084" s="2">
        <f t="shared" si="58"/>
        <v>9.0909090909090917</v>
      </c>
    </row>
    <row r="1085" spans="1:5" x14ac:dyDescent="0.2">
      <c r="B1085">
        <f>COUNTIFS($E$317:$E$475, "*atrazine*")</f>
        <v>1</v>
      </c>
      <c r="C1085" s="2">
        <f t="shared" si="58"/>
        <v>1.8181818181818181</v>
      </c>
    </row>
    <row r="1086" spans="1:5" x14ac:dyDescent="0.2">
      <c r="A1086" t="s">
        <v>38</v>
      </c>
      <c r="B1086">
        <f>COUNTIFS($E$317:$E$475, "**")</f>
        <v>55</v>
      </c>
    </row>
    <row r="1087" spans="1:5" x14ac:dyDescent="0.2">
      <c r="A1087" s="5" t="s">
        <v>588</v>
      </c>
      <c r="B1087" s="5" t="s">
        <v>589</v>
      </c>
      <c r="C1087" s="5" t="s">
        <v>590</v>
      </c>
    </row>
    <row r="1088" spans="1:5" x14ac:dyDescent="0.2">
      <c r="A1088" t="s">
        <v>12</v>
      </c>
      <c r="B1088" t="s">
        <v>593</v>
      </c>
      <c r="D1088" s="5" t="s">
        <v>591</v>
      </c>
      <c r="E1088" s="5" t="s">
        <v>592</v>
      </c>
    </row>
    <row r="1089" spans="1:5" x14ac:dyDescent="0.2">
      <c r="A1089" t="s">
        <v>594</v>
      </c>
      <c r="D1089" t="s">
        <v>19</v>
      </c>
    </row>
    <row r="1090" spans="1:5" x14ac:dyDescent="0.2">
      <c r="A1090" t="s">
        <v>12</v>
      </c>
      <c r="B1090" t="s">
        <v>18</v>
      </c>
    </row>
    <row r="1091" spans="1:5" x14ac:dyDescent="0.2">
      <c r="A1091" t="s">
        <v>595</v>
      </c>
      <c r="B1091" t="s">
        <v>596</v>
      </c>
      <c r="C1091" t="s">
        <v>597</v>
      </c>
      <c r="D1091" t="s">
        <v>169</v>
      </c>
    </row>
    <row r="1092" spans="1:5" x14ac:dyDescent="0.2">
      <c r="A1092" t="s">
        <v>594</v>
      </c>
      <c r="B1092" t="s">
        <v>599</v>
      </c>
      <c r="C1092" t="s">
        <v>146</v>
      </c>
      <c r="D1092" t="s">
        <v>598</v>
      </c>
    </row>
    <row r="1093" spans="1:5" x14ac:dyDescent="0.2">
      <c r="A1093" t="s">
        <v>595</v>
      </c>
      <c r="B1093" t="s">
        <v>600</v>
      </c>
      <c r="C1093" t="s">
        <v>601</v>
      </c>
    </row>
    <row r="1094" spans="1:5" x14ac:dyDescent="0.2">
      <c r="A1094" t="s">
        <v>12</v>
      </c>
      <c r="B1094" t="s">
        <v>18</v>
      </c>
      <c r="D1094" t="s">
        <v>602</v>
      </c>
    </row>
    <row r="1095" spans="1:5" x14ac:dyDescent="0.2">
      <c r="A1095" t="s">
        <v>250</v>
      </c>
      <c r="D1095" t="s">
        <v>19</v>
      </c>
    </row>
    <row r="1096" spans="1:5" x14ac:dyDescent="0.2">
      <c r="A1096" t="s">
        <v>603</v>
      </c>
      <c r="B1096" t="s">
        <v>51</v>
      </c>
      <c r="C1096" t="s">
        <v>399</v>
      </c>
    </row>
    <row r="1097" spans="1:5" x14ac:dyDescent="0.2">
      <c r="A1097" t="s">
        <v>595</v>
      </c>
      <c r="D1097" t="s">
        <v>146</v>
      </c>
      <c r="E1097" t="s">
        <v>399</v>
      </c>
    </row>
    <row r="1098" spans="1:5" x14ac:dyDescent="0.2">
      <c r="A1098" t="s">
        <v>603</v>
      </c>
      <c r="B1098" t="s">
        <v>604</v>
      </c>
      <c r="C1098" t="s">
        <v>605</v>
      </c>
    </row>
    <row r="1099" spans="1:5" x14ac:dyDescent="0.2">
      <c r="A1099" t="s">
        <v>594</v>
      </c>
      <c r="B1099" t="s">
        <v>74</v>
      </c>
      <c r="C1099" t="s">
        <v>19</v>
      </c>
      <c r="D1099" t="s">
        <v>146</v>
      </c>
      <c r="E1099" t="s">
        <v>51</v>
      </c>
    </row>
    <row r="1100" spans="1:5" x14ac:dyDescent="0.2">
      <c r="A1100" t="s">
        <v>595</v>
      </c>
      <c r="B1100" t="s">
        <v>606</v>
      </c>
      <c r="C1100" t="s">
        <v>146</v>
      </c>
    </row>
    <row r="1101" spans="1:5" x14ac:dyDescent="0.2">
      <c r="A1101" t="s">
        <v>7</v>
      </c>
      <c r="B1101" t="s">
        <v>10</v>
      </c>
      <c r="D1101" t="s">
        <v>607</v>
      </c>
    </row>
    <row r="1102" spans="1:5" x14ac:dyDescent="0.2">
      <c r="A1102" t="s">
        <v>12</v>
      </c>
      <c r="B1102" t="s">
        <v>608</v>
      </c>
    </row>
    <row r="1103" spans="1:5" x14ac:dyDescent="0.2">
      <c r="A1103" t="s">
        <v>12</v>
      </c>
      <c r="B1103" t="s">
        <v>18</v>
      </c>
      <c r="D1103" t="s">
        <v>19</v>
      </c>
    </row>
    <row r="1104" spans="1:5" x14ac:dyDescent="0.2">
      <c r="A1104" t="s">
        <v>7</v>
      </c>
      <c r="D1104" t="s">
        <v>19</v>
      </c>
    </row>
    <row r="1105" spans="1:5" x14ac:dyDescent="0.2">
      <c r="A1105" t="s">
        <v>595</v>
      </c>
      <c r="B1105" t="s">
        <v>167</v>
      </c>
      <c r="C1105" t="s">
        <v>19</v>
      </c>
    </row>
    <row r="1106" spans="1:5" x14ac:dyDescent="0.2">
      <c r="A1106" t="s">
        <v>595</v>
      </c>
      <c r="D1106" t="s">
        <v>609</v>
      </c>
    </row>
    <row r="1107" spans="1:5" x14ac:dyDescent="0.2">
      <c r="A1107" t="s">
        <v>9</v>
      </c>
      <c r="B1107" t="s">
        <v>172</v>
      </c>
    </row>
    <row r="1108" spans="1:5" x14ac:dyDescent="0.2">
      <c r="A1108" t="s">
        <v>594</v>
      </c>
      <c r="B1108" t="s">
        <v>188</v>
      </c>
      <c r="C1108" t="s">
        <v>610</v>
      </c>
      <c r="D1108" t="s">
        <v>19</v>
      </c>
      <c r="E1108" t="s">
        <v>18</v>
      </c>
    </row>
    <row r="1109" spans="1:5" x14ac:dyDescent="0.2">
      <c r="A1109" t="s">
        <v>12</v>
      </c>
    </row>
    <row r="1110" spans="1:5" x14ac:dyDescent="0.2">
      <c r="A1110" s="4" t="s">
        <v>587</v>
      </c>
      <c r="B1110" s="4"/>
      <c r="C1110" s="4"/>
    </row>
    <row r="1111" spans="1:5" x14ac:dyDescent="0.2">
      <c r="A1111" t="s">
        <v>35</v>
      </c>
      <c r="B1111">
        <f>COUNTIFS($A$1088:$A$1109, "*Dessecante pre-plantio*")</f>
        <v>22</v>
      </c>
      <c r="C1111" s="2">
        <f>(B1111/$B$1115)*100</f>
        <v>100</v>
      </c>
    </row>
    <row r="1112" spans="1:5" x14ac:dyDescent="0.2">
      <c r="A1112" t="s">
        <v>17</v>
      </c>
      <c r="B1112">
        <f>COUNTIFS($A$1088:$A$1109, "*pre-emergente*")</f>
        <v>12</v>
      </c>
      <c r="C1112" s="2">
        <f t="shared" ref="C1112:C1114" si="59">(B1112/$B$1115)*100</f>
        <v>54.54545454545454</v>
      </c>
    </row>
    <row r="1113" spans="1:5" x14ac:dyDescent="0.2">
      <c r="A1113" t="s">
        <v>15</v>
      </c>
      <c r="B1113">
        <f>COUNTIFS($A$1088:$A$1109, "*pos-emergente*")</f>
        <v>15</v>
      </c>
      <c r="C1113" s="2">
        <f t="shared" si="59"/>
        <v>68.181818181818173</v>
      </c>
    </row>
    <row r="1114" spans="1:5" x14ac:dyDescent="0.2">
      <c r="A1114" t="s">
        <v>36</v>
      </c>
      <c r="B1114">
        <f>COUNTIFS($A$1088:$A$1109, "*dessecante pre-colheita*")</f>
        <v>4</v>
      </c>
      <c r="C1114" s="2">
        <f t="shared" si="59"/>
        <v>18.181818181818183</v>
      </c>
    </row>
    <row r="1115" spans="1:5" x14ac:dyDescent="0.2">
      <c r="A1115" t="s">
        <v>38</v>
      </c>
      <c r="B1115">
        <f>COUNTIFS($A$1088:$A$1109, "**")</f>
        <v>22</v>
      </c>
    </row>
    <row r="1116" spans="1:5" x14ac:dyDescent="0.2">
      <c r="A1116" s="3" t="s">
        <v>35</v>
      </c>
      <c r="B1116" s="3"/>
      <c r="C1116" s="3"/>
    </row>
    <row r="1117" spans="1:5" x14ac:dyDescent="0.2">
      <c r="B1117">
        <f>COUNTIFS($B$317:$B$475, "*glifosato*")</f>
        <v>85</v>
      </c>
      <c r="C1117" s="2">
        <f>(B1117/$B$496)*100</f>
        <v>85</v>
      </c>
    </row>
    <row r="1118" spans="1:5" x14ac:dyDescent="0.2">
      <c r="B1118">
        <f>COUNTIFS($B$317:$B$475, "*2,4-d*")</f>
        <v>56</v>
      </c>
      <c r="C1118" s="2">
        <f t="shared" ref="C1118:C1130" si="60">(B1118/$B$496)*100</f>
        <v>56.000000000000007</v>
      </c>
    </row>
    <row r="1119" spans="1:5" x14ac:dyDescent="0.2">
      <c r="B1119">
        <f>COUNTIFS($B$317:$B$475, "*paraquat*")</f>
        <v>24</v>
      </c>
      <c r="C1119" s="2">
        <f t="shared" si="60"/>
        <v>24</v>
      </c>
    </row>
    <row r="1120" spans="1:5" x14ac:dyDescent="0.2">
      <c r="B1120">
        <f>COUNTIFS($B$317:$B$475, "*clethodim*")</f>
        <v>12</v>
      </c>
      <c r="C1120" s="2">
        <f t="shared" si="60"/>
        <v>12</v>
      </c>
    </row>
    <row r="1121" spans="1:3" x14ac:dyDescent="0.2">
      <c r="B1121">
        <f>COUNTIFS($B$317:$B$475, "*metsulfuron*")</f>
        <v>3</v>
      </c>
      <c r="C1121" s="2">
        <f t="shared" si="60"/>
        <v>3</v>
      </c>
    </row>
    <row r="1122" spans="1:3" x14ac:dyDescent="0.2">
      <c r="B1122">
        <f>COUNTIFS($B$317:$B$475, "*flumioxazin*")</f>
        <v>10</v>
      </c>
      <c r="C1122" s="2">
        <f t="shared" si="60"/>
        <v>10</v>
      </c>
    </row>
    <row r="1123" spans="1:3" x14ac:dyDescent="0.2">
      <c r="B1123">
        <f>COUNTIFS($B$317:$B$475, "*sulfentrazone*")</f>
        <v>3</v>
      </c>
      <c r="C1123" s="2">
        <f t="shared" si="60"/>
        <v>3</v>
      </c>
    </row>
    <row r="1124" spans="1:3" x14ac:dyDescent="0.2">
      <c r="B1124">
        <f>COUNTIFS($B$317:$B$475, "*glufosinato*")</f>
        <v>3</v>
      </c>
      <c r="C1124" s="2">
        <f t="shared" si="60"/>
        <v>3</v>
      </c>
    </row>
    <row r="1125" spans="1:3" x14ac:dyDescent="0.2">
      <c r="B1125">
        <f>COUNTIFS($B$317:$B$475, "*diuron*")</f>
        <v>5</v>
      </c>
      <c r="C1125" s="2">
        <f t="shared" si="60"/>
        <v>5</v>
      </c>
    </row>
    <row r="1126" spans="1:3" x14ac:dyDescent="0.2">
      <c r="B1126">
        <f>COUNTIFS($B$317:$B$475, "*haloxifop*")</f>
        <v>4</v>
      </c>
      <c r="C1126" s="2">
        <f t="shared" si="60"/>
        <v>4</v>
      </c>
    </row>
    <row r="1127" spans="1:3" x14ac:dyDescent="0.2">
      <c r="B1127">
        <f>COUNTIFS($B$317:$B$475, "*chlorimuron*")</f>
        <v>7</v>
      </c>
      <c r="C1127" s="2">
        <f t="shared" si="60"/>
        <v>7.0000000000000009</v>
      </c>
    </row>
    <row r="1128" spans="1:3" x14ac:dyDescent="0.2">
      <c r="B1128">
        <f>COUNTIFS($B$317:$B$475, "* S-metolachlor*")</f>
        <v>2</v>
      </c>
      <c r="C1128" s="2">
        <f t="shared" si="60"/>
        <v>2</v>
      </c>
    </row>
    <row r="1129" spans="1:3" x14ac:dyDescent="0.2">
      <c r="B1129">
        <f>COUNTIFS($B$317:$B$475, "*chlorimuron*")</f>
        <v>7</v>
      </c>
      <c r="C1129" s="2">
        <f t="shared" si="60"/>
        <v>7.0000000000000009</v>
      </c>
    </row>
    <row r="1130" spans="1:3" x14ac:dyDescent="0.2">
      <c r="B1130">
        <f>COUNTIFS($B$317:$B$475, "*saflufenacil*")</f>
        <v>12</v>
      </c>
      <c r="C1130" s="2">
        <f t="shared" si="60"/>
        <v>12</v>
      </c>
    </row>
    <row r="1131" spans="1:3" x14ac:dyDescent="0.2">
      <c r="A1131" t="s">
        <v>38</v>
      </c>
      <c r="B1131">
        <f>COUNTIFS($B$276:$B$475, "**")</f>
        <v>100</v>
      </c>
    </row>
    <row r="1132" spans="1:3" x14ac:dyDescent="0.2">
      <c r="A1132" s="3" t="s">
        <v>17</v>
      </c>
      <c r="B1132" s="3"/>
      <c r="C1132" s="3"/>
    </row>
    <row r="1133" spans="1:3" x14ac:dyDescent="0.2">
      <c r="B1133">
        <f>COUNTIFS($C$317:$C$475, "*s-methalaclor*")</f>
        <v>17</v>
      </c>
      <c r="C1133" s="2">
        <f>(B1133/$B$508)*100</f>
        <v>28.333333333333332</v>
      </c>
    </row>
    <row r="1134" spans="1:3" x14ac:dyDescent="0.2">
      <c r="B1134">
        <f>COUNTIFS($C$317:$C$475, "*diclosulan*")</f>
        <v>26</v>
      </c>
      <c r="C1134" s="2">
        <f t="shared" ref="C1134:C1142" si="61">(B1134/$B$508)*100</f>
        <v>43.333333333333336</v>
      </c>
    </row>
    <row r="1135" spans="1:3" x14ac:dyDescent="0.2">
      <c r="B1135">
        <f>COUNTIFS($C$317:$C$475, "*imazethapyr*")</f>
        <v>7</v>
      </c>
      <c r="C1135" s="2">
        <f t="shared" si="61"/>
        <v>11.666666666666666</v>
      </c>
    </row>
    <row r="1136" spans="1:3" x14ac:dyDescent="0.2">
      <c r="B1136">
        <f>COUNTIFS($C$317:$C$475, "*sulfentrazone*")</f>
        <v>5</v>
      </c>
      <c r="C1136" s="2">
        <f t="shared" si="61"/>
        <v>8.3333333333333321</v>
      </c>
    </row>
    <row r="1137" spans="1:3" x14ac:dyDescent="0.2">
      <c r="B1137">
        <f>COUNTIFS($C$317:$C$475, "*glifosato*")</f>
        <v>4</v>
      </c>
      <c r="C1137" s="2">
        <f t="shared" si="61"/>
        <v>6.666666666666667</v>
      </c>
    </row>
    <row r="1138" spans="1:3" x14ac:dyDescent="0.2">
      <c r="B1138">
        <f>COUNTIFS($C$317:$C$475, "*imazaquim*")</f>
        <v>1</v>
      </c>
      <c r="C1138" s="2">
        <f t="shared" si="61"/>
        <v>1.6666666666666667</v>
      </c>
    </row>
    <row r="1139" spans="1:3" x14ac:dyDescent="0.2">
      <c r="B1139">
        <f>COUNTIFS($C$317:$C$475, "*flumioxazin*")</f>
        <v>11</v>
      </c>
      <c r="C1139" s="2">
        <f t="shared" si="61"/>
        <v>18.333333333333332</v>
      </c>
    </row>
    <row r="1140" spans="1:3" x14ac:dyDescent="0.2">
      <c r="B1140">
        <f t="shared" ref="B1140" si="62">COUNTIFS($C$317:$C$475, "*glifosato*")</f>
        <v>4</v>
      </c>
      <c r="C1140" s="2">
        <f t="shared" si="61"/>
        <v>6.666666666666667</v>
      </c>
    </row>
    <row r="1141" spans="1:3" x14ac:dyDescent="0.2">
      <c r="B1141">
        <f>COUNTIFS($C$317:$C$475, "*glufosinato*")</f>
        <v>1</v>
      </c>
      <c r="C1141" s="2">
        <f t="shared" si="61"/>
        <v>1.6666666666666667</v>
      </c>
    </row>
    <row r="1142" spans="1:3" x14ac:dyDescent="0.2">
      <c r="B1142">
        <f>COUNTIFS($C$317:$C$475, "*trifluralina*")</f>
        <v>2</v>
      </c>
      <c r="C1142" s="2">
        <f t="shared" si="61"/>
        <v>3.3333333333333335</v>
      </c>
    </row>
    <row r="1143" spans="1:3" x14ac:dyDescent="0.2">
      <c r="A1143" t="s">
        <v>38</v>
      </c>
      <c r="B1143">
        <f>COUNTIFS($C$317:$C$475, "**")</f>
        <v>60</v>
      </c>
      <c r="C1143" s="2"/>
    </row>
    <row r="1144" spans="1:3" x14ac:dyDescent="0.2">
      <c r="A1144" s="3" t="s">
        <v>15</v>
      </c>
      <c r="B1144" s="3"/>
      <c r="C1144" s="3"/>
    </row>
    <row r="1145" spans="1:3" x14ac:dyDescent="0.2">
      <c r="B1145">
        <f>COUNTIFS($D$317:$D$475, "*glifosato*")</f>
        <v>92</v>
      </c>
      <c r="C1145" s="2">
        <f>(B1145/$B$520)*100</f>
        <v>92.929292929292927</v>
      </c>
    </row>
    <row r="1146" spans="1:3" x14ac:dyDescent="0.2">
      <c r="B1146">
        <f>COUNTIFS($D$317:$D$475, "*flumioxazin*")</f>
        <v>1</v>
      </c>
      <c r="C1146" s="2">
        <f t="shared" ref="C1146:C1153" si="63">(B1146/$B$520)*100</f>
        <v>1.0101010101010102</v>
      </c>
    </row>
    <row r="1147" spans="1:3" x14ac:dyDescent="0.2">
      <c r="B1147">
        <f>COUNTIFS($D$317:$D$475, "*clethodim*")</f>
        <v>14</v>
      </c>
      <c r="C1147" s="2">
        <f t="shared" si="63"/>
        <v>14.14141414141414</v>
      </c>
    </row>
    <row r="1148" spans="1:3" x14ac:dyDescent="0.2">
      <c r="B1148">
        <f>COUNTIFS($D$317:$D$475, "*imazethapyr*")</f>
        <v>10</v>
      </c>
      <c r="C1148" s="2">
        <f t="shared" si="63"/>
        <v>10.1010101010101</v>
      </c>
    </row>
    <row r="1149" spans="1:3" x14ac:dyDescent="0.2">
      <c r="B1149">
        <f>COUNTIFS($D$317:$D$475, "*haloxyfop*")</f>
        <v>8</v>
      </c>
      <c r="C1149" s="2">
        <f t="shared" si="63"/>
        <v>8.0808080808080813</v>
      </c>
    </row>
    <row r="1150" spans="1:3" x14ac:dyDescent="0.2">
      <c r="B1150">
        <f>COUNTIFS($D$317:$D$475, "*lactofen*")</f>
        <v>4</v>
      </c>
      <c r="C1150" s="2">
        <f t="shared" si="63"/>
        <v>4.0404040404040407</v>
      </c>
    </row>
    <row r="1151" spans="1:3" x14ac:dyDescent="0.2">
      <c r="B1151">
        <f>COUNTIFS($D$317:$D$475, "*fomesafen*")</f>
        <v>6</v>
      </c>
      <c r="C1151" s="2">
        <f t="shared" si="63"/>
        <v>6.0606060606060606</v>
      </c>
    </row>
    <row r="1152" spans="1:3" x14ac:dyDescent="0.2">
      <c r="B1152">
        <f>COUNTIFS($D$317:$D$475, "*sulfentrazone*")</f>
        <v>4</v>
      </c>
      <c r="C1152" s="2">
        <f t="shared" si="63"/>
        <v>4.0404040404040407</v>
      </c>
    </row>
    <row r="1153" spans="1:5" x14ac:dyDescent="0.2">
      <c r="B1153">
        <f>COUNTIFS($D$317:$D$475, "*basagran*")</f>
        <v>2</v>
      </c>
      <c r="C1153" s="2">
        <f t="shared" si="63"/>
        <v>2.0202020202020203</v>
      </c>
    </row>
    <row r="1154" spans="1:5" x14ac:dyDescent="0.2">
      <c r="A1154" t="s">
        <v>38</v>
      </c>
      <c r="B1154">
        <f>COUNTIFS($D$317:$D$475, "**")</f>
        <v>99</v>
      </c>
      <c r="C1154" s="2"/>
    </row>
    <row r="1155" spans="1:5" x14ac:dyDescent="0.2">
      <c r="A1155" s="3" t="s">
        <v>386</v>
      </c>
      <c r="B1155" s="3"/>
      <c r="C1155" s="3"/>
    </row>
    <row r="1156" spans="1:5" x14ac:dyDescent="0.2">
      <c r="B1156">
        <f>COUNTIFS($E$317:$E$475, "*glifosato*")</f>
        <v>2</v>
      </c>
      <c r="C1156" s="2">
        <f>(B1156/$B$527)*100</f>
        <v>3.6363636363636362</v>
      </c>
    </row>
    <row r="1157" spans="1:5" x14ac:dyDescent="0.2">
      <c r="B1157">
        <f>COUNTIFS($E$317:$E$475, "*diquat*")</f>
        <v>13</v>
      </c>
      <c r="C1157" s="2">
        <f t="shared" ref="C1157:C1160" si="64">(B1157/$B$527)*100</f>
        <v>23.636363636363637</v>
      </c>
    </row>
    <row r="1158" spans="1:5" x14ac:dyDescent="0.2">
      <c r="B1158">
        <f>COUNTIFS($E$317:$E$475, "*paraquat*")</f>
        <v>42</v>
      </c>
      <c r="C1158" s="2">
        <f>(B1158/$B$527)*100</f>
        <v>76.363636363636374</v>
      </c>
    </row>
    <row r="1159" spans="1:5" x14ac:dyDescent="0.2">
      <c r="B1159">
        <f>COUNTIFS($E$317:$E$475, "*glufosinato*")</f>
        <v>5</v>
      </c>
      <c r="C1159" s="2">
        <f t="shared" si="64"/>
        <v>9.0909090909090917</v>
      </c>
    </row>
    <row r="1160" spans="1:5" x14ac:dyDescent="0.2">
      <c r="B1160">
        <f>COUNTIFS($E$317:$E$475, "*atrazine*")</f>
        <v>1</v>
      </c>
      <c r="C1160" s="2">
        <f t="shared" si="64"/>
        <v>1.8181818181818181</v>
      </c>
    </row>
    <row r="1161" spans="1:5" x14ac:dyDescent="0.2">
      <c r="A1161" t="s">
        <v>38</v>
      </c>
      <c r="B1161">
        <f>COUNTIFS($E$317:$E$475, "**")</f>
        <v>55</v>
      </c>
    </row>
    <row r="1162" spans="1:5" x14ac:dyDescent="0.2">
      <c r="A1162" s="5" t="s">
        <v>611</v>
      </c>
      <c r="B1162" s="5" t="s">
        <v>612</v>
      </c>
      <c r="C1162" s="5" t="s">
        <v>613</v>
      </c>
      <c r="D1162" s="5" t="s">
        <v>614</v>
      </c>
      <c r="E1162" s="5" t="s">
        <v>615</v>
      </c>
    </row>
    <row r="1163" spans="1:5" x14ac:dyDescent="0.2">
      <c r="A1163" t="s">
        <v>12</v>
      </c>
      <c r="B1163" t="s">
        <v>10</v>
      </c>
      <c r="D1163" t="s">
        <v>561</v>
      </c>
    </row>
    <row r="1164" spans="1:5" x14ac:dyDescent="0.2">
      <c r="A1164" t="s">
        <v>7</v>
      </c>
      <c r="B1164" t="s">
        <v>8</v>
      </c>
    </row>
    <row r="1165" spans="1:5" x14ac:dyDescent="0.2">
      <c r="A1165" t="s">
        <v>12</v>
      </c>
      <c r="B1165" t="s">
        <v>616</v>
      </c>
      <c r="D1165" t="s">
        <v>617</v>
      </c>
    </row>
    <row r="1166" spans="1:5" x14ac:dyDescent="0.2">
      <c r="A1166" t="s">
        <v>12</v>
      </c>
      <c r="B1166" t="s">
        <v>618</v>
      </c>
      <c r="D1166" t="s">
        <v>619</v>
      </c>
    </row>
    <row r="1167" spans="1:5" x14ac:dyDescent="0.2">
      <c r="A1167" t="s">
        <v>12</v>
      </c>
      <c r="B1167" t="s">
        <v>18</v>
      </c>
      <c r="D1167" t="s">
        <v>131</v>
      </c>
    </row>
    <row r="1168" spans="1:5" x14ac:dyDescent="0.2">
      <c r="A1168" t="s">
        <v>21</v>
      </c>
    </row>
    <row r="1169" spans="1:5" x14ac:dyDescent="0.2">
      <c r="A1169" t="s">
        <v>12</v>
      </c>
      <c r="B1169" t="s">
        <v>620</v>
      </c>
      <c r="D1169" t="s">
        <v>621</v>
      </c>
    </row>
    <row r="1170" spans="1:5" x14ac:dyDescent="0.2">
      <c r="A1170" t="s">
        <v>12</v>
      </c>
      <c r="B1170" t="s">
        <v>251</v>
      </c>
      <c r="D1170" t="s">
        <v>622</v>
      </c>
    </row>
    <row r="1171" spans="1:5" x14ac:dyDescent="0.2">
      <c r="A1171" t="s">
        <v>9</v>
      </c>
      <c r="B1171" t="s">
        <v>623</v>
      </c>
      <c r="D1171" t="s">
        <v>624</v>
      </c>
      <c r="E1171" t="s">
        <v>625</v>
      </c>
    </row>
    <row r="1172" spans="1:5" x14ac:dyDescent="0.2">
      <c r="A1172" t="s">
        <v>5</v>
      </c>
      <c r="B1172" t="s">
        <v>626</v>
      </c>
      <c r="C1172" t="s">
        <v>239</v>
      </c>
      <c r="D1172" t="s">
        <v>565</v>
      </c>
      <c r="E1172" t="s">
        <v>257</v>
      </c>
    </row>
    <row r="1173" spans="1:5" x14ac:dyDescent="0.2">
      <c r="A1173" t="s">
        <v>12</v>
      </c>
      <c r="B1173" t="s">
        <v>18</v>
      </c>
      <c r="D1173" t="s">
        <v>627</v>
      </c>
    </row>
    <row r="1174" spans="1:5" x14ac:dyDescent="0.2">
      <c r="A1174" t="s">
        <v>5</v>
      </c>
      <c r="B1174" t="s">
        <v>628</v>
      </c>
      <c r="C1174" t="s">
        <v>629</v>
      </c>
      <c r="D1174" t="s">
        <v>630</v>
      </c>
      <c r="E1174" t="s">
        <v>631</v>
      </c>
    </row>
    <row r="1175" spans="1:5" x14ac:dyDescent="0.2">
      <c r="A1175" t="s">
        <v>12</v>
      </c>
      <c r="B1175" t="s">
        <v>632</v>
      </c>
      <c r="D1175" t="s">
        <v>633</v>
      </c>
    </row>
    <row r="1176" spans="1:5" x14ac:dyDescent="0.2">
      <c r="A1176" t="s">
        <v>17</v>
      </c>
    </row>
    <row r="1177" spans="1:5" x14ac:dyDescent="0.2">
      <c r="A1177" t="s">
        <v>12</v>
      </c>
      <c r="B1177" t="s">
        <v>634</v>
      </c>
      <c r="D1177" t="s">
        <v>635</v>
      </c>
    </row>
    <row r="1178" spans="1:5" x14ac:dyDescent="0.2">
      <c r="A1178" t="s">
        <v>12</v>
      </c>
      <c r="B1178" t="s">
        <v>636</v>
      </c>
      <c r="D1178" t="s">
        <v>637</v>
      </c>
    </row>
    <row r="1179" spans="1:5" x14ac:dyDescent="0.2">
      <c r="A1179" t="s">
        <v>14</v>
      </c>
      <c r="B1179" t="s">
        <v>51</v>
      </c>
      <c r="D1179" t="s">
        <v>638</v>
      </c>
    </row>
    <row r="1180" spans="1:5" x14ac:dyDescent="0.2">
      <c r="A1180" t="s">
        <v>12</v>
      </c>
      <c r="B1180" t="s">
        <v>18</v>
      </c>
      <c r="D1180" t="s">
        <v>46</v>
      </c>
    </row>
    <row r="1181" spans="1:5" x14ac:dyDescent="0.2">
      <c r="A1181" t="s">
        <v>9</v>
      </c>
    </row>
    <row r="1182" spans="1:5" x14ac:dyDescent="0.2">
      <c r="A1182" t="s">
        <v>12</v>
      </c>
      <c r="B1182" t="s">
        <v>74</v>
      </c>
      <c r="D1182" t="s">
        <v>639</v>
      </c>
    </row>
    <row r="1183" spans="1:5" x14ac:dyDescent="0.2">
      <c r="A1183" t="s">
        <v>36</v>
      </c>
      <c r="E1183" t="s">
        <v>640</v>
      </c>
    </row>
    <row r="1184" spans="1:5" x14ac:dyDescent="0.2">
      <c r="A1184" t="s">
        <v>14</v>
      </c>
      <c r="B1184" t="s">
        <v>641</v>
      </c>
      <c r="C1184" t="s">
        <v>642</v>
      </c>
      <c r="D1184" t="s">
        <v>643</v>
      </c>
    </row>
    <row r="1185" spans="1:5" x14ac:dyDescent="0.2">
      <c r="A1185" t="s">
        <v>12</v>
      </c>
      <c r="B1185" t="s">
        <v>18</v>
      </c>
      <c r="D1185" t="s">
        <v>644</v>
      </c>
    </row>
    <row r="1186" spans="1:5" x14ac:dyDescent="0.2">
      <c r="A1186" t="s">
        <v>9</v>
      </c>
    </row>
    <row r="1187" spans="1:5" x14ac:dyDescent="0.2">
      <c r="A1187" t="s">
        <v>5</v>
      </c>
      <c r="B1187" t="s">
        <v>645</v>
      </c>
      <c r="C1187" t="s">
        <v>8</v>
      </c>
      <c r="D1187" t="s">
        <v>646</v>
      </c>
      <c r="E1187" t="s">
        <v>521</v>
      </c>
    </row>
    <row r="1188" spans="1:5" x14ac:dyDescent="0.2">
      <c r="A1188" t="s">
        <v>12</v>
      </c>
      <c r="B1188" t="s">
        <v>647</v>
      </c>
      <c r="D1188" t="s">
        <v>239</v>
      </c>
    </row>
    <row r="1189" spans="1:5" x14ac:dyDescent="0.2">
      <c r="A1189" t="s">
        <v>14</v>
      </c>
      <c r="B1189" t="s">
        <v>648</v>
      </c>
      <c r="D1189" t="s">
        <v>562</v>
      </c>
    </row>
    <row r="1190" spans="1:5" x14ac:dyDescent="0.2">
      <c r="A1190" t="s">
        <v>12</v>
      </c>
    </row>
    <row r="1191" spans="1:5" x14ac:dyDescent="0.2">
      <c r="A1191" t="s">
        <v>14</v>
      </c>
    </row>
    <row r="1192" spans="1:5" x14ac:dyDescent="0.2">
      <c r="A1192" t="s">
        <v>5</v>
      </c>
    </row>
    <row r="1193" spans="1:5" x14ac:dyDescent="0.2">
      <c r="A1193" t="s">
        <v>12</v>
      </c>
      <c r="B1193" t="s">
        <v>18</v>
      </c>
      <c r="D1193" t="s">
        <v>585</v>
      </c>
    </row>
    <row r="1194" spans="1:5" x14ac:dyDescent="0.2">
      <c r="A1194" t="s">
        <v>12</v>
      </c>
    </row>
    <row r="1195" spans="1:5" x14ac:dyDescent="0.2">
      <c r="A1195" t="s">
        <v>14</v>
      </c>
    </row>
    <row r="1196" spans="1:5" x14ac:dyDescent="0.2">
      <c r="A1196" t="s">
        <v>9</v>
      </c>
      <c r="B1196" t="s">
        <v>649</v>
      </c>
      <c r="D1196" t="s">
        <v>114</v>
      </c>
      <c r="E1196" t="s">
        <v>75</v>
      </c>
    </row>
    <row r="1197" spans="1:5" x14ac:dyDescent="0.2">
      <c r="A1197" t="s">
        <v>9</v>
      </c>
      <c r="B1197" t="s">
        <v>11</v>
      </c>
      <c r="D1197" t="s">
        <v>650</v>
      </c>
      <c r="E1197" t="s">
        <v>625</v>
      </c>
    </row>
    <row r="1198" spans="1:5" x14ac:dyDescent="0.2">
      <c r="A1198" s="4" t="s">
        <v>651</v>
      </c>
      <c r="B1198" s="4"/>
      <c r="C1198" s="4"/>
    </row>
    <row r="1199" spans="1:5" x14ac:dyDescent="0.2">
      <c r="A1199" t="s">
        <v>35</v>
      </c>
      <c r="B1199">
        <f>COUNTIFS($A$1163:$A$1197, "*Dessecante pre-plantio*")</f>
        <v>33</v>
      </c>
      <c r="C1199" s="2">
        <f>(B1199/$B$1203)*100</f>
        <v>100</v>
      </c>
    </row>
    <row r="1200" spans="1:5" x14ac:dyDescent="0.2">
      <c r="A1200" t="s">
        <v>17</v>
      </c>
      <c r="B1200">
        <f>COUNTIFS($A$1163:$A$1197, "*pre-emergente*")</f>
        <v>11</v>
      </c>
      <c r="C1200" s="2">
        <f t="shared" ref="C1200:C1202" si="65">(B1200/$B$1203)*100</f>
        <v>33.333333333333329</v>
      </c>
    </row>
    <row r="1201" spans="1:3" x14ac:dyDescent="0.2">
      <c r="A1201" t="s">
        <v>15</v>
      </c>
      <c r="B1201">
        <f>COUNTIFS($A$1163:$A$1197, "*pos-emergente*")</f>
        <v>31</v>
      </c>
      <c r="C1201" s="2">
        <f t="shared" si="65"/>
        <v>93.939393939393938</v>
      </c>
    </row>
    <row r="1202" spans="1:3" x14ac:dyDescent="0.2">
      <c r="A1202" t="s">
        <v>36</v>
      </c>
      <c r="B1202">
        <f>COUNTIFS($A$1163:$A$1197, "*dessecante pre-colheita*")</f>
        <v>10</v>
      </c>
      <c r="C1202" s="2">
        <f t="shared" si="65"/>
        <v>30.303030303030305</v>
      </c>
    </row>
    <row r="1203" spans="1:3" x14ac:dyDescent="0.2">
      <c r="A1203" t="s">
        <v>38</v>
      </c>
      <c r="B1203">
        <f t="shared" ref="B1203" si="66">COUNTIFS($A$1163:$A$1197, "*Dessecante pre-plantio*")</f>
        <v>33</v>
      </c>
    </row>
    <row r="1204" spans="1:3" x14ac:dyDescent="0.2">
      <c r="A1204" s="3" t="s">
        <v>35</v>
      </c>
      <c r="B1204" s="3"/>
      <c r="C1204" s="3"/>
    </row>
    <row r="1205" spans="1:3" x14ac:dyDescent="0.2">
      <c r="B1205">
        <f>COUNTIFS($B$1163:$B$1197, "**")</f>
        <v>25</v>
      </c>
      <c r="C1205" s="2">
        <f>(B1205/$B$496)*100</f>
        <v>25</v>
      </c>
    </row>
    <row r="1206" spans="1:3" x14ac:dyDescent="0.2">
      <c r="B1206">
        <f>COUNTIFS($B$317:$B$475, "*2,4-d*")</f>
        <v>56</v>
      </c>
      <c r="C1206" s="2">
        <f t="shared" ref="C1206:C1218" si="67">(B1206/$B$496)*100</f>
        <v>56.000000000000007</v>
      </c>
    </row>
    <row r="1207" spans="1:3" x14ac:dyDescent="0.2">
      <c r="B1207">
        <f>COUNTIFS($B$317:$B$475, "*paraquat*")</f>
        <v>24</v>
      </c>
      <c r="C1207" s="2">
        <f t="shared" si="67"/>
        <v>24</v>
      </c>
    </row>
    <row r="1208" spans="1:3" x14ac:dyDescent="0.2">
      <c r="B1208">
        <f>COUNTIFS($B$317:$B$475, "*clethodim*")</f>
        <v>12</v>
      </c>
      <c r="C1208" s="2">
        <f t="shared" si="67"/>
        <v>12</v>
      </c>
    </row>
    <row r="1209" spans="1:3" x14ac:dyDescent="0.2">
      <c r="B1209">
        <f>COUNTIFS($B$317:$B$475, "*metsulfuron*")</f>
        <v>3</v>
      </c>
      <c r="C1209" s="2">
        <f t="shared" si="67"/>
        <v>3</v>
      </c>
    </row>
    <row r="1210" spans="1:3" x14ac:dyDescent="0.2">
      <c r="B1210">
        <f>COUNTIFS($B$317:$B$475, "*flumioxazin*")</f>
        <v>10</v>
      </c>
      <c r="C1210" s="2">
        <f t="shared" si="67"/>
        <v>10</v>
      </c>
    </row>
    <row r="1211" spans="1:3" x14ac:dyDescent="0.2">
      <c r="B1211">
        <f>COUNTIFS($B$317:$B$475, "*sulfentrazone*")</f>
        <v>3</v>
      </c>
      <c r="C1211" s="2">
        <f t="shared" si="67"/>
        <v>3</v>
      </c>
    </row>
    <row r="1212" spans="1:3" x14ac:dyDescent="0.2">
      <c r="B1212">
        <f>COUNTIFS($B$317:$B$475, "*glufosinato*")</f>
        <v>3</v>
      </c>
      <c r="C1212" s="2">
        <f t="shared" si="67"/>
        <v>3</v>
      </c>
    </row>
    <row r="1213" spans="1:3" x14ac:dyDescent="0.2">
      <c r="B1213">
        <f>COUNTIFS($B$317:$B$475, "*diuron*")</f>
        <v>5</v>
      </c>
      <c r="C1213" s="2">
        <f t="shared" si="67"/>
        <v>5</v>
      </c>
    </row>
    <row r="1214" spans="1:3" x14ac:dyDescent="0.2">
      <c r="B1214">
        <f>COUNTIFS($B$317:$B$475, "*haloxifop*")</f>
        <v>4</v>
      </c>
      <c r="C1214" s="2">
        <f t="shared" si="67"/>
        <v>4</v>
      </c>
    </row>
    <row r="1215" spans="1:3" x14ac:dyDescent="0.2">
      <c r="B1215">
        <f>COUNTIFS($B$317:$B$475, "*chlorimuron*")</f>
        <v>7</v>
      </c>
      <c r="C1215" s="2">
        <f t="shared" si="67"/>
        <v>7.0000000000000009</v>
      </c>
    </row>
    <row r="1216" spans="1:3" x14ac:dyDescent="0.2">
      <c r="B1216">
        <f>COUNTIFS($B$317:$B$475, "* S-metolachlor*")</f>
        <v>2</v>
      </c>
      <c r="C1216" s="2">
        <f t="shared" si="67"/>
        <v>2</v>
      </c>
    </row>
    <row r="1217" spans="1:3" x14ac:dyDescent="0.2">
      <c r="B1217">
        <f>COUNTIFS($B$317:$B$475, "*chlorimuron*")</f>
        <v>7</v>
      </c>
      <c r="C1217" s="2">
        <f t="shared" si="67"/>
        <v>7.0000000000000009</v>
      </c>
    </row>
    <row r="1218" spans="1:3" x14ac:dyDescent="0.2">
      <c r="B1218">
        <f>COUNTIFS($B$317:$B$475, "*saflufenacil*")</f>
        <v>12</v>
      </c>
      <c r="C1218" s="2">
        <f t="shared" si="67"/>
        <v>12</v>
      </c>
    </row>
    <row r="1219" spans="1:3" x14ac:dyDescent="0.2">
      <c r="A1219" t="s">
        <v>38</v>
      </c>
      <c r="B1219">
        <f>COUNTIFS($B$276:$B$475, "**")</f>
        <v>100</v>
      </c>
    </row>
    <row r="1220" spans="1:3" x14ac:dyDescent="0.2">
      <c r="A1220" s="3" t="s">
        <v>17</v>
      </c>
      <c r="B1220" s="3"/>
      <c r="C1220" s="3"/>
    </row>
    <row r="1221" spans="1:3" x14ac:dyDescent="0.2">
      <c r="B1221">
        <f>COUNTIFS($C$1163:$C$1197, "**")</f>
        <v>4</v>
      </c>
      <c r="C1221" s="2">
        <f>(B1221/$B$508)*100</f>
        <v>6.666666666666667</v>
      </c>
    </row>
    <row r="1222" spans="1:3" x14ac:dyDescent="0.2">
      <c r="B1222">
        <f>COUNTIFS($C$317:$C$475, "*diclosulan*")</f>
        <v>26</v>
      </c>
      <c r="C1222" s="2">
        <f t="shared" ref="C1222:C1230" si="68">(B1222/$B$508)*100</f>
        <v>43.333333333333336</v>
      </c>
    </row>
    <row r="1223" spans="1:3" x14ac:dyDescent="0.2">
      <c r="B1223">
        <f>COUNTIFS($C$317:$C$475, "*imazethapyr*")</f>
        <v>7</v>
      </c>
      <c r="C1223" s="2">
        <f t="shared" si="68"/>
        <v>11.666666666666666</v>
      </c>
    </row>
    <row r="1224" spans="1:3" x14ac:dyDescent="0.2">
      <c r="B1224">
        <f>COUNTIFS($C$317:$C$475, "*sulfentrazone*")</f>
        <v>5</v>
      </c>
      <c r="C1224" s="2">
        <f t="shared" si="68"/>
        <v>8.3333333333333321</v>
      </c>
    </row>
    <row r="1225" spans="1:3" x14ac:dyDescent="0.2">
      <c r="B1225">
        <f>COUNTIFS($C$317:$C$475, "*glifosato*")</f>
        <v>4</v>
      </c>
      <c r="C1225" s="2">
        <f t="shared" si="68"/>
        <v>6.666666666666667</v>
      </c>
    </row>
    <row r="1226" spans="1:3" x14ac:dyDescent="0.2">
      <c r="B1226">
        <f>COUNTIFS($C$317:$C$475, "*imazaquim*")</f>
        <v>1</v>
      </c>
      <c r="C1226" s="2">
        <f t="shared" si="68"/>
        <v>1.6666666666666667</v>
      </c>
    </row>
    <row r="1227" spans="1:3" x14ac:dyDescent="0.2">
      <c r="B1227">
        <f>COUNTIFS($C$317:$C$475, "*flumioxazin*")</f>
        <v>11</v>
      </c>
      <c r="C1227" s="2">
        <f t="shared" si="68"/>
        <v>18.333333333333332</v>
      </c>
    </row>
    <row r="1228" spans="1:3" x14ac:dyDescent="0.2">
      <c r="B1228">
        <f t="shared" ref="B1228" si="69">COUNTIFS($C$317:$C$475, "*glifosato*")</f>
        <v>4</v>
      </c>
      <c r="C1228" s="2">
        <f t="shared" si="68"/>
        <v>6.666666666666667</v>
      </c>
    </row>
    <row r="1229" spans="1:3" x14ac:dyDescent="0.2">
      <c r="B1229">
        <f>COUNTIFS($C$317:$C$475, "*glufosinato*")</f>
        <v>1</v>
      </c>
      <c r="C1229" s="2">
        <f t="shared" si="68"/>
        <v>1.6666666666666667</v>
      </c>
    </row>
    <row r="1230" spans="1:3" x14ac:dyDescent="0.2">
      <c r="B1230">
        <f>COUNTIFS($C$317:$C$475, "*trifluralina*")</f>
        <v>2</v>
      </c>
      <c r="C1230" s="2">
        <f t="shared" si="68"/>
        <v>3.3333333333333335</v>
      </c>
    </row>
    <row r="1231" spans="1:3" x14ac:dyDescent="0.2">
      <c r="A1231" t="s">
        <v>38</v>
      </c>
      <c r="B1231">
        <f>COUNTIFS($C$317:$C$475, "**")</f>
        <v>60</v>
      </c>
      <c r="C1231" s="2"/>
    </row>
    <row r="1232" spans="1:3" x14ac:dyDescent="0.2">
      <c r="A1232" s="3" t="s">
        <v>15</v>
      </c>
      <c r="B1232" s="3"/>
      <c r="C1232" s="3"/>
    </row>
    <row r="1233" spans="1:3" x14ac:dyDescent="0.2">
      <c r="B1233">
        <f>COUNTIFS($D$1163:$D$1197, "**")</f>
        <v>24</v>
      </c>
      <c r="C1233" s="2">
        <f>(B1233/$B$520)*100</f>
        <v>24.242424242424242</v>
      </c>
    </row>
    <row r="1234" spans="1:3" x14ac:dyDescent="0.2">
      <c r="B1234">
        <f>COUNTIFS($D$317:$D$475, "*flumioxazin*")</f>
        <v>1</v>
      </c>
      <c r="C1234" s="2">
        <f t="shared" ref="C1234:C1241" si="70">(B1234/$B$520)*100</f>
        <v>1.0101010101010102</v>
      </c>
    </row>
    <row r="1235" spans="1:3" x14ac:dyDescent="0.2">
      <c r="B1235">
        <f>COUNTIFS($D$317:$D$475, "*clethodim*")</f>
        <v>14</v>
      </c>
      <c r="C1235" s="2">
        <f t="shared" si="70"/>
        <v>14.14141414141414</v>
      </c>
    </row>
    <row r="1236" spans="1:3" x14ac:dyDescent="0.2">
      <c r="B1236">
        <f>COUNTIFS($D$317:$D$475, "*imazethapyr*")</f>
        <v>10</v>
      </c>
      <c r="C1236" s="2">
        <f t="shared" si="70"/>
        <v>10.1010101010101</v>
      </c>
    </row>
    <row r="1237" spans="1:3" x14ac:dyDescent="0.2">
      <c r="B1237">
        <f>COUNTIFS($D$317:$D$475, "*haloxyfop*")</f>
        <v>8</v>
      </c>
      <c r="C1237" s="2">
        <f t="shared" si="70"/>
        <v>8.0808080808080813</v>
      </c>
    </row>
    <row r="1238" spans="1:3" x14ac:dyDescent="0.2">
      <c r="B1238">
        <f>COUNTIFS($D$317:$D$475, "*lactofen*")</f>
        <v>4</v>
      </c>
      <c r="C1238" s="2">
        <f t="shared" si="70"/>
        <v>4.0404040404040407</v>
      </c>
    </row>
    <row r="1239" spans="1:3" x14ac:dyDescent="0.2">
      <c r="B1239">
        <f>COUNTIFS($D$317:$D$475, "*fomesafen*")</f>
        <v>6</v>
      </c>
      <c r="C1239" s="2">
        <f t="shared" si="70"/>
        <v>6.0606060606060606</v>
      </c>
    </row>
    <row r="1240" spans="1:3" x14ac:dyDescent="0.2">
      <c r="B1240">
        <f>COUNTIFS($D$317:$D$475, "*sulfentrazone*")</f>
        <v>4</v>
      </c>
      <c r="C1240" s="2">
        <f t="shared" si="70"/>
        <v>4.0404040404040407</v>
      </c>
    </row>
    <row r="1241" spans="1:3" x14ac:dyDescent="0.2">
      <c r="B1241">
        <f>COUNTIFS($D$317:$D$475, "*basagran*")</f>
        <v>2</v>
      </c>
      <c r="C1241" s="2">
        <f t="shared" si="70"/>
        <v>2.0202020202020203</v>
      </c>
    </row>
    <row r="1242" spans="1:3" x14ac:dyDescent="0.2">
      <c r="A1242" t="s">
        <v>38</v>
      </c>
      <c r="B1242">
        <f>COUNTIFS($D$317:$D$475, "**")</f>
        <v>99</v>
      </c>
      <c r="C1242" s="2"/>
    </row>
    <row r="1243" spans="1:3" x14ac:dyDescent="0.2">
      <c r="A1243" s="3" t="s">
        <v>386</v>
      </c>
      <c r="B1243" s="3"/>
      <c r="C1243" s="3"/>
    </row>
    <row r="1244" spans="1:3" x14ac:dyDescent="0.2">
      <c r="B1244">
        <f>COUNTIFS($E$317:$E$475, "*glifosato*")</f>
        <v>2</v>
      </c>
      <c r="C1244" s="2">
        <f>(B1244/$B$527)*100</f>
        <v>3.6363636363636362</v>
      </c>
    </row>
    <row r="1245" spans="1:3" x14ac:dyDescent="0.2">
      <c r="B1245">
        <f>COUNTIFS($E$317:$E$475, "*diquat*")</f>
        <v>13</v>
      </c>
      <c r="C1245" s="2">
        <f t="shared" ref="C1245:C1248" si="71">(B1245/$B$527)*100</f>
        <v>23.636363636363637</v>
      </c>
    </row>
    <row r="1246" spans="1:3" x14ac:dyDescent="0.2">
      <c r="B1246">
        <f>COUNTIFS($E$317:$E$475, "*paraquat*")</f>
        <v>42</v>
      </c>
      <c r="C1246" s="2">
        <f>(B1246/$B$527)*100</f>
        <v>76.363636363636374</v>
      </c>
    </row>
    <row r="1247" spans="1:3" x14ac:dyDescent="0.2">
      <c r="B1247">
        <f>COUNTIFS($E$317:$E$475, "*glufosinato*")</f>
        <v>5</v>
      </c>
      <c r="C1247" s="2">
        <f t="shared" si="71"/>
        <v>9.0909090909090917</v>
      </c>
    </row>
    <row r="1248" spans="1:3" x14ac:dyDescent="0.2">
      <c r="B1248">
        <f>COUNTIFS($E$317:$E$475, "*atrazine*")</f>
        <v>1</v>
      </c>
      <c r="C1248" s="2">
        <f t="shared" si="71"/>
        <v>1.8181818181818181</v>
      </c>
    </row>
    <row r="1249" spans="1:2" x14ac:dyDescent="0.2">
      <c r="A1249" t="s">
        <v>38</v>
      </c>
      <c r="B1249">
        <f>COUNTIFS($E$317:$E$475, "**")</f>
        <v>55</v>
      </c>
    </row>
    <row r="1276" spans="1:5" x14ac:dyDescent="0.2">
      <c r="A1276" s="7"/>
      <c r="B1276" s="7"/>
      <c r="C1276" s="7"/>
    </row>
    <row r="1277" spans="1:5" x14ac:dyDescent="0.2">
      <c r="A1277" s="7"/>
      <c r="B1277" s="7"/>
      <c r="C1277" s="7"/>
      <c r="D1277" s="7"/>
      <c r="E1277" s="7"/>
    </row>
    <row r="1278" spans="1:5" x14ac:dyDescent="0.2">
      <c r="A1278" s="7"/>
      <c r="B1278" s="7"/>
      <c r="C1278" s="7"/>
      <c r="D1278" s="7"/>
      <c r="E1278" s="7"/>
    </row>
    <row r="1279" spans="1:5" x14ac:dyDescent="0.2">
      <c r="A1279" s="7"/>
      <c r="B1279" s="7"/>
      <c r="C1279" s="7"/>
      <c r="D1279" s="7"/>
      <c r="E1279" s="7"/>
    </row>
    <row r="1280" spans="1:5" x14ac:dyDescent="0.2">
      <c r="A1280" s="7"/>
      <c r="B1280" s="7"/>
      <c r="C1280" s="7"/>
      <c r="D1280" s="7"/>
      <c r="E1280" s="7"/>
    </row>
    <row r="1281" spans="4:5" x14ac:dyDescent="0.2">
      <c r="D1281" s="7"/>
      <c r="E128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2019-03-07T17:20:25Z</dcterms:created>
  <dcterms:modified xsi:type="dcterms:W3CDTF">2019-03-12T19:12:00Z</dcterms:modified>
</cp:coreProperties>
</file>