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lexandra\Google Drive (alexandra.januario@gmail.com)\Sun Mobi\01. Administrativo\04. Cooperativa\"/>
    </mc:Choice>
  </mc:AlternateContent>
  <xr:revisionPtr revIDLastSave="0" documentId="13_ncr:1_{E7A3D46F-E177-4D2A-8E0E-CCEC84539E98}" xr6:coauthVersionLast="36" xr6:coauthVersionMax="36" xr10:uidLastSave="{00000000-0000-0000-0000-000000000000}"/>
  <bookViews>
    <workbookView xWindow="0" yWindow="0" windowWidth="23040" windowHeight="8472" tabRatio="935" firstSheet="1" activeTab="1" xr2:uid="{1AF66498-9CE9-48FE-B68D-3AEBFB3C3BD2}"/>
  </bookViews>
  <sheets>
    <sheet name="Alocação Jun-18" sheetId="26" state="hidden" r:id="rId1"/>
    <sheet name="Acompanhamento" sheetId="1" r:id="rId2"/>
    <sheet name="Planilha1" sheetId="23" state="hidden" r:id="rId3"/>
    <sheet name="4001912941" sheetId="2" r:id="rId4"/>
    <sheet name="2082483477" sheetId="4" r:id="rId5"/>
    <sheet name="2002764784" sheetId="5" r:id="rId6"/>
    <sheet name="2022806598" sheetId="6" r:id="rId7"/>
    <sheet name="4000332114" sheetId="7" r:id="rId8"/>
    <sheet name="2076499308" sheetId="8" r:id="rId9"/>
    <sheet name="2096000791" sheetId="9" r:id="rId10"/>
    <sheet name="2021510989" sheetId="10" r:id="rId11"/>
    <sheet name="2094430918" sheetId="11" r:id="rId12"/>
    <sheet name="4000016164" sheetId="12" r:id="rId13"/>
    <sheet name="2020707291" sheetId="13" r:id="rId14"/>
    <sheet name="2021874891" sheetId="14" r:id="rId15"/>
    <sheet name="2021507732" sheetId="15" r:id="rId16"/>
    <sheet name="2083993169" sheetId="16" r:id="rId17"/>
    <sheet name="2002369052" sheetId="17" r:id="rId18"/>
    <sheet name="2024636746" sheetId="21" r:id="rId19"/>
    <sheet name="2095370447" sheetId="32" r:id="rId20"/>
    <sheet name="2020707304" sheetId="31" r:id="rId21"/>
    <sheet name="2094715921" sheetId="28" r:id="rId22"/>
    <sheet name="2020565933" sheetId="30" r:id="rId23"/>
    <sheet name="2020565925" sheetId="29" r:id="rId24"/>
    <sheet name="2023301279" sheetId="27" r:id="rId25"/>
    <sheet name="2096377569" sheetId="25" r:id="rId26"/>
    <sheet name="2021489297" sheetId="33" r:id="rId27"/>
    <sheet name="4000744926" sheetId="34" r:id="rId28"/>
    <sheet name="2095645349" sheetId="35" r:id="rId29"/>
    <sheet name="4000322911" sheetId="36" r:id="rId30"/>
    <sheet name="2023657588" sheetId="37" r:id="rId31"/>
    <sheet name="2081906269" sheetId="38" r:id="rId32"/>
    <sheet name="4001739070" sheetId="39" r:id="rId33"/>
    <sheet name="2022489622" sheetId="40" r:id="rId34"/>
    <sheet name="2027542238" sheetId="42" r:id="rId35"/>
    <sheet name="4000103128" sheetId="43" r:id="rId36"/>
    <sheet name="2021015171" sheetId="45" r:id="rId37"/>
    <sheet name="2089356314" sheetId="46" r:id="rId38"/>
    <sheet name="2092281541" sheetId="44" r:id="rId39"/>
    <sheet name="2020708769" sheetId="47" r:id="rId40"/>
    <sheet name="4000166813" sheetId="48" r:id="rId41"/>
    <sheet name="2023788763" sheetId="49" r:id="rId42"/>
    <sheet name="2023733187" sheetId="50" r:id="rId43"/>
    <sheet name="2021334722" sheetId="51" r:id="rId44"/>
    <sheet name="4001162864" sheetId="52" r:id="rId45"/>
    <sheet name="2022844457" sheetId="53" r:id="rId46"/>
    <sheet name="2091065836" sheetId="54" r:id="rId47"/>
    <sheet name="2021226580" sheetId="55" r:id="rId48"/>
    <sheet name="2091065828" sheetId="56" r:id="rId49"/>
    <sheet name="4001950116" sheetId="22" r:id="rId50"/>
  </sheets>
  <definedNames>
    <definedName name="_xlnm._FilterDatabase" localSheetId="1" hidden="1">Acompanhamento!$A$1:$T$5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9" i="17" l="1"/>
  <c r="F19" i="17"/>
  <c r="H19" i="17"/>
  <c r="G19" i="17"/>
  <c r="P19" i="17"/>
  <c r="F19" i="13"/>
  <c r="H19" i="13"/>
  <c r="G19" i="13"/>
  <c r="P19" i="13"/>
  <c r="F20" i="15"/>
  <c r="H20" i="15"/>
  <c r="P20" i="15"/>
  <c r="B7" i="43"/>
  <c r="O14" i="33"/>
  <c r="F14" i="33"/>
  <c r="H14" i="33"/>
  <c r="F11" i="38"/>
  <c r="P11" i="56"/>
  <c r="Q11" i="56" s="1"/>
  <c r="R11" i="56" s="1"/>
  <c r="S11" i="56" s="1"/>
  <c r="O11" i="56"/>
  <c r="N9" i="56"/>
  <c r="M9" i="56"/>
  <c r="L9" i="56"/>
  <c r="L8" i="56" s="1"/>
  <c r="K9" i="56"/>
  <c r="K8" i="56" s="1"/>
  <c r="J9" i="56"/>
  <c r="I9" i="56"/>
  <c r="H9" i="56"/>
  <c r="H8" i="56" s="1"/>
  <c r="G9" i="56"/>
  <c r="G8" i="56" s="1"/>
  <c r="F9" i="56"/>
  <c r="E9" i="56"/>
  <c r="D9" i="56"/>
  <c r="D8" i="56" s="1"/>
  <c r="C9" i="56"/>
  <c r="C8" i="56" s="1"/>
  <c r="B9" i="56"/>
  <c r="A9" i="56"/>
  <c r="N8" i="56"/>
  <c r="M8" i="56"/>
  <c r="J8" i="56"/>
  <c r="I8" i="56"/>
  <c r="F8" i="56"/>
  <c r="E8" i="56"/>
  <c r="B8" i="56"/>
  <c r="A8" i="56"/>
  <c r="F7" i="56"/>
  <c r="B7" i="56"/>
  <c r="B6" i="56"/>
  <c r="B5" i="56"/>
  <c r="G2" i="56"/>
  <c r="G1" i="56"/>
  <c r="P11" i="55"/>
  <c r="Q11" i="55" s="1"/>
  <c r="R11" i="55" s="1"/>
  <c r="S11" i="55" s="1"/>
  <c r="O11" i="55"/>
  <c r="N9" i="55"/>
  <c r="M9" i="55"/>
  <c r="L9" i="55"/>
  <c r="L8" i="55" s="1"/>
  <c r="K9" i="55"/>
  <c r="K8" i="55" s="1"/>
  <c r="J9" i="55"/>
  <c r="I9" i="55"/>
  <c r="H9" i="55"/>
  <c r="H8" i="55" s="1"/>
  <c r="G9" i="55"/>
  <c r="G8" i="55" s="1"/>
  <c r="F9" i="55"/>
  <c r="E9" i="55"/>
  <c r="D9" i="55"/>
  <c r="D8" i="55" s="1"/>
  <c r="C9" i="55"/>
  <c r="C8" i="55" s="1"/>
  <c r="B9" i="55"/>
  <c r="A9" i="55"/>
  <c r="N8" i="55"/>
  <c r="M8" i="55"/>
  <c r="J8" i="55"/>
  <c r="I8" i="55"/>
  <c r="F8" i="55"/>
  <c r="E8" i="55"/>
  <c r="B8" i="55"/>
  <c r="A8" i="55"/>
  <c r="F7" i="55"/>
  <c r="B7" i="55"/>
  <c r="B6" i="55"/>
  <c r="B5" i="55"/>
  <c r="G2" i="55"/>
  <c r="G1" i="55"/>
  <c r="P11" i="54"/>
  <c r="Q11" i="54" s="1"/>
  <c r="R11" i="54" s="1"/>
  <c r="S11" i="54" s="1"/>
  <c r="O11" i="54"/>
  <c r="N9" i="54"/>
  <c r="M9" i="54"/>
  <c r="L9" i="54"/>
  <c r="L8" i="54" s="1"/>
  <c r="K9" i="54"/>
  <c r="K8" i="54" s="1"/>
  <c r="J9" i="54"/>
  <c r="I9" i="54"/>
  <c r="H9" i="54"/>
  <c r="H8" i="54" s="1"/>
  <c r="G9" i="54"/>
  <c r="G8" i="54" s="1"/>
  <c r="F9" i="54"/>
  <c r="E9" i="54"/>
  <c r="D9" i="54"/>
  <c r="D8" i="54" s="1"/>
  <c r="C9" i="54"/>
  <c r="C8" i="54" s="1"/>
  <c r="B9" i="54"/>
  <c r="A9" i="54"/>
  <c r="N8" i="54"/>
  <c r="M8" i="54"/>
  <c r="J8" i="54"/>
  <c r="I8" i="54"/>
  <c r="F8" i="54"/>
  <c r="E8" i="54"/>
  <c r="B8" i="54"/>
  <c r="A8" i="54"/>
  <c r="F7" i="54"/>
  <c r="B7" i="54"/>
  <c r="B6" i="54"/>
  <c r="B5" i="54"/>
  <c r="G2" i="54"/>
  <c r="G1" i="54"/>
  <c r="P11" i="53"/>
  <c r="Q11" i="53" s="1"/>
  <c r="R11" i="53" s="1"/>
  <c r="S11" i="53" s="1"/>
  <c r="O11" i="53"/>
  <c r="N9" i="53"/>
  <c r="M9" i="53"/>
  <c r="M8" i="53" s="1"/>
  <c r="L9" i="53"/>
  <c r="L8" i="53" s="1"/>
  <c r="K9" i="53"/>
  <c r="J9" i="53"/>
  <c r="I9" i="53"/>
  <c r="I8" i="53" s="1"/>
  <c r="H9" i="53"/>
  <c r="H8" i="53" s="1"/>
  <c r="G9" i="53"/>
  <c r="F9" i="53"/>
  <c r="E9" i="53"/>
  <c r="E8" i="53" s="1"/>
  <c r="D9" i="53"/>
  <c r="D8" i="53" s="1"/>
  <c r="C9" i="53"/>
  <c r="B9" i="53"/>
  <c r="B8" i="53" s="1"/>
  <c r="A9" i="53"/>
  <c r="A8" i="53" s="1"/>
  <c r="N8" i="53"/>
  <c r="K8" i="53"/>
  <c r="J8" i="53"/>
  <c r="G8" i="53"/>
  <c r="F8" i="53"/>
  <c r="C8" i="53"/>
  <c r="F7" i="53"/>
  <c r="B7" i="53"/>
  <c r="B6" i="53"/>
  <c r="B5" i="53"/>
  <c r="G2" i="53"/>
  <c r="G1" i="53"/>
  <c r="P11" i="52"/>
  <c r="Q11" i="52" s="1"/>
  <c r="R11" i="52" s="1"/>
  <c r="S11" i="52" s="1"/>
  <c r="O11" i="52"/>
  <c r="N9" i="52"/>
  <c r="M9" i="52"/>
  <c r="M8" i="52" s="1"/>
  <c r="L9" i="52"/>
  <c r="L8" i="52" s="1"/>
  <c r="K9" i="52"/>
  <c r="J9" i="52"/>
  <c r="I9" i="52"/>
  <c r="I8" i="52" s="1"/>
  <c r="H9" i="52"/>
  <c r="H8" i="52" s="1"/>
  <c r="G9" i="52"/>
  <c r="F9" i="52"/>
  <c r="E9" i="52"/>
  <c r="E8" i="52" s="1"/>
  <c r="D9" i="52"/>
  <c r="D8" i="52" s="1"/>
  <c r="C9" i="52"/>
  <c r="B9" i="52"/>
  <c r="A9" i="52"/>
  <c r="A8" i="52" s="1"/>
  <c r="N8" i="52"/>
  <c r="K8" i="52"/>
  <c r="J8" i="52"/>
  <c r="G8" i="52"/>
  <c r="F8" i="52"/>
  <c r="C8" i="52"/>
  <c r="B8" i="52"/>
  <c r="F7" i="52"/>
  <c r="B7" i="52"/>
  <c r="B6" i="52"/>
  <c r="B5" i="52"/>
  <c r="G2" i="52"/>
  <c r="G1" i="52"/>
  <c r="P11" i="51"/>
  <c r="Q11" i="51" s="1"/>
  <c r="R11" i="51" s="1"/>
  <c r="S11" i="51" s="1"/>
  <c r="O11" i="51"/>
  <c r="N9" i="51"/>
  <c r="M9" i="51"/>
  <c r="M8" i="51" s="1"/>
  <c r="L9" i="51"/>
  <c r="L8" i="51" s="1"/>
  <c r="K9" i="51"/>
  <c r="J9" i="51"/>
  <c r="I9" i="51"/>
  <c r="I8" i="51" s="1"/>
  <c r="H9" i="51"/>
  <c r="H8" i="51" s="1"/>
  <c r="G9" i="51"/>
  <c r="F9" i="51"/>
  <c r="E9" i="51"/>
  <c r="E8" i="51" s="1"/>
  <c r="D9" i="51"/>
  <c r="D8" i="51" s="1"/>
  <c r="C9" i="51"/>
  <c r="C8" i="51" s="1"/>
  <c r="B9" i="51"/>
  <c r="A9" i="51"/>
  <c r="A8" i="51" s="1"/>
  <c r="N8" i="51"/>
  <c r="K8" i="51"/>
  <c r="J8" i="51"/>
  <c r="G8" i="51"/>
  <c r="F8" i="51"/>
  <c r="B8" i="51"/>
  <c r="F7" i="51"/>
  <c r="B7" i="51"/>
  <c r="B6" i="51"/>
  <c r="B5" i="51"/>
  <c r="G2" i="51"/>
  <c r="G1" i="51"/>
  <c r="P11" i="50"/>
  <c r="Q11" i="50" s="1"/>
  <c r="R11" i="50" s="1"/>
  <c r="S11" i="50" s="1"/>
  <c r="O11" i="50"/>
  <c r="N9" i="50"/>
  <c r="M9" i="50"/>
  <c r="L9" i="50"/>
  <c r="L8" i="50" s="1"/>
  <c r="K9" i="50"/>
  <c r="K8" i="50" s="1"/>
  <c r="J9" i="50"/>
  <c r="I9" i="50"/>
  <c r="H9" i="50"/>
  <c r="H8" i="50" s="1"/>
  <c r="G9" i="50"/>
  <c r="G8" i="50" s="1"/>
  <c r="F9" i="50"/>
  <c r="E9" i="50"/>
  <c r="D9" i="50"/>
  <c r="D8" i="50" s="1"/>
  <c r="C9" i="50"/>
  <c r="C8" i="50" s="1"/>
  <c r="B9" i="50"/>
  <c r="A9" i="50"/>
  <c r="N8" i="50"/>
  <c r="M8" i="50"/>
  <c r="J8" i="50"/>
  <c r="I8" i="50"/>
  <c r="F8" i="50"/>
  <c r="E8" i="50"/>
  <c r="B8" i="50"/>
  <c r="A8" i="50"/>
  <c r="F7" i="50"/>
  <c r="B7" i="50"/>
  <c r="B5" i="50"/>
  <c r="B6" i="50" s="1"/>
  <c r="G2" i="50"/>
  <c r="G1" i="50"/>
  <c r="P11" i="49"/>
  <c r="Q11" i="49" s="1"/>
  <c r="R11" i="49" s="1"/>
  <c r="S11" i="49" s="1"/>
  <c r="O11" i="49"/>
  <c r="N9" i="49"/>
  <c r="M9" i="49"/>
  <c r="L9" i="49"/>
  <c r="K9" i="49"/>
  <c r="K8" i="49" s="1"/>
  <c r="J9" i="49"/>
  <c r="J8" i="49" s="1"/>
  <c r="I9" i="49"/>
  <c r="H9" i="49"/>
  <c r="G9" i="49"/>
  <c r="G8" i="49" s="1"/>
  <c r="F9" i="49"/>
  <c r="E9" i="49"/>
  <c r="D9" i="49"/>
  <c r="C9" i="49"/>
  <c r="C8" i="49" s="1"/>
  <c r="B9" i="49"/>
  <c r="B8" i="49" s="1"/>
  <c r="A9" i="49"/>
  <c r="N8" i="49"/>
  <c r="M8" i="49"/>
  <c r="L8" i="49"/>
  <c r="I8" i="49"/>
  <c r="H8" i="49"/>
  <c r="F8" i="49"/>
  <c r="E8" i="49"/>
  <c r="D8" i="49"/>
  <c r="A8" i="49"/>
  <c r="F7" i="49"/>
  <c r="B7" i="49"/>
  <c r="B5" i="49"/>
  <c r="B6" i="49" s="1"/>
  <c r="G2" i="49"/>
  <c r="G1" i="49"/>
  <c r="P11" i="48"/>
  <c r="Q11" i="48" s="1"/>
  <c r="R11" i="48" s="1"/>
  <c r="S11" i="48" s="1"/>
  <c r="O11" i="48"/>
  <c r="N9" i="48"/>
  <c r="M9" i="48"/>
  <c r="L9" i="48"/>
  <c r="L8" i="48" s="1"/>
  <c r="K9" i="48"/>
  <c r="K8" i="48" s="1"/>
  <c r="J9" i="48"/>
  <c r="J8" i="48" s="1"/>
  <c r="I9" i="48"/>
  <c r="H9" i="48"/>
  <c r="H8" i="48" s="1"/>
  <c r="G9" i="48"/>
  <c r="G8" i="48" s="1"/>
  <c r="F9" i="48"/>
  <c r="E9" i="48"/>
  <c r="D9" i="48"/>
  <c r="D8" i="48" s="1"/>
  <c r="C9" i="48"/>
  <c r="C8" i="48" s="1"/>
  <c r="B9" i="48"/>
  <c r="A9" i="48"/>
  <c r="N8" i="48"/>
  <c r="M8" i="48"/>
  <c r="I8" i="48"/>
  <c r="F8" i="48"/>
  <c r="E8" i="48"/>
  <c r="B8" i="48"/>
  <c r="A8" i="48"/>
  <c r="F7" i="48"/>
  <c r="B7" i="48"/>
  <c r="B5" i="48"/>
  <c r="B6" i="48" s="1"/>
  <c r="G2" i="48"/>
  <c r="G1" i="48"/>
  <c r="C59" i="1"/>
  <c r="J58" i="1"/>
  <c r="U58" i="1"/>
  <c r="I57" i="1"/>
  <c r="L61" i="1"/>
  <c r="W44" i="1"/>
  <c r="C54" i="1"/>
  <c r="N39" i="1"/>
  <c r="B42" i="1"/>
  <c r="M42" i="1"/>
  <c r="P38" i="1"/>
  <c r="T59" i="1"/>
  <c r="H58" i="1"/>
  <c r="S57" i="1"/>
  <c r="C61" i="1"/>
  <c r="J44" i="1"/>
  <c r="U44" i="1"/>
  <c r="P54" i="1"/>
  <c r="D39" i="1"/>
  <c r="W42" i="1"/>
  <c r="G38" i="1"/>
  <c r="B59" i="1"/>
  <c r="P58" i="1"/>
  <c r="K61" i="1"/>
  <c r="F54" i="1"/>
  <c r="U39" i="1"/>
  <c r="L38" i="1"/>
  <c r="H59" i="1"/>
  <c r="S58" i="1"/>
  <c r="C57" i="1"/>
  <c r="J61" i="1"/>
  <c r="U61" i="1"/>
  <c r="I44" i="1"/>
  <c r="D54" i="1"/>
  <c r="S39" i="1"/>
  <c r="G42" i="1"/>
  <c r="N38" i="1"/>
  <c r="V59" i="1"/>
  <c r="Q58" i="1"/>
  <c r="H61" i="1"/>
  <c r="I54" i="1"/>
  <c r="L39" i="1"/>
  <c r="S38" i="1"/>
  <c r="W59" i="1"/>
  <c r="G58" i="1"/>
  <c r="N57" i="1"/>
  <c r="B61" i="1"/>
  <c r="M61" i="1"/>
  <c r="P44" i="1"/>
  <c r="W54" i="1"/>
  <c r="G39" i="1"/>
  <c r="V42" i="1"/>
  <c r="F38" i="1"/>
  <c r="Q38" i="1"/>
  <c r="U59" i="1"/>
  <c r="I58" i="1"/>
  <c r="L57" i="1"/>
  <c r="W61" i="1"/>
  <c r="G44" i="1"/>
  <c r="N54" i="1"/>
  <c r="B39" i="1"/>
  <c r="T39" i="1"/>
  <c r="P42" i="1"/>
  <c r="D38" i="1"/>
  <c r="S59" i="1"/>
  <c r="J57" i="1"/>
  <c r="I61" i="1"/>
  <c r="H54" i="1"/>
  <c r="K42" i="1"/>
  <c r="J59" i="1"/>
  <c r="I59" i="1"/>
  <c r="L58" i="1"/>
  <c r="W57" i="1"/>
  <c r="G61" i="1"/>
  <c r="N44" i="1"/>
  <c r="B54" i="1"/>
  <c r="T54" i="1"/>
  <c r="H39" i="1"/>
  <c r="D42" i="1"/>
  <c r="K38" i="1"/>
  <c r="L59" i="1"/>
  <c r="G57" i="1"/>
  <c r="B44" i="1"/>
  <c r="S54" i="1"/>
  <c r="N42" i="1"/>
  <c r="M38" i="1"/>
  <c r="P59" i="1"/>
  <c r="D58" i="1"/>
  <c r="K57" i="1"/>
  <c r="V61" i="1"/>
  <c r="F44" i="1"/>
  <c r="Q44" i="1"/>
  <c r="L54" i="1"/>
  <c r="Q39" i="1"/>
  <c r="S42" i="1"/>
  <c r="C38" i="1"/>
  <c r="G59" i="1"/>
  <c r="N58" i="1"/>
  <c r="B57" i="1"/>
  <c r="M57" i="1"/>
  <c r="P61" i="1"/>
  <c r="D44" i="1"/>
  <c r="G54" i="1"/>
  <c r="V39" i="1"/>
  <c r="F42" i="1"/>
  <c r="Q42" i="1"/>
  <c r="T38" i="1"/>
  <c r="M59" i="1"/>
  <c r="D57" i="1"/>
  <c r="V44" i="1"/>
  <c r="J39" i="1"/>
  <c r="I42" i="1"/>
  <c r="N59" i="1"/>
  <c r="B58" i="1"/>
  <c r="M58" i="1"/>
  <c r="P57" i="1"/>
  <c r="D61" i="1"/>
  <c r="K44" i="1"/>
  <c r="V54" i="1"/>
  <c r="F39" i="1"/>
  <c r="M39" i="1"/>
  <c r="T42" i="1"/>
  <c r="H38" i="1"/>
  <c r="F58" i="1"/>
  <c r="T57" i="1"/>
  <c r="S44" i="1"/>
  <c r="Q54" i="1"/>
  <c r="H42" i="1"/>
  <c r="F59" i="1"/>
  <c r="Q59" i="1"/>
  <c r="T58" i="1"/>
  <c r="H57" i="1"/>
  <c r="S61" i="1"/>
  <c r="C44" i="1"/>
  <c r="J54" i="1"/>
  <c r="U54" i="1"/>
  <c r="P39" i="1"/>
  <c r="L42" i="1"/>
  <c r="W38" i="1"/>
  <c r="D59" i="1"/>
  <c r="K58" i="1"/>
  <c r="V57" i="1"/>
  <c r="F61" i="1"/>
  <c r="Q61" i="1"/>
  <c r="T44" i="1"/>
  <c r="M54" i="1"/>
  <c r="K39" i="1"/>
  <c r="C42" i="1"/>
  <c r="J38" i="1"/>
  <c r="U38" i="1"/>
  <c r="C58" i="1"/>
  <c r="U57" i="1"/>
  <c r="L44" i="1"/>
  <c r="W39" i="1"/>
  <c r="V38" i="1"/>
  <c r="K59" i="1"/>
  <c r="V58" i="1"/>
  <c r="F57" i="1"/>
  <c r="Q57" i="1"/>
  <c r="T61" i="1"/>
  <c r="H44" i="1"/>
  <c r="K54" i="1"/>
  <c r="I39" i="1"/>
  <c r="J42" i="1"/>
  <c r="U42" i="1"/>
  <c r="I38" i="1"/>
  <c r="W58" i="1"/>
  <c r="N61" i="1"/>
  <c r="M44" i="1"/>
  <c r="C39" i="1"/>
  <c r="B38" i="1"/>
  <c r="E59" i="1" l="1"/>
  <c r="O59" i="1" s="1"/>
  <c r="R59" i="1" s="1"/>
  <c r="E58" i="1"/>
  <c r="O58" i="1" s="1"/>
  <c r="R58" i="1" s="1"/>
  <c r="E57" i="1"/>
  <c r="O57" i="1" s="1"/>
  <c r="R57" i="1" s="1"/>
  <c r="E61" i="1"/>
  <c r="O61" i="1" s="1"/>
  <c r="R61" i="1" s="1"/>
  <c r="E44" i="1"/>
  <c r="O44" i="1" s="1"/>
  <c r="R44" i="1" s="1"/>
  <c r="E54" i="1"/>
  <c r="O54" i="1" s="1"/>
  <c r="R54" i="1" s="1"/>
  <c r="E39" i="1"/>
  <c r="O39" i="1" s="1"/>
  <c r="R39" i="1" s="1"/>
  <c r="E42" i="1"/>
  <c r="O42" i="1" s="1"/>
  <c r="R42" i="1" s="1"/>
  <c r="E38" i="1"/>
  <c r="O38" i="1" s="1"/>
  <c r="R38" i="1" s="1"/>
  <c r="P11" i="47"/>
  <c r="Q11" i="47" s="1"/>
  <c r="R11" i="47" s="1"/>
  <c r="S11" i="47" s="1"/>
  <c r="O11" i="47"/>
  <c r="N9" i="47"/>
  <c r="M9" i="47"/>
  <c r="L9" i="47"/>
  <c r="L8" i="47" s="1"/>
  <c r="K9" i="47"/>
  <c r="K8" i="47" s="1"/>
  <c r="J9" i="47"/>
  <c r="I9" i="47"/>
  <c r="H9" i="47"/>
  <c r="H8" i="47" s="1"/>
  <c r="G9" i="47"/>
  <c r="G8" i="47" s="1"/>
  <c r="F9" i="47"/>
  <c r="E9" i="47"/>
  <c r="D9" i="47"/>
  <c r="D8" i="47" s="1"/>
  <c r="C9" i="47"/>
  <c r="C8" i="47" s="1"/>
  <c r="B9" i="47"/>
  <c r="A9" i="47"/>
  <c r="N8" i="47"/>
  <c r="M8" i="47"/>
  <c r="J8" i="47"/>
  <c r="I8" i="47"/>
  <c r="F8" i="47"/>
  <c r="E8" i="47"/>
  <c r="B8" i="47"/>
  <c r="A8" i="47"/>
  <c r="F7" i="47"/>
  <c r="B7" i="47"/>
  <c r="B6" i="47"/>
  <c r="B5" i="47"/>
  <c r="G2" i="47"/>
  <c r="G1" i="47"/>
  <c r="P11" i="46"/>
  <c r="Q11" i="46" s="1"/>
  <c r="R11" i="46" s="1"/>
  <c r="S11" i="46" s="1"/>
  <c r="O11" i="46"/>
  <c r="N9" i="46"/>
  <c r="M9" i="46"/>
  <c r="L9" i="46"/>
  <c r="L8" i="46" s="1"/>
  <c r="K9" i="46"/>
  <c r="K8" i="46" s="1"/>
  <c r="J9" i="46"/>
  <c r="I9" i="46"/>
  <c r="H9" i="46"/>
  <c r="H8" i="46" s="1"/>
  <c r="G9" i="46"/>
  <c r="G8" i="46" s="1"/>
  <c r="F9" i="46"/>
  <c r="E9" i="46"/>
  <c r="D9" i="46"/>
  <c r="D8" i="46" s="1"/>
  <c r="C9" i="46"/>
  <c r="C8" i="46" s="1"/>
  <c r="B9" i="46"/>
  <c r="A9" i="46"/>
  <c r="N8" i="46"/>
  <c r="M8" i="46"/>
  <c r="J8" i="46"/>
  <c r="I8" i="46"/>
  <c r="F8" i="46"/>
  <c r="E8" i="46"/>
  <c r="B8" i="46"/>
  <c r="A8" i="46"/>
  <c r="F7" i="46"/>
  <c r="B7" i="46"/>
  <c r="B6" i="46"/>
  <c r="B5" i="46"/>
  <c r="G2" i="46"/>
  <c r="G1" i="46"/>
  <c r="P11" i="45"/>
  <c r="Q11" i="45" s="1"/>
  <c r="R11" i="45" s="1"/>
  <c r="S11" i="45" s="1"/>
  <c r="O11" i="45"/>
  <c r="N9" i="45"/>
  <c r="M9" i="45"/>
  <c r="L9" i="45"/>
  <c r="L8" i="45" s="1"/>
  <c r="K9" i="45"/>
  <c r="K8" i="45" s="1"/>
  <c r="J9" i="45"/>
  <c r="I9" i="45"/>
  <c r="H9" i="45"/>
  <c r="H8" i="45" s="1"/>
  <c r="G9" i="45"/>
  <c r="G8" i="45" s="1"/>
  <c r="F9" i="45"/>
  <c r="E9" i="45"/>
  <c r="D9" i="45"/>
  <c r="D8" i="45" s="1"/>
  <c r="C9" i="45"/>
  <c r="C8" i="45" s="1"/>
  <c r="B9" i="45"/>
  <c r="A9" i="45"/>
  <c r="N8" i="45"/>
  <c r="M8" i="45"/>
  <c r="J8" i="45"/>
  <c r="I8" i="45"/>
  <c r="F8" i="45"/>
  <c r="E8" i="45"/>
  <c r="B8" i="45"/>
  <c r="A8" i="45"/>
  <c r="F7" i="45"/>
  <c r="B7" i="45"/>
  <c r="B6" i="45"/>
  <c r="B5" i="45"/>
  <c r="G2" i="45"/>
  <c r="G1" i="45"/>
  <c r="P11" i="44"/>
  <c r="Q11" i="44" s="1"/>
  <c r="R11" i="44" s="1"/>
  <c r="S11" i="44" s="1"/>
  <c r="O11" i="44"/>
  <c r="N9" i="44"/>
  <c r="M9" i="44"/>
  <c r="L9" i="44"/>
  <c r="L8" i="44" s="1"/>
  <c r="K9" i="44"/>
  <c r="K8" i="44" s="1"/>
  <c r="J9" i="44"/>
  <c r="I9" i="44"/>
  <c r="H9" i="44"/>
  <c r="H8" i="44" s="1"/>
  <c r="G9" i="44"/>
  <c r="G8" i="44" s="1"/>
  <c r="F9" i="44"/>
  <c r="E9" i="44"/>
  <c r="D9" i="44"/>
  <c r="D8" i="44" s="1"/>
  <c r="C9" i="44"/>
  <c r="C8" i="44" s="1"/>
  <c r="B9" i="44"/>
  <c r="A9" i="44"/>
  <c r="N8" i="44"/>
  <c r="M8" i="44"/>
  <c r="J8" i="44"/>
  <c r="I8" i="44"/>
  <c r="F8" i="44"/>
  <c r="E8" i="44"/>
  <c r="B8" i="44"/>
  <c r="A8" i="44"/>
  <c r="F7" i="44"/>
  <c r="B7" i="44"/>
  <c r="B5" i="44"/>
  <c r="B6" i="44" s="1"/>
  <c r="G2" i="44"/>
  <c r="G1" i="44"/>
  <c r="B7" i="42"/>
  <c r="P11" i="43"/>
  <c r="Q11" i="43" s="1"/>
  <c r="R11" i="43" s="1"/>
  <c r="S11" i="43" s="1"/>
  <c r="O11" i="43"/>
  <c r="N9" i="43"/>
  <c r="M9" i="43"/>
  <c r="L9" i="43"/>
  <c r="L8" i="43" s="1"/>
  <c r="K9" i="43"/>
  <c r="K8" i="43" s="1"/>
  <c r="J9" i="43"/>
  <c r="J8" i="43" s="1"/>
  <c r="I9" i="43"/>
  <c r="H9" i="43"/>
  <c r="H8" i="43" s="1"/>
  <c r="G9" i="43"/>
  <c r="G8" i="43" s="1"/>
  <c r="F9" i="43"/>
  <c r="F8" i="43" s="1"/>
  <c r="E9" i="43"/>
  <c r="E8" i="43" s="1"/>
  <c r="D9" i="43"/>
  <c r="D8" i="43" s="1"/>
  <c r="C9" i="43"/>
  <c r="C8" i="43" s="1"/>
  <c r="B9" i="43"/>
  <c r="A9" i="43"/>
  <c r="N8" i="43"/>
  <c r="M8" i="43"/>
  <c r="I8" i="43"/>
  <c r="B8" i="43"/>
  <c r="A8" i="43"/>
  <c r="F7" i="43"/>
  <c r="B5" i="43"/>
  <c r="G2" i="43"/>
  <c r="G1" i="43"/>
  <c r="P11" i="42"/>
  <c r="Q11" i="42" s="1"/>
  <c r="R11" i="42" s="1"/>
  <c r="S11" i="42" s="1"/>
  <c r="O11" i="42"/>
  <c r="N9" i="42"/>
  <c r="M9" i="42"/>
  <c r="M8" i="42" s="1"/>
  <c r="L9" i="42"/>
  <c r="L8" i="42" s="1"/>
  <c r="K9" i="42"/>
  <c r="J9" i="42"/>
  <c r="I9" i="42"/>
  <c r="I8" i="42" s="1"/>
  <c r="H9" i="42"/>
  <c r="H8" i="42" s="1"/>
  <c r="G9" i="42"/>
  <c r="F9" i="42"/>
  <c r="E9" i="42"/>
  <c r="E8" i="42" s="1"/>
  <c r="D9" i="42"/>
  <c r="D8" i="42" s="1"/>
  <c r="C9" i="42"/>
  <c r="B9" i="42"/>
  <c r="B8" i="42" s="1"/>
  <c r="A9" i="42"/>
  <c r="A8" i="42" s="1"/>
  <c r="N8" i="42"/>
  <c r="K8" i="42"/>
  <c r="J8" i="42"/>
  <c r="G8" i="42"/>
  <c r="F8" i="42"/>
  <c r="C8" i="42"/>
  <c r="F7" i="42"/>
  <c r="B6" i="42"/>
  <c r="B5" i="42"/>
  <c r="G2" i="42"/>
  <c r="G1" i="42"/>
  <c r="T53" i="1"/>
  <c r="V33" i="1"/>
  <c r="S34" i="1"/>
  <c r="C60" i="1"/>
  <c r="P60" i="1"/>
  <c r="B32" i="1"/>
  <c r="D60" i="1"/>
  <c r="F33" i="1"/>
  <c r="F51" i="1"/>
  <c r="D34" i="1"/>
  <c r="W33" i="1"/>
  <c r="N51" i="1"/>
  <c r="J34" i="1"/>
  <c r="Q33" i="1"/>
  <c r="H33" i="1"/>
  <c r="C53" i="1"/>
  <c r="B51" i="1"/>
  <c r="M51" i="1"/>
  <c r="K34" i="1"/>
  <c r="G51" i="1"/>
  <c r="N60" i="1"/>
  <c r="J51" i="1"/>
  <c r="H60" i="1"/>
  <c r="V51" i="1"/>
  <c r="N34" i="1"/>
  <c r="M34" i="1"/>
  <c r="M60" i="1"/>
  <c r="S33" i="1"/>
  <c r="W53" i="1"/>
  <c r="K60" i="1"/>
  <c r="W51" i="1"/>
  <c r="V53" i="1"/>
  <c r="S51" i="1"/>
  <c r="W32" i="1"/>
  <c r="C34" i="1"/>
  <c r="Q51" i="1"/>
  <c r="D51" i="1"/>
  <c r="T51" i="1"/>
  <c r="G60" i="1"/>
  <c r="H51" i="1"/>
  <c r="L53" i="1"/>
  <c r="U34" i="1"/>
  <c r="H53" i="1"/>
  <c r="H34" i="1"/>
  <c r="J33" i="1"/>
  <c r="F53" i="1"/>
  <c r="C33" i="1"/>
  <c r="L60" i="1"/>
  <c r="K53" i="1"/>
  <c r="P53" i="1"/>
  <c r="I53" i="1"/>
  <c r="P34" i="1"/>
  <c r="K33" i="1"/>
  <c r="U60" i="1"/>
  <c r="N53" i="1"/>
  <c r="P32" i="1"/>
  <c r="B34" i="1"/>
  <c r="B60" i="1"/>
  <c r="M33" i="1"/>
  <c r="I60" i="1"/>
  <c r="S53" i="1"/>
  <c r="Q53" i="1"/>
  <c r="T60" i="1"/>
  <c r="I51" i="1"/>
  <c r="U51" i="1"/>
  <c r="G34" i="1"/>
  <c r="V34" i="1"/>
  <c r="G53" i="1"/>
  <c r="N33" i="1"/>
  <c r="F60" i="1"/>
  <c r="W34" i="1"/>
  <c r="P51" i="1"/>
  <c r="I34" i="1"/>
  <c r="L34" i="1"/>
  <c r="K51" i="1"/>
  <c r="V60" i="1"/>
  <c r="C32" i="1"/>
  <c r="D33" i="1"/>
  <c r="U33" i="1"/>
  <c r="J60" i="1"/>
  <c r="J53" i="1"/>
  <c r="Q32" i="1"/>
  <c r="T33" i="1"/>
  <c r="D53" i="1"/>
  <c r="Q60" i="1"/>
  <c r="I33" i="1"/>
  <c r="C51" i="1"/>
  <c r="L51" i="1"/>
  <c r="Q34" i="1"/>
  <c r="T34" i="1"/>
  <c r="P33" i="1"/>
  <c r="F34" i="1"/>
  <c r="S60" i="1"/>
  <c r="D32" i="1"/>
  <c r="L33" i="1"/>
  <c r="B53" i="1"/>
  <c r="U53" i="1"/>
  <c r="M53" i="1"/>
  <c r="B33" i="1"/>
  <c r="G33" i="1"/>
  <c r="E51" i="1" l="1"/>
  <c r="O51" i="1" s="1"/>
  <c r="R51" i="1" s="1"/>
  <c r="E53" i="1"/>
  <c r="O53" i="1" s="1"/>
  <c r="R53" i="1" s="1"/>
  <c r="E34" i="1"/>
  <c r="O34" i="1" s="1"/>
  <c r="R34" i="1" s="1"/>
  <c r="E60" i="1"/>
  <c r="O60" i="1" s="1"/>
  <c r="R60" i="1" s="1"/>
  <c r="E33" i="1"/>
  <c r="O33" i="1" s="1"/>
  <c r="R33" i="1" s="1"/>
  <c r="B6" i="43"/>
  <c r="E32" i="1"/>
  <c r="W60" i="1"/>
  <c r="O19" i="2" l="1"/>
  <c r="O20" i="2"/>
  <c r="O18" i="2"/>
  <c r="F20" i="2"/>
  <c r="H20" i="2"/>
  <c r="O13" i="33"/>
  <c r="H13" i="33"/>
  <c r="F13" i="33" s="1"/>
  <c r="G13" i="33"/>
  <c r="O12" i="33"/>
  <c r="F12" i="33"/>
  <c r="H12" i="33"/>
  <c r="O12" i="37" l="1"/>
  <c r="F12" i="37"/>
  <c r="H12" i="37"/>
  <c r="O12" i="31"/>
  <c r="O12" i="32"/>
  <c r="G3" i="32"/>
  <c r="P31" i="23" l="1"/>
  <c r="P30" i="23" l="1"/>
  <c r="P29" i="23" l="1"/>
  <c r="P27" i="23" l="1"/>
  <c r="P28" i="23"/>
  <c r="P26" i="23" l="1"/>
  <c r="P19" i="15" l="1"/>
  <c r="Q19" i="15" s="1"/>
  <c r="R19" i="15" s="1"/>
  <c r="S19" i="15" s="1"/>
  <c r="P22" i="23" l="1"/>
  <c r="P23" i="23"/>
  <c r="P24" i="23"/>
  <c r="P25" i="23"/>
  <c r="P17" i="23"/>
  <c r="P18" i="23"/>
  <c r="P19" i="23"/>
  <c r="P20" i="23"/>
  <c r="P21" i="23"/>
  <c r="P13" i="27" l="1"/>
  <c r="Q13" i="27" s="1"/>
  <c r="R13" i="27" s="1"/>
  <c r="S13" i="27" s="1"/>
  <c r="P12" i="28" l="1"/>
  <c r="Q12" i="28" s="1"/>
  <c r="R12" i="28" s="1"/>
  <c r="S12" i="28" s="1"/>
  <c r="P19" i="16"/>
  <c r="P19" i="2"/>
  <c r="H19" i="16" l="1"/>
  <c r="F19" i="16" s="1"/>
  <c r="H12" i="34"/>
  <c r="F12" i="34" s="1"/>
  <c r="C35" i="1"/>
  <c r="H13" i="27" l="1"/>
  <c r="F13" i="27" s="1"/>
  <c r="H20" i="7"/>
  <c r="F20" i="7" s="1"/>
  <c r="P20" i="7"/>
  <c r="Q20" i="7" s="1"/>
  <c r="R20" i="7" s="1"/>
  <c r="S20" i="7" s="1"/>
  <c r="F11" i="40" l="1"/>
  <c r="P11" i="40"/>
  <c r="Q11" i="40" s="1"/>
  <c r="R11" i="40" s="1"/>
  <c r="S11" i="40" s="1"/>
  <c r="N9" i="40"/>
  <c r="N8" i="40" s="1"/>
  <c r="M9" i="40"/>
  <c r="M8" i="40" s="1"/>
  <c r="L9" i="40"/>
  <c r="L8" i="40" s="1"/>
  <c r="K9" i="40"/>
  <c r="K8" i="40" s="1"/>
  <c r="J9" i="40"/>
  <c r="J8" i="40" s="1"/>
  <c r="I9" i="40"/>
  <c r="I8" i="40" s="1"/>
  <c r="G9" i="40"/>
  <c r="G8" i="40" s="1"/>
  <c r="E9" i="40"/>
  <c r="E8" i="40" s="1"/>
  <c r="D9" i="40"/>
  <c r="D8" i="40" s="1"/>
  <c r="C9" i="40"/>
  <c r="C8" i="40" s="1"/>
  <c r="B9" i="40"/>
  <c r="B8" i="40" s="1"/>
  <c r="A9" i="40"/>
  <c r="A8" i="40" s="1"/>
  <c r="B7" i="40"/>
  <c r="G2" i="40"/>
  <c r="G1" i="40"/>
  <c r="T32" i="1"/>
  <c r="L32" i="1"/>
  <c r="J32" i="1"/>
  <c r="S32" i="1"/>
  <c r="M32" i="1"/>
  <c r="U32" i="1"/>
  <c r="H32" i="1"/>
  <c r="N32" i="1"/>
  <c r="I32" i="1"/>
  <c r="F32" i="1"/>
  <c r="V32" i="1"/>
  <c r="G32" i="1"/>
  <c r="O32" i="1" l="1"/>
  <c r="R32" i="1" s="1"/>
  <c r="H9" i="40"/>
  <c r="H8" i="40" s="1"/>
  <c r="B5" i="40"/>
  <c r="B6" i="40" s="1"/>
  <c r="F9" i="40"/>
  <c r="F8" i="40" s="1"/>
  <c r="F7" i="40"/>
  <c r="N9" i="39"/>
  <c r="M9" i="39"/>
  <c r="L9" i="39"/>
  <c r="L8" i="39" s="1"/>
  <c r="K9" i="39"/>
  <c r="K8" i="39" s="1"/>
  <c r="J9" i="39"/>
  <c r="I9" i="39"/>
  <c r="H9" i="39"/>
  <c r="H8" i="39" s="1"/>
  <c r="G9" i="39"/>
  <c r="G8" i="39" s="1"/>
  <c r="F9" i="39"/>
  <c r="E9" i="39"/>
  <c r="D9" i="39"/>
  <c r="D8" i="39" s="1"/>
  <c r="C9" i="39"/>
  <c r="C8" i="39" s="1"/>
  <c r="B9" i="39"/>
  <c r="A9" i="39"/>
  <c r="N8" i="39"/>
  <c r="M8" i="39"/>
  <c r="J8" i="39"/>
  <c r="I8" i="39"/>
  <c r="F8" i="39"/>
  <c r="E8" i="39"/>
  <c r="B8" i="39"/>
  <c r="A8" i="39"/>
  <c r="F7" i="39"/>
  <c r="B7" i="39"/>
  <c r="B6" i="39" s="1"/>
  <c r="B5" i="39"/>
  <c r="J1" i="39"/>
  <c r="N9" i="38"/>
  <c r="N8" i="38" s="1"/>
  <c r="M9" i="38"/>
  <c r="M8" i="38" s="1"/>
  <c r="L9" i="38"/>
  <c r="L8" i="38" s="1"/>
  <c r="K9" i="38"/>
  <c r="K8" i="38" s="1"/>
  <c r="J9" i="38"/>
  <c r="J8" i="38" s="1"/>
  <c r="I9" i="38"/>
  <c r="I8" i="38" s="1"/>
  <c r="H9" i="38"/>
  <c r="H8" i="38" s="1"/>
  <c r="G9" i="38"/>
  <c r="G8" i="38" s="1"/>
  <c r="F9" i="38"/>
  <c r="F8" i="38" s="1"/>
  <c r="E9" i="38"/>
  <c r="E8" i="38" s="1"/>
  <c r="D9" i="38"/>
  <c r="D8" i="38" s="1"/>
  <c r="C9" i="38"/>
  <c r="C8" i="38" s="1"/>
  <c r="B9" i="38"/>
  <c r="B8" i="38" s="1"/>
  <c r="A9" i="38"/>
  <c r="A8" i="38" s="1"/>
  <c r="F7" i="38"/>
  <c r="B7" i="38"/>
  <c r="B5" i="38"/>
  <c r="J1" i="38"/>
  <c r="O11" i="37"/>
  <c r="N9" i="37"/>
  <c r="N8" i="37" s="1"/>
  <c r="M9" i="37"/>
  <c r="M8" i="37" s="1"/>
  <c r="L9" i="37"/>
  <c r="L8" i="37" s="1"/>
  <c r="K9" i="37"/>
  <c r="K8" i="37" s="1"/>
  <c r="J9" i="37"/>
  <c r="J8" i="37" s="1"/>
  <c r="I9" i="37"/>
  <c r="I8" i="37" s="1"/>
  <c r="H9" i="37"/>
  <c r="H8" i="37" s="1"/>
  <c r="G9" i="37"/>
  <c r="G8" i="37" s="1"/>
  <c r="F9" i="37"/>
  <c r="F8" i="37" s="1"/>
  <c r="E9" i="37"/>
  <c r="E8" i="37" s="1"/>
  <c r="D9" i="37"/>
  <c r="D8" i="37" s="1"/>
  <c r="C9" i="37"/>
  <c r="C8" i="37" s="1"/>
  <c r="B9" i="37"/>
  <c r="A9" i="37"/>
  <c r="A8" i="37" s="1"/>
  <c r="B8" i="37"/>
  <c r="F7" i="37"/>
  <c r="B7" i="37"/>
  <c r="B5" i="37"/>
  <c r="J1" i="37"/>
  <c r="B7" i="36"/>
  <c r="O11" i="36"/>
  <c r="N9" i="36"/>
  <c r="N8" i="36" s="1"/>
  <c r="M9" i="36"/>
  <c r="M8" i="36" s="1"/>
  <c r="L9" i="36"/>
  <c r="L8" i="36" s="1"/>
  <c r="K9" i="36"/>
  <c r="J9" i="36"/>
  <c r="I9" i="36"/>
  <c r="I8" i="36" s="1"/>
  <c r="H9" i="36"/>
  <c r="H8" i="36" s="1"/>
  <c r="G9" i="36"/>
  <c r="G8" i="36" s="1"/>
  <c r="F9" i="36"/>
  <c r="E9" i="36"/>
  <c r="E8" i="36" s="1"/>
  <c r="D9" i="36"/>
  <c r="D8" i="36" s="1"/>
  <c r="C9" i="36"/>
  <c r="C8" i="36" s="1"/>
  <c r="B9" i="36"/>
  <c r="B8" i="36" s="1"/>
  <c r="A9" i="36"/>
  <c r="A8" i="36" s="1"/>
  <c r="K8" i="36"/>
  <c r="J8" i="36"/>
  <c r="F8" i="36"/>
  <c r="F7" i="36"/>
  <c r="B6" i="36"/>
  <c r="B5" i="36"/>
  <c r="J1" i="36"/>
  <c r="O11" i="35"/>
  <c r="N9" i="35"/>
  <c r="N8" i="35" s="1"/>
  <c r="M9" i="35"/>
  <c r="L9" i="35"/>
  <c r="L8" i="35" s="1"/>
  <c r="K9" i="35"/>
  <c r="K8" i="35" s="1"/>
  <c r="J9" i="35"/>
  <c r="J8" i="35" s="1"/>
  <c r="I9" i="35"/>
  <c r="H9" i="35"/>
  <c r="H8" i="35" s="1"/>
  <c r="G9" i="35"/>
  <c r="G8" i="35" s="1"/>
  <c r="F9" i="35"/>
  <c r="F8" i="35" s="1"/>
  <c r="E9" i="35"/>
  <c r="D9" i="35"/>
  <c r="D8" i="35" s="1"/>
  <c r="C9" i="35"/>
  <c r="C8" i="35" s="1"/>
  <c r="B9" i="35"/>
  <c r="B8" i="35" s="1"/>
  <c r="A9" i="35"/>
  <c r="M8" i="35"/>
  <c r="I8" i="35"/>
  <c r="E8" i="35"/>
  <c r="A8" i="35"/>
  <c r="F7" i="35"/>
  <c r="B7" i="35"/>
  <c r="B5" i="35"/>
  <c r="B6" i="35" s="1"/>
  <c r="J1" i="35"/>
  <c r="P20" i="9"/>
  <c r="Q20" i="9" s="1"/>
  <c r="R20" i="9" s="1"/>
  <c r="S20" i="9" s="1"/>
  <c r="H20" i="5"/>
  <c r="F20" i="5" s="1"/>
  <c r="P20" i="5"/>
  <c r="H17" i="21"/>
  <c r="G17" i="21"/>
  <c r="F17" i="21" s="1"/>
  <c r="K20" i="22"/>
  <c r="O13" i="25"/>
  <c r="H13" i="25"/>
  <c r="F13" i="25" s="1"/>
  <c r="B7" i="34"/>
  <c r="N9" i="34"/>
  <c r="N8" i="34" s="1"/>
  <c r="M9" i="34"/>
  <c r="M8" i="34" s="1"/>
  <c r="L9" i="34"/>
  <c r="L8" i="34" s="1"/>
  <c r="K9" i="34"/>
  <c r="K8" i="34" s="1"/>
  <c r="J9" i="34"/>
  <c r="J8" i="34" s="1"/>
  <c r="I9" i="34"/>
  <c r="H9" i="34"/>
  <c r="H8" i="34" s="1"/>
  <c r="G9" i="34"/>
  <c r="G8" i="34" s="1"/>
  <c r="F9" i="34"/>
  <c r="F8" i="34" s="1"/>
  <c r="E9" i="34"/>
  <c r="E8" i="34" s="1"/>
  <c r="D9" i="34"/>
  <c r="D8" i="34" s="1"/>
  <c r="C9" i="34"/>
  <c r="C8" i="34" s="1"/>
  <c r="B9" i="34"/>
  <c r="A9" i="34"/>
  <c r="A8" i="34" s="1"/>
  <c r="I8" i="34"/>
  <c r="B8" i="34"/>
  <c r="F7" i="34"/>
  <c r="B5" i="34"/>
  <c r="J1" i="34"/>
  <c r="O20" i="6"/>
  <c r="H20" i="6"/>
  <c r="G20" i="6"/>
  <c r="F20" i="6" s="1"/>
  <c r="P20" i="6"/>
  <c r="B7" i="4"/>
  <c r="O20" i="4"/>
  <c r="H20" i="4"/>
  <c r="F20" i="4" s="1"/>
  <c r="P20" i="4"/>
  <c r="O12" i="11"/>
  <c r="O13" i="11"/>
  <c r="O15" i="11"/>
  <c r="O16" i="11"/>
  <c r="O17" i="11"/>
  <c r="O18" i="11"/>
  <c r="H19" i="11"/>
  <c r="F19" i="11" s="1"/>
  <c r="O11" i="33"/>
  <c r="O11" i="29"/>
  <c r="O11" i="30"/>
  <c r="O11" i="31"/>
  <c r="O11" i="32"/>
  <c r="O18" i="14"/>
  <c r="O19" i="10"/>
  <c r="O19" i="9"/>
  <c r="L25" i="1"/>
  <c r="H23" i="1"/>
  <c r="S24" i="1"/>
  <c r="N47" i="1"/>
  <c r="C47" i="1"/>
  <c r="G25" i="1"/>
  <c r="J27" i="1"/>
  <c r="J25" i="1"/>
  <c r="M25" i="1"/>
  <c r="J47" i="1"/>
  <c r="Q24" i="1"/>
  <c r="N35" i="1"/>
  <c r="U23" i="1"/>
  <c r="M27" i="1"/>
  <c r="I35" i="1"/>
  <c r="S47" i="1"/>
  <c r="G35" i="1"/>
  <c r="I24" i="1"/>
  <c r="V35" i="1"/>
  <c r="P47" i="1"/>
  <c r="N27" i="1"/>
  <c r="L23" i="1"/>
  <c r="K47" i="1"/>
  <c r="T47" i="1"/>
  <c r="T25" i="1"/>
  <c r="C27" i="1"/>
  <c r="B27" i="1"/>
  <c r="L24" i="1"/>
  <c r="D47" i="1"/>
  <c r="P24" i="1"/>
  <c r="S25" i="1"/>
  <c r="M23" i="1"/>
  <c r="L27" i="1"/>
  <c r="Q35" i="1"/>
  <c r="H27" i="1"/>
  <c r="S23" i="1"/>
  <c r="D27" i="1"/>
  <c r="U27" i="1"/>
  <c r="B24" i="1"/>
  <c r="G24" i="1"/>
  <c r="W27" i="1"/>
  <c r="K35" i="1"/>
  <c r="K24" i="1"/>
  <c r="V25" i="1"/>
  <c r="F23" i="1"/>
  <c r="T27" i="1"/>
  <c r="Q23" i="1"/>
  <c r="M35" i="1"/>
  <c r="P25" i="1"/>
  <c r="V23" i="1"/>
  <c r="B47" i="1"/>
  <c r="N23" i="1"/>
  <c r="U47" i="1"/>
  <c r="F47" i="1"/>
  <c r="G47" i="1"/>
  <c r="H35" i="1"/>
  <c r="N25" i="1"/>
  <c r="I47" i="1"/>
  <c r="G23" i="1"/>
  <c r="H47" i="1"/>
  <c r="H25" i="1"/>
  <c r="D24" i="1"/>
  <c r="J35" i="1"/>
  <c r="S27" i="1"/>
  <c r="M24" i="1"/>
  <c r="C24" i="1"/>
  <c r="G27" i="1"/>
  <c r="P35" i="1"/>
  <c r="F27" i="1"/>
  <c r="U35" i="1"/>
  <c r="W25" i="1"/>
  <c r="F35" i="1"/>
  <c r="L35" i="1"/>
  <c r="U24" i="1"/>
  <c r="C23" i="1"/>
  <c r="T35" i="1"/>
  <c r="V24" i="1"/>
  <c r="T23" i="1"/>
  <c r="N24" i="1"/>
  <c r="K23" i="1"/>
  <c r="M47" i="1"/>
  <c r="B35" i="1"/>
  <c r="K25" i="1"/>
  <c r="K27" i="1"/>
  <c r="P23" i="1"/>
  <c r="Q27" i="1"/>
  <c r="T24" i="1"/>
  <c r="L47" i="1"/>
  <c r="K32" i="1"/>
  <c r="I25" i="1"/>
  <c r="C25" i="1"/>
  <c r="J23" i="1"/>
  <c r="V47" i="1"/>
  <c r="D23" i="1"/>
  <c r="J24" i="1"/>
  <c r="B23" i="1"/>
  <c r="B25" i="1"/>
  <c r="I27" i="1"/>
  <c r="D35" i="1"/>
  <c r="H24" i="1"/>
  <c r="W23" i="1"/>
  <c r="P27" i="1"/>
  <c r="D25" i="1"/>
  <c r="S35" i="1"/>
  <c r="U25" i="1"/>
  <c r="F25" i="1"/>
  <c r="Q47" i="1"/>
  <c r="Q25" i="1"/>
  <c r="V27" i="1"/>
  <c r="F24" i="1"/>
  <c r="I23" i="1"/>
  <c r="B6" i="38" l="1"/>
  <c r="B6" i="37"/>
  <c r="O11" i="40"/>
  <c r="O19" i="16"/>
  <c r="O12" i="34"/>
  <c r="O20" i="7"/>
  <c r="O13" i="27"/>
  <c r="B6" i="34"/>
  <c r="O11" i="38"/>
  <c r="O17" i="21"/>
  <c r="O20" i="22"/>
  <c r="O11" i="39"/>
  <c r="E24" i="1"/>
  <c r="O24" i="1" s="1"/>
  <c r="R24" i="1" s="1"/>
  <c r="E25" i="1"/>
  <c r="O25" i="1" s="1"/>
  <c r="R25" i="1" s="1"/>
  <c r="E23" i="1"/>
  <c r="O23" i="1" s="1"/>
  <c r="R23" i="1" s="1"/>
  <c r="E47" i="1"/>
  <c r="O47" i="1" s="1"/>
  <c r="R47" i="1" s="1"/>
  <c r="E27" i="1"/>
  <c r="O27" i="1" s="1"/>
  <c r="R27" i="1" s="1"/>
  <c r="E35" i="1"/>
  <c r="O35" i="1" s="1"/>
  <c r="R35" i="1" s="1"/>
  <c r="I3" i="14"/>
  <c r="F19" i="14"/>
  <c r="H19" i="14"/>
  <c r="G19" i="14"/>
  <c r="P19" i="14"/>
  <c r="Q19" i="14" s="1"/>
  <c r="R19" i="14" s="1"/>
  <c r="S19" i="14" s="1"/>
  <c r="F18" i="8"/>
  <c r="H18" i="8"/>
  <c r="G6" i="15"/>
  <c r="H19" i="15"/>
  <c r="F19" i="15" s="1"/>
  <c r="H20" i="10"/>
  <c r="F20" i="10" s="1"/>
  <c r="P20" i="10"/>
  <c r="Q20" i="10" s="1"/>
  <c r="R20" i="10" s="1"/>
  <c r="S20" i="10" s="1"/>
  <c r="J3" i="2"/>
  <c r="H19" i="2"/>
  <c r="F19" i="2" s="1"/>
  <c r="G19" i="2"/>
  <c r="N9" i="33"/>
  <c r="M9" i="33"/>
  <c r="M8" i="33" s="1"/>
  <c r="L9" i="33"/>
  <c r="K9" i="33"/>
  <c r="K8" i="33" s="1"/>
  <c r="J9" i="33"/>
  <c r="I9" i="33"/>
  <c r="I8" i="33" s="1"/>
  <c r="H9" i="33"/>
  <c r="H8" i="33" s="1"/>
  <c r="G9" i="33"/>
  <c r="G8" i="33" s="1"/>
  <c r="E9" i="33"/>
  <c r="E8" i="33" s="1"/>
  <c r="D9" i="33"/>
  <c r="D8" i="33" s="1"/>
  <c r="C9" i="33"/>
  <c r="C8" i="33" s="1"/>
  <c r="B9" i="33"/>
  <c r="B8" i="33" s="1"/>
  <c r="A9" i="33"/>
  <c r="A8" i="33" s="1"/>
  <c r="N8" i="33"/>
  <c r="L8" i="33"/>
  <c r="J8" i="33"/>
  <c r="B7" i="33"/>
  <c r="J1" i="33"/>
  <c r="L56" i="1"/>
  <c r="I56" i="1"/>
  <c r="W47" i="1"/>
  <c r="D56" i="1"/>
  <c r="C56" i="1"/>
  <c r="F56" i="1"/>
  <c r="S56" i="1"/>
  <c r="N56" i="1"/>
  <c r="H56" i="1"/>
  <c r="W35" i="1"/>
  <c r="U56" i="1"/>
  <c r="B56" i="1"/>
  <c r="T56" i="1"/>
  <c r="V56" i="1"/>
  <c r="J56" i="1"/>
  <c r="W24" i="1"/>
  <c r="M56" i="1"/>
  <c r="G56" i="1"/>
  <c r="E56" i="1" l="1"/>
  <c r="O56" i="1" s="1"/>
  <c r="B5" i="33"/>
  <c r="F7" i="33"/>
  <c r="F9" i="33"/>
  <c r="F8" i="33" s="1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H12" i="32"/>
  <c r="F12" i="32" s="1"/>
  <c r="R11" i="32"/>
  <c r="S11" i="32" s="1"/>
  <c r="N9" i="32"/>
  <c r="N8" i="32" s="1"/>
  <c r="M9" i="32"/>
  <c r="M8" i="32" s="1"/>
  <c r="L9" i="32"/>
  <c r="L8" i="32" s="1"/>
  <c r="K9" i="32"/>
  <c r="K8" i="32" s="1"/>
  <c r="J9" i="32"/>
  <c r="J8" i="32" s="1"/>
  <c r="I9" i="32"/>
  <c r="I8" i="32" s="1"/>
  <c r="G9" i="32"/>
  <c r="G8" i="32" s="1"/>
  <c r="E9" i="32"/>
  <c r="E8" i="32" s="1"/>
  <c r="D9" i="32"/>
  <c r="D8" i="32" s="1"/>
  <c r="C9" i="32"/>
  <c r="C8" i="32" s="1"/>
  <c r="B9" i="32"/>
  <c r="B8" i="32" s="1"/>
  <c r="A9" i="32"/>
  <c r="A8" i="32" s="1"/>
  <c r="B7" i="32"/>
  <c r="G2" i="32"/>
  <c r="G1" i="32"/>
  <c r="H12" i="31"/>
  <c r="F12" i="31" s="1"/>
  <c r="P11" i="31"/>
  <c r="Q11" i="31" s="1"/>
  <c r="R11" i="31" s="1"/>
  <c r="S11" i="31" s="1"/>
  <c r="N9" i="31"/>
  <c r="N8" i="31" s="1"/>
  <c r="M9" i="31"/>
  <c r="M8" i="31" s="1"/>
  <c r="L9" i="31"/>
  <c r="K9" i="31"/>
  <c r="J9" i="31"/>
  <c r="J8" i="31" s="1"/>
  <c r="I9" i="31"/>
  <c r="I8" i="31" s="1"/>
  <c r="H9" i="31"/>
  <c r="H8" i="31" s="1"/>
  <c r="G9" i="31"/>
  <c r="G8" i="31" s="1"/>
  <c r="E9" i="31"/>
  <c r="E8" i="31" s="1"/>
  <c r="D9" i="31"/>
  <c r="D8" i="31" s="1"/>
  <c r="C9" i="31"/>
  <c r="C8" i="31" s="1"/>
  <c r="B9" i="31"/>
  <c r="B8" i="31" s="1"/>
  <c r="A9" i="31"/>
  <c r="A8" i="31" s="1"/>
  <c r="L8" i="31"/>
  <c r="K8" i="31"/>
  <c r="B7" i="31"/>
  <c r="G2" i="31"/>
  <c r="G1" i="31"/>
  <c r="N49" i="1"/>
  <c r="J50" i="1"/>
  <c r="C50" i="1"/>
  <c r="B50" i="1"/>
  <c r="P56" i="1"/>
  <c r="K56" i="1"/>
  <c r="F50" i="1"/>
  <c r="L49" i="1"/>
  <c r="C49" i="1"/>
  <c r="D49" i="1"/>
  <c r="D46" i="1"/>
  <c r="J49" i="1"/>
  <c r="L50" i="1"/>
  <c r="G49" i="1"/>
  <c r="T50" i="1"/>
  <c r="S49" i="1"/>
  <c r="U49" i="1"/>
  <c r="V50" i="1"/>
  <c r="B46" i="1"/>
  <c r="D40" i="1"/>
  <c r="C45" i="1"/>
  <c r="M50" i="1"/>
  <c r="Q56" i="1"/>
  <c r="U50" i="1"/>
  <c r="I50" i="1"/>
  <c r="D50" i="1"/>
  <c r="C46" i="1"/>
  <c r="C40" i="1"/>
  <c r="I49" i="1"/>
  <c r="B45" i="1"/>
  <c r="F49" i="1"/>
  <c r="S50" i="1"/>
  <c r="B40" i="1"/>
  <c r="H50" i="1"/>
  <c r="G50" i="1"/>
  <c r="M49" i="1"/>
  <c r="N50" i="1"/>
  <c r="T49" i="1"/>
  <c r="H49" i="1"/>
  <c r="V49" i="1"/>
  <c r="D45" i="1"/>
  <c r="B49" i="1"/>
  <c r="H9" i="32" l="1"/>
  <c r="H8" i="32" s="1"/>
  <c r="S3" i="23"/>
  <c r="T4" i="23"/>
  <c r="T3" i="23"/>
  <c r="T2" i="23"/>
  <c r="S2" i="23"/>
  <c r="B6" i="33"/>
  <c r="S4" i="23"/>
  <c r="R56" i="1"/>
  <c r="E40" i="1"/>
  <c r="E50" i="1"/>
  <c r="O50" i="1" s="1"/>
  <c r="E49" i="1"/>
  <c r="O49" i="1" s="1"/>
  <c r="E46" i="1"/>
  <c r="E45" i="1"/>
  <c r="F9" i="32"/>
  <c r="F8" i="32" s="1"/>
  <c r="B5" i="32"/>
  <c r="F7" i="32"/>
  <c r="B5" i="31"/>
  <c r="F7" i="31"/>
  <c r="F9" i="31"/>
  <c r="F8" i="31" s="1"/>
  <c r="N9" i="30"/>
  <c r="N8" i="30" s="1"/>
  <c r="M9" i="30"/>
  <c r="M8" i="30" s="1"/>
  <c r="L9" i="30"/>
  <c r="L8" i="30" s="1"/>
  <c r="K9" i="30"/>
  <c r="K8" i="30" s="1"/>
  <c r="J9" i="30"/>
  <c r="J8" i="30" s="1"/>
  <c r="I9" i="30"/>
  <c r="I8" i="30" s="1"/>
  <c r="G9" i="30"/>
  <c r="G8" i="30" s="1"/>
  <c r="E9" i="30"/>
  <c r="E8" i="30" s="1"/>
  <c r="D9" i="30"/>
  <c r="D8" i="30" s="1"/>
  <c r="C9" i="30"/>
  <c r="C8" i="30" s="1"/>
  <c r="B9" i="30"/>
  <c r="B8" i="30" s="1"/>
  <c r="A9" i="30"/>
  <c r="A8" i="30" s="1"/>
  <c r="B7" i="30"/>
  <c r="G2" i="30"/>
  <c r="G1" i="30"/>
  <c r="P11" i="29"/>
  <c r="Q11" i="29" s="1"/>
  <c r="R11" i="29" s="1"/>
  <c r="S11" i="29" s="1"/>
  <c r="N9" i="29"/>
  <c r="N8" i="29" s="1"/>
  <c r="M9" i="29"/>
  <c r="M8" i="29" s="1"/>
  <c r="L9" i="29"/>
  <c r="L8" i="29" s="1"/>
  <c r="K9" i="29"/>
  <c r="K8" i="29" s="1"/>
  <c r="J9" i="29"/>
  <c r="J8" i="29" s="1"/>
  <c r="I9" i="29"/>
  <c r="I8" i="29" s="1"/>
  <c r="H9" i="29"/>
  <c r="H8" i="29" s="1"/>
  <c r="G9" i="29"/>
  <c r="G8" i="29" s="1"/>
  <c r="E9" i="29"/>
  <c r="E8" i="29" s="1"/>
  <c r="D9" i="29"/>
  <c r="D8" i="29" s="1"/>
  <c r="C9" i="29"/>
  <c r="C8" i="29" s="1"/>
  <c r="B9" i="29"/>
  <c r="B8" i="29" s="1"/>
  <c r="A9" i="29"/>
  <c r="A8" i="29" s="1"/>
  <c r="B7" i="29"/>
  <c r="G2" i="29"/>
  <c r="G1" i="29"/>
  <c r="K49" i="1"/>
  <c r="M45" i="1"/>
  <c r="N45" i="1"/>
  <c r="U45" i="1"/>
  <c r="H46" i="1"/>
  <c r="H45" i="1"/>
  <c r="Q50" i="1"/>
  <c r="F45" i="1"/>
  <c r="V45" i="1"/>
  <c r="L46" i="1"/>
  <c r="W56" i="1"/>
  <c r="Q49" i="1"/>
  <c r="P50" i="1"/>
  <c r="U46" i="1"/>
  <c r="T46" i="1"/>
  <c r="V46" i="1"/>
  <c r="M46" i="1"/>
  <c r="L45" i="1"/>
  <c r="I46" i="1"/>
  <c r="J46" i="1"/>
  <c r="P49" i="1"/>
  <c r="G46" i="1"/>
  <c r="K50" i="1"/>
  <c r="F46" i="1"/>
  <c r="G45" i="1"/>
  <c r="J45" i="1"/>
  <c r="S45" i="1"/>
  <c r="T45" i="1"/>
  <c r="S46" i="1"/>
  <c r="N46" i="1"/>
  <c r="I45" i="1"/>
  <c r="H9" i="30" l="1"/>
  <c r="H8" i="30" s="1"/>
  <c r="B6" i="32"/>
  <c r="R49" i="1"/>
  <c r="R50" i="1"/>
  <c r="B6" i="31"/>
  <c r="O46" i="1"/>
  <c r="O45" i="1"/>
  <c r="B5" i="30"/>
  <c r="F9" i="30"/>
  <c r="F8" i="30" s="1"/>
  <c r="F7" i="30"/>
  <c r="B5" i="29"/>
  <c r="F7" i="29"/>
  <c r="F9" i="29"/>
  <c r="F8" i="29" s="1"/>
  <c r="P11" i="28"/>
  <c r="Q11" i="28" s="1"/>
  <c r="R11" i="28"/>
  <c r="S11" i="28"/>
  <c r="H12" i="28"/>
  <c r="F12" i="28" s="1"/>
  <c r="B5" i="28" s="1"/>
  <c r="N9" i="28"/>
  <c r="N8" i="28" s="1"/>
  <c r="M9" i="28"/>
  <c r="M8" i="28" s="1"/>
  <c r="L9" i="28"/>
  <c r="L8" i="28" s="1"/>
  <c r="K9" i="28"/>
  <c r="K8" i="28" s="1"/>
  <c r="J9" i="28"/>
  <c r="J8" i="28" s="1"/>
  <c r="I9" i="28"/>
  <c r="I8" i="28" s="1"/>
  <c r="G9" i="28"/>
  <c r="G8" i="28" s="1"/>
  <c r="E9" i="28"/>
  <c r="E8" i="28" s="1"/>
  <c r="D9" i="28"/>
  <c r="C9" i="28"/>
  <c r="B9" i="28"/>
  <c r="B8" i="28" s="1"/>
  <c r="A9" i="28"/>
  <c r="A8" i="28" s="1"/>
  <c r="D8" i="28"/>
  <c r="C8" i="28"/>
  <c r="B7" i="28"/>
  <c r="G2" i="28"/>
  <c r="G1" i="28"/>
  <c r="M18" i="17"/>
  <c r="K2" i="17"/>
  <c r="H18" i="17"/>
  <c r="G18" i="17"/>
  <c r="F18" i="17" s="1"/>
  <c r="P18" i="17"/>
  <c r="M18" i="13"/>
  <c r="P18" i="13"/>
  <c r="J2" i="13"/>
  <c r="F18" i="13"/>
  <c r="H18" i="13"/>
  <c r="P12" i="27"/>
  <c r="Q12" i="27"/>
  <c r="R12" i="27"/>
  <c r="S12" i="27" s="1"/>
  <c r="P11" i="27"/>
  <c r="H12" i="27"/>
  <c r="P18" i="16"/>
  <c r="P18" i="15"/>
  <c r="Q18" i="15" s="1"/>
  <c r="R18" i="15" s="1"/>
  <c r="S18" i="15" s="1"/>
  <c r="P18" i="14"/>
  <c r="Q18" i="14"/>
  <c r="R18" i="14"/>
  <c r="S18" i="14" s="1"/>
  <c r="P18" i="12"/>
  <c r="P19" i="10"/>
  <c r="Q19" i="10" s="1"/>
  <c r="R19" i="10" s="1"/>
  <c r="S19" i="10" s="1"/>
  <c r="P19" i="9"/>
  <c r="Q19" i="9"/>
  <c r="R19" i="9" s="1"/>
  <c r="S19" i="9" s="1"/>
  <c r="P19" i="7"/>
  <c r="Q19" i="7" s="1"/>
  <c r="R19" i="7" s="1"/>
  <c r="S19" i="7" s="1"/>
  <c r="P18" i="2"/>
  <c r="A9" i="27"/>
  <c r="A8" i="27" s="1"/>
  <c r="B9" i="27"/>
  <c r="B8" i="27" s="1"/>
  <c r="C9" i="27"/>
  <c r="C8" i="27" s="1"/>
  <c r="D9" i="27"/>
  <c r="D8" i="27" s="1"/>
  <c r="E9" i="27"/>
  <c r="E8" i="27" s="1"/>
  <c r="H11" i="27"/>
  <c r="F11" i="27"/>
  <c r="G9" i="27"/>
  <c r="G8" i="27"/>
  <c r="I9" i="27"/>
  <c r="I8" i="27" s="1"/>
  <c r="J9" i="27"/>
  <c r="J8" i="27"/>
  <c r="K9" i="27"/>
  <c r="K8" i="27" s="1"/>
  <c r="N9" i="27"/>
  <c r="N8" i="27" s="1"/>
  <c r="B7" i="27"/>
  <c r="G1" i="27"/>
  <c r="G2" i="27"/>
  <c r="K3" i="7"/>
  <c r="H19" i="7"/>
  <c r="F19" i="7" s="1"/>
  <c r="J3" i="12"/>
  <c r="H18" i="12"/>
  <c r="F18" i="12" s="1"/>
  <c r="J2" i="16"/>
  <c r="H18" i="16"/>
  <c r="F18" i="16"/>
  <c r="J1" i="25"/>
  <c r="H12" i="25"/>
  <c r="F12" i="25"/>
  <c r="G5" i="21"/>
  <c r="H16" i="21"/>
  <c r="F16" i="21" s="1"/>
  <c r="F11" i="5"/>
  <c r="H12" i="5"/>
  <c r="F12" i="5" s="1"/>
  <c r="H14" i="5"/>
  <c r="F14" i="5" s="1"/>
  <c r="G14" i="5"/>
  <c r="H15" i="5"/>
  <c r="F15" i="5" s="1"/>
  <c r="F9" i="5" s="1"/>
  <c r="F8" i="5" s="1"/>
  <c r="H16" i="5"/>
  <c r="F16" i="5" s="1"/>
  <c r="H17" i="5"/>
  <c r="F17" i="5" s="1"/>
  <c r="H18" i="5"/>
  <c r="F18" i="5"/>
  <c r="H19" i="5"/>
  <c r="F19" i="5" s="1"/>
  <c r="P19" i="5"/>
  <c r="I3" i="6"/>
  <c r="H19" i="6"/>
  <c r="F19" i="6" s="1"/>
  <c r="P19" i="6"/>
  <c r="J3" i="4"/>
  <c r="H19" i="4"/>
  <c r="F19" i="4" s="1"/>
  <c r="P19" i="4"/>
  <c r="J8" i="26"/>
  <c r="I8" i="26"/>
  <c r="E21" i="26"/>
  <c r="E23" i="26" s="1"/>
  <c r="F2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C30" i="26"/>
  <c r="H19" i="9"/>
  <c r="F19" i="9"/>
  <c r="K19" i="22"/>
  <c r="J2" i="2"/>
  <c r="H18" i="2"/>
  <c r="F18" i="2"/>
  <c r="I2" i="14"/>
  <c r="G18" i="14"/>
  <c r="H18" i="14"/>
  <c r="F18" i="14"/>
  <c r="G5" i="15"/>
  <c r="H18" i="15"/>
  <c r="F18" i="15"/>
  <c r="H19" i="10"/>
  <c r="F19" i="10" s="1"/>
  <c r="F4" i="10"/>
  <c r="H18" i="11"/>
  <c r="F18" i="11" s="1"/>
  <c r="J1" i="11"/>
  <c r="R3" i="8"/>
  <c r="R4" i="8"/>
  <c r="R5" i="8"/>
  <c r="R6" i="8"/>
  <c r="R7" i="8"/>
  <c r="R8" i="8"/>
  <c r="R2" i="8"/>
  <c r="G17" i="8"/>
  <c r="H17" i="8"/>
  <c r="G16" i="8"/>
  <c r="H16" i="8"/>
  <c r="P18" i="7"/>
  <c r="Q18" i="7" s="1"/>
  <c r="R18" i="7" s="1"/>
  <c r="S18" i="7" s="1"/>
  <c r="P17" i="16"/>
  <c r="P17" i="13"/>
  <c r="W17" i="13" s="1"/>
  <c r="X17" i="13" s="1"/>
  <c r="P17" i="12"/>
  <c r="M17" i="17"/>
  <c r="P17" i="17"/>
  <c r="S17" i="17" s="1"/>
  <c r="T17" i="17" s="1"/>
  <c r="K1" i="17"/>
  <c r="G17" i="17"/>
  <c r="H17" i="17"/>
  <c r="J1" i="16"/>
  <c r="H17" i="16"/>
  <c r="F17" i="16" s="1"/>
  <c r="J1" i="13"/>
  <c r="G17" i="13"/>
  <c r="F17" i="13" s="1"/>
  <c r="H17" i="13"/>
  <c r="J2" i="12"/>
  <c r="H17" i="12"/>
  <c r="F17" i="12"/>
  <c r="K2" i="7"/>
  <c r="H18" i="7"/>
  <c r="F18" i="7"/>
  <c r="P15" i="21"/>
  <c r="Q15" i="21" s="1"/>
  <c r="R15" i="21" s="1"/>
  <c r="S15" i="21" s="1"/>
  <c r="P17" i="15"/>
  <c r="Q17" i="15"/>
  <c r="R17" i="15" s="1"/>
  <c r="S17" i="15" s="1"/>
  <c r="P17" i="14"/>
  <c r="Q17" i="14" s="1"/>
  <c r="R17" i="14" s="1"/>
  <c r="S17" i="14" s="1"/>
  <c r="P18" i="10"/>
  <c r="Q18" i="10"/>
  <c r="R18" i="10" s="1"/>
  <c r="S18" i="10" s="1"/>
  <c r="P18" i="9"/>
  <c r="Q18" i="9" s="1"/>
  <c r="R18" i="9" s="1"/>
  <c r="S18" i="9" s="1"/>
  <c r="P17" i="2"/>
  <c r="G4" i="21"/>
  <c r="H15" i="21"/>
  <c r="F15" i="21" s="1"/>
  <c r="P18" i="5"/>
  <c r="I2" i="6"/>
  <c r="G18" i="6"/>
  <c r="H18" i="6"/>
  <c r="P18" i="6"/>
  <c r="H18" i="4"/>
  <c r="F18" i="4"/>
  <c r="J2" i="4"/>
  <c r="P18" i="4"/>
  <c r="N9" i="25"/>
  <c r="N8" i="25" s="1"/>
  <c r="M9" i="25"/>
  <c r="M8" i="25" s="1"/>
  <c r="L9" i="25"/>
  <c r="K9" i="25"/>
  <c r="J9" i="25"/>
  <c r="J8" i="25" s="1"/>
  <c r="I9" i="25"/>
  <c r="I8" i="25" s="1"/>
  <c r="H9" i="25"/>
  <c r="G9" i="25"/>
  <c r="G8" i="25" s="1"/>
  <c r="E9" i="25"/>
  <c r="E8" i="25" s="1"/>
  <c r="D9" i="25"/>
  <c r="D8" i="25" s="1"/>
  <c r="C9" i="25"/>
  <c r="C8" i="25" s="1"/>
  <c r="B9" i="25"/>
  <c r="B8" i="25" s="1"/>
  <c r="A9" i="25"/>
  <c r="A8" i="25" s="1"/>
  <c r="L8" i="25"/>
  <c r="K8" i="25"/>
  <c r="H8" i="25"/>
  <c r="B7" i="25"/>
  <c r="P18" i="22"/>
  <c r="H18" i="9"/>
  <c r="F18" i="9"/>
  <c r="G6" i="11"/>
  <c r="H17" i="11"/>
  <c r="F17" i="11" s="1"/>
  <c r="G17" i="11"/>
  <c r="I1" i="14"/>
  <c r="G17" i="14"/>
  <c r="F17" i="14" s="1"/>
  <c r="H17" i="14"/>
  <c r="H17" i="15"/>
  <c r="F17" i="15" s="1"/>
  <c r="G4" i="15"/>
  <c r="H18" i="10"/>
  <c r="F18" i="10" s="1"/>
  <c r="J1" i="2"/>
  <c r="H17" i="2"/>
  <c r="F17" i="2" s="1"/>
  <c r="H16" i="13"/>
  <c r="F16" i="13" s="1"/>
  <c r="M16" i="13"/>
  <c r="P16" i="13"/>
  <c r="W16" i="13" s="1"/>
  <c r="X16" i="13" s="1"/>
  <c r="P13" i="12"/>
  <c r="P14" i="12"/>
  <c r="P15" i="12"/>
  <c r="P16" i="12"/>
  <c r="P12" i="12"/>
  <c r="F11" i="17"/>
  <c r="G12" i="17"/>
  <c r="F12" i="17" s="1"/>
  <c r="H12" i="17"/>
  <c r="G13" i="17"/>
  <c r="H13" i="17"/>
  <c r="G14" i="17"/>
  <c r="H14" i="17"/>
  <c r="G15" i="17"/>
  <c r="H15" i="17"/>
  <c r="F15" i="17" s="1"/>
  <c r="G16" i="17"/>
  <c r="H16" i="17"/>
  <c r="F16" i="17"/>
  <c r="P16" i="17"/>
  <c r="H6" i="17"/>
  <c r="P16" i="16"/>
  <c r="P17" i="7"/>
  <c r="Q17" i="7" s="1"/>
  <c r="R17" i="7" s="1"/>
  <c r="S17" i="7" s="1"/>
  <c r="G6" i="16"/>
  <c r="G5" i="16"/>
  <c r="H16" i="16"/>
  <c r="F16" i="16" s="1"/>
  <c r="H17" i="7"/>
  <c r="F17" i="7"/>
  <c r="K1" i="7"/>
  <c r="H16" i="12"/>
  <c r="F16" i="12" s="1"/>
  <c r="J1" i="12"/>
  <c r="P16" i="15"/>
  <c r="Q16" i="15" s="1"/>
  <c r="R16" i="15" s="1"/>
  <c r="S16" i="15" s="1"/>
  <c r="P16" i="14"/>
  <c r="Q16" i="14" s="1"/>
  <c r="R16" i="14" s="1"/>
  <c r="S16" i="14" s="1"/>
  <c r="P17" i="10"/>
  <c r="Q17" i="10" s="1"/>
  <c r="R17" i="10" s="1"/>
  <c r="S17" i="10" s="1"/>
  <c r="P17" i="4"/>
  <c r="Q17" i="4" s="1"/>
  <c r="R17" i="4"/>
  <c r="S17" i="4" s="1"/>
  <c r="P16" i="2"/>
  <c r="K2" i="5"/>
  <c r="K3" i="5"/>
  <c r="P17" i="5"/>
  <c r="H12" i="21"/>
  <c r="F12" i="21" s="1"/>
  <c r="H13" i="21"/>
  <c r="F13" i="21"/>
  <c r="H14" i="21"/>
  <c r="F14" i="21" s="1"/>
  <c r="G3" i="21"/>
  <c r="I1" i="6"/>
  <c r="H17" i="6"/>
  <c r="F17" i="6" s="1"/>
  <c r="P17" i="6"/>
  <c r="H17" i="4"/>
  <c r="F17" i="4" s="1"/>
  <c r="J1" i="4"/>
  <c r="I6" i="9"/>
  <c r="H17" i="9"/>
  <c r="F17" i="9" s="1"/>
  <c r="P17" i="9"/>
  <c r="Q17" i="9"/>
  <c r="R17" i="9" s="1"/>
  <c r="S17" i="9" s="1"/>
  <c r="H16" i="15"/>
  <c r="F16" i="15" s="1"/>
  <c r="G15" i="8"/>
  <c r="H15" i="8"/>
  <c r="F15" i="8" s="1"/>
  <c r="E5" i="14"/>
  <c r="F5" i="14" s="1"/>
  <c r="G16" i="14"/>
  <c r="H16" i="14"/>
  <c r="F16" i="14" s="1"/>
  <c r="G5" i="11"/>
  <c r="G16" i="11"/>
  <c r="H16" i="11"/>
  <c r="H17" i="10"/>
  <c r="F17" i="10" s="1"/>
  <c r="G6" i="2"/>
  <c r="H16" i="2"/>
  <c r="F16" i="2" s="1"/>
  <c r="F11" i="14"/>
  <c r="H12" i="14"/>
  <c r="F12" i="14" s="1"/>
  <c r="B5" i="14" s="1"/>
  <c r="G13" i="14"/>
  <c r="H13" i="14"/>
  <c r="F13" i="14"/>
  <c r="H14" i="14"/>
  <c r="F14" i="14" s="1"/>
  <c r="H15" i="14"/>
  <c r="F15" i="14" s="1"/>
  <c r="P12" i="21"/>
  <c r="Q12" i="21" s="1"/>
  <c r="P11" i="21"/>
  <c r="Q11" i="21" s="1"/>
  <c r="P15" i="13"/>
  <c r="S15" i="13" s="1"/>
  <c r="T15" i="13" s="1"/>
  <c r="M15" i="17"/>
  <c r="P15" i="17"/>
  <c r="W15" i="17" s="1"/>
  <c r="X15" i="17" s="1"/>
  <c r="P14" i="13"/>
  <c r="W14" i="13" s="1"/>
  <c r="G5" i="13"/>
  <c r="G15" i="13"/>
  <c r="H15" i="13"/>
  <c r="H5" i="17"/>
  <c r="W15" i="13"/>
  <c r="X15" i="13" s="1"/>
  <c r="P16" i="7"/>
  <c r="Q16" i="7"/>
  <c r="R16" i="7" s="1"/>
  <c r="S16" i="7" s="1"/>
  <c r="P15" i="16"/>
  <c r="H15" i="16"/>
  <c r="F15" i="16" s="1"/>
  <c r="H16" i="7"/>
  <c r="F16" i="7" s="1"/>
  <c r="F5" i="7"/>
  <c r="G2" i="21"/>
  <c r="H2" i="5"/>
  <c r="F6" i="4"/>
  <c r="I5" i="9"/>
  <c r="G6" i="12"/>
  <c r="H15" i="12"/>
  <c r="F15" i="12" s="1"/>
  <c r="P13" i="15"/>
  <c r="Q13" i="15" s="1"/>
  <c r="R13" i="15" s="1"/>
  <c r="S13" i="15" s="1"/>
  <c r="P14" i="15"/>
  <c r="Q14" i="15"/>
  <c r="R14" i="15" s="1"/>
  <c r="S14" i="15" s="1"/>
  <c r="P15" i="15"/>
  <c r="Q15" i="15" s="1"/>
  <c r="R15" i="15" s="1"/>
  <c r="S15" i="15" s="1"/>
  <c r="P16" i="6"/>
  <c r="Q16" i="6"/>
  <c r="R16" i="6" s="1"/>
  <c r="S16" i="6" s="1"/>
  <c r="P16" i="5"/>
  <c r="Q16" i="5" s="1"/>
  <c r="R16" i="5" s="1"/>
  <c r="S16" i="5" s="1"/>
  <c r="P16" i="9"/>
  <c r="Q16" i="9"/>
  <c r="R16" i="9" s="1"/>
  <c r="S16" i="9" s="1"/>
  <c r="P16" i="4"/>
  <c r="Q16" i="4" s="1"/>
  <c r="R16" i="4" s="1"/>
  <c r="S16" i="4" s="1"/>
  <c r="H16" i="9"/>
  <c r="F16" i="9"/>
  <c r="H16" i="4"/>
  <c r="F16" i="4" s="1"/>
  <c r="F6" i="6"/>
  <c r="H16" i="6"/>
  <c r="F16" i="6" s="1"/>
  <c r="P15" i="14"/>
  <c r="Q15" i="14"/>
  <c r="R15" i="14" s="1"/>
  <c r="S15" i="14" s="1"/>
  <c r="X14" i="13"/>
  <c r="S14" i="13"/>
  <c r="T14" i="13" s="1"/>
  <c r="Y14" i="13" s="1"/>
  <c r="Z14" i="13" s="1"/>
  <c r="P13" i="10"/>
  <c r="Q13" i="10" s="1"/>
  <c r="R13" i="10" s="1"/>
  <c r="S13" i="10" s="1"/>
  <c r="P14" i="10"/>
  <c r="Q14" i="10"/>
  <c r="R14" i="10"/>
  <c r="S14" i="10" s="1"/>
  <c r="P15" i="10"/>
  <c r="Q15" i="10"/>
  <c r="R15" i="10" s="1"/>
  <c r="S15" i="10" s="1"/>
  <c r="P16" i="10"/>
  <c r="Q16" i="10"/>
  <c r="R16" i="10" s="1"/>
  <c r="S16" i="10" s="1"/>
  <c r="P12" i="6"/>
  <c r="Q12" i="6"/>
  <c r="R12" i="6"/>
  <c r="S12" i="6" s="1"/>
  <c r="P13" i="6"/>
  <c r="Q13" i="6"/>
  <c r="R13" i="6"/>
  <c r="S13" i="6" s="1"/>
  <c r="P14" i="6"/>
  <c r="Q14" i="6" s="1"/>
  <c r="R14" i="6" s="1"/>
  <c r="S14" i="6" s="1"/>
  <c r="P15" i="6"/>
  <c r="Q15" i="6"/>
  <c r="R15" i="6" s="1"/>
  <c r="S15" i="6" s="1"/>
  <c r="P11" i="6"/>
  <c r="Q11" i="6"/>
  <c r="R11" i="6"/>
  <c r="S11" i="6" s="1"/>
  <c r="P12" i="4"/>
  <c r="Q12" i="4" s="1"/>
  <c r="R12" i="4" s="1"/>
  <c r="S12" i="4" s="1"/>
  <c r="P13" i="4"/>
  <c r="Q13" i="4"/>
  <c r="R13" i="4" s="1"/>
  <c r="S13" i="4" s="1"/>
  <c r="P14" i="4"/>
  <c r="Q14" i="4"/>
  <c r="R14" i="4"/>
  <c r="S14" i="4" s="1"/>
  <c r="P15" i="4"/>
  <c r="Q15" i="4" s="1"/>
  <c r="R15" i="4" s="1"/>
  <c r="S15" i="4" s="1"/>
  <c r="P15" i="2"/>
  <c r="B7" i="21"/>
  <c r="B7" i="17"/>
  <c r="B7" i="16"/>
  <c r="B7" i="15"/>
  <c r="B7" i="14"/>
  <c r="B7" i="13"/>
  <c r="B7" i="12"/>
  <c r="B7" i="11"/>
  <c r="B7" i="10"/>
  <c r="B7" i="7"/>
  <c r="B7" i="5"/>
  <c r="G14" i="8"/>
  <c r="F14" i="8" s="1"/>
  <c r="H14" i="8"/>
  <c r="G4" i="11"/>
  <c r="G15" i="11"/>
  <c r="H15" i="11"/>
  <c r="F4" i="14"/>
  <c r="H15" i="15"/>
  <c r="F15" i="15" s="1"/>
  <c r="G3" i="15"/>
  <c r="H16" i="10"/>
  <c r="F16" i="10" s="1"/>
  <c r="B7" i="2"/>
  <c r="H15" i="2"/>
  <c r="F15" i="2"/>
  <c r="G5" i="2"/>
  <c r="G4" i="13"/>
  <c r="G14" i="13"/>
  <c r="H14" i="13"/>
  <c r="F14" i="13" s="1"/>
  <c r="C4" i="6"/>
  <c r="B7" i="9"/>
  <c r="B7" i="8"/>
  <c r="B7" i="6"/>
  <c r="H4" i="17"/>
  <c r="P12" i="17"/>
  <c r="Q12" i="17"/>
  <c r="R12" i="17" s="1"/>
  <c r="S12" i="17" s="1"/>
  <c r="P13" i="17"/>
  <c r="Q13" i="17"/>
  <c r="R13" i="17"/>
  <c r="S13" i="17" s="1"/>
  <c r="P12" i="5"/>
  <c r="Q12" i="5" s="1"/>
  <c r="R12" i="5" s="1"/>
  <c r="S12" i="5" s="1"/>
  <c r="P13" i="5"/>
  <c r="Q13" i="5"/>
  <c r="R13" i="5" s="1"/>
  <c r="S13" i="5" s="1"/>
  <c r="P14" i="5"/>
  <c r="Q14" i="5"/>
  <c r="R14" i="5"/>
  <c r="S14" i="5" s="1"/>
  <c r="P15" i="5"/>
  <c r="Q15" i="5" s="1"/>
  <c r="R15" i="5" s="1"/>
  <c r="S15" i="5" s="1"/>
  <c r="P11" i="5"/>
  <c r="Q11" i="5" s="1"/>
  <c r="R11" i="5" s="1"/>
  <c r="S11" i="5" s="1"/>
  <c r="P13" i="7"/>
  <c r="Q13" i="7" s="1"/>
  <c r="R13" i="7" s="1"/>
  <c r="S13" i="7" s="1"/>
  <c r="P14" i="7"/>
  <c r="Q14" i="7" s="1"/>
  <c r="R14" i="7" s="1"/>
  <c r="S14" i="7" s="1"/>
  <c r="P15" i="7"/>
  <c r="Q15" i="7" s="1"/>
  <c r="R15" i="7" s="1"/>
  <c r="S15" i="7" s="1"/>
  <c r="P12" i="7"/>
  <c r="Q12" i="7" s="1"/>
  <c r="R12" i="7" s="1"/>
  <c r="S12" i="7" s="1"/>
  <c r="P13" i="9"/>
  <c r="Q13" i="9" s="1"/>
  <c r="R13" i="9" s="1"/>
  <c r="S13" i="9" s="1"/>
  <c r="P14" i="9"/>
  <c r="Q14" i="9" s="1"/>
  <c r="R14" i="9" s="1"/>
  <c r="S14" i="9" s="1"/>
  <c r="P15" i="9"/>
  <c r="Q15" i="9" s="1"/>
  <c r="R15" i="9" s="1"/>
  <c r="S15" i="9" s="1"/>
  <c r="P12" i="14"/>
  <c r="Q12" i="14" s="1"/>
  <c r="R12" i="14" s="1"/>
  <c r="S12" i="14" s="1"/>
  <c r="P13" i="14"/>
  <c r="Q13" i="14" s="1"/>
  <c r="R13" i="14" s="1"/>
  <c r="S13" i="14" s="1"/>
  <c r="P14" i="14"/>
  <c r="Q14" i="14" s="1"/>
  <c r="R14" i="14" s="1"/>
  <c r="S14" i="14" s="1"/>
  <c r="P11" i="14"/>
  <c r="Q11" i="14" s="1"/>
  <c r="R11" i="14" s="1"/>
  <c r="S11" i="14" s="1"/>
  <c r="P12" i="13"/>
  <c r="Q12" i="13" s="1"/>
  <c r="R12" i="13" s="1"/>
  <c r="S12" i="13" s="1"/>
  <c r="P13" i="13"/>
  <c r="Q13" i="13" s="1"/>
  <c r="R13" i="13" s="1"/>
  <c r="S13" i="13" s="1"/>
  <c r="P11" i="13"/>
  <c r="Q11" i="13" s="1"/>
  <c r="R11" i="13" s="1"/>
  <c r="S11" i="13" s="1"/>
  <c r="P14" i="16"/>
  <c r="G4" i="16"/>
  <c r="H14" i="16"/>
  <c r="F14" i="16"/>
  <c r="F4" i="7"/>
  <c r="H15" i="7"/>
  <c r="F15" i="7"/>
  <c r="G1" i="21"/>
  <c r="G5" i="12"/>
  <c r="H14" i="12"/>
  <c r="F14" i="12"/>
  <c r="Q14" i="11"/>
  <c r="Q13" i="11"/>
  <c r="F5" i="6"/>
  <c r="H15" i="6"/>
  <c r="F15" i="6"/>
  <c r="F4" i="5"/>
  <c r="F5" i="4"/>
  <c r="H15" i="4"/>
  <c r="F15" i="4"/>
  <c r="G6" i="9"/>
  <c r="G5" i="9"/>
  <c r="G4" i="9"/>
  <c r="H15" i="9"/>
  <c r="F15" i="9" s="1"/>
  <c r="K4" i="15"/>
  <c r="F3" i="14"/>
  <c r="G13" i="4"/>
  <c r="F13" i="4" s="1"/>
  <c r="G3" i="11"/>
  <c r="H14" i="11"/>
  <c r="F14" i="11"/>
  <c r="G2" i="15"/>
  <c r="H15" i="10"/>
  <c r="F15" i="10"/>
  <c r="H14" i="15"/>
  <c r="F14" i="15" s="1"/>
  <c r="F9" i="15" s="1"/>
  <c r="F8" i="15" s="1"/>
  <c r="P14" i="2"/>
  <c r="G4" i="2"/>
  <c r="H14" i="2"/>
  <c r="H9" i="2" s="1"/>
  <c r="H8" i="2" s="1"/>
  <c r="T4" i="1"/>
  <c r="G3" i="13"/>
  <c r="H13" i="13"/>
  <c r="F13" i="13" s="1"/>
  <c r="G12" i="13"/>
  <c r="P13" i="16"/>
  <c r="H3" i="17"/>
  <c r="P13" i="2"/>
  <c r="D5" i="9"/>
  <c r="G3" i="16"/>
  <c r="H12" i="16"/>
  <c r="F12" i="16" s="1"/>
  <c r="F9" i="16" s="1"/>
  <c r="F8" i="16" s="1"/>
  <c r="H13" i="16"/>
  <c r="F13" i="16"/>
  <c r="F3" i="7"/>
  <c r="H14" i="7"/>
  <c r="F14" i="7" s="1"/>
  <c r="G4" i="12"/>
  <c r="H13" i="12"/>
  <c r="F13" i="12"/>
  <c r="F9" i="12" s="1"/>
  <c r="F8" i="12" s="1"/>
  <c r="H14" i="4"/>
  <c r="F4" i="4"/>
  <c r="F4" i="6"/>
  <c r="H14" i="6"/>
  <c r="F14" i="6" s="1"/>
  <c r="G14" i="6"/>
  <c r="D6" i="9"/>
  <c r="H14" i="9"/>
  <c r="F14" i="9" s="1"/>
  <c r="K1" i="5"/>
  <c r="K14" i="22"/>
  <c r="O14" i="11" s="1"/>
  <c r="H13" i="8"/>
  <c r="G13" i="8"/>
  <c r="F2" i="14"/>
  <c r="N9" i="22"/>
  <c r="N8" i="22" s="1"/>
  <c r="M9" i="22"/>
  <c r="M8" i="22"/>
  <c r="L9" i="22"/>
  <c r="L8" i="22" s="1"/>
  <c r="J9" i="22"/>
  <c r="J8" i="22" s="1"/>
  <c r="I9" i="22"/>
  <c r="I8" i="22" s="1"/>
  <c r="H9" i="22"/>
  <c r="H8" i="22" s="1"/>
  <c r="G9" i="22"/>
  <c r="G8" i="22" s="1"/>
  <c r="F9" i="22"/>
  <c r="F8" i="22" s="1"/>
  <c r="E9" i="22"/>
  <c r="E8" i="22"/>
  <c r="D9" i="22"/>
  <c r="D8" i="22" s="1"/>
  <c r="C9" i="22"/>
  <c r="C8" i="22" s="1"/>
  <c r="B9" i="22"/>
  <c r="B8" i="22" s="1"/>
  <c r="A9" i="22"/>
  <c r="A8" i="22" s="1"/>
  <c r="F7" i="22"/>
  <c r="G2" i="11"/>
  <c r="F13" i="11"/>
  <c r="F12" i="11"/>
  <c r="G1" i="15"/>
  <c r="H13" i="15"/>
  <c r="F13" i="15"/>
  <c r="F3" i="10"/>
  <c r="H14" i="10"/>
  <c r="F14" i="10" s="1"/>
  <c r="P7" i="5"/>
  <c r="O7" i="5"/>
  <c r="H13" i="2"/>
  <c r="F13" i="2" s="1"/>
  <c r="G12" i="2"/>
  <c r="G3" i="2"/>
  <c r="P12" i="11"/>
  <c r="P13" i="11" s="1"/>
  <c r="P14" i="11" s="1"/>
  <c r="P15" i="11" s="1"/>
  <c r="F11" i="2"/>
  <c r="P12" i="16"/>
  <c r="P12" i="2"/>
  <c r="G2" i="13"/>
  <c r="H12" i="13"/>
  <c r="F12" i="13" s="1"/>
  <c r="H2" i="17"/>
  <c r="N9" i="21"/>
  <c r="N8" i="21" s="1"/>
  <c r="M9" i="21"/>
  <c r="M8" i="21" s="1"/>
  <c r="L9" i="21"/>
  <c r="L8" i="21" s="1"/>
  <c r="K9" i="21"/>
  <c r="K8" i="21" s="1"/>
  <c r="J9" i="21"/>
  <c r="J8" i="21" s="1"/>
  <c r="I9" i="21"/>
  <c r="I8" i="21" s="1"/>
  <c r="H9" i="21"/>
  <c r="H8" i="21" s="1"/>
  <c r="G9" i="21"/>
  <c r="G8" i="21" s="1"/>
  <c r="E9" i="21"/>
  <c r="E8" i="21" s="1"/>
  <c r="D9" i="21"/>
  <c r="D8" i="21"/>
  <c r="C9" i="21"/>
  <c r="C8" i="21" s="1"/>
  <c r="B9" i="21"/>
  <c r="B8" i="21"/>
  <c r="A9" i="21"/>
  <c r="A8" i="21" s="1"/>
  <c r="G2" i="16"/>
  <c r="G13" i="7"/>
  <c r="G9" i="7" s="1"/>
  <c r="G8" i="7" s="1"/>
  <c r="G3" i="12"/>
  <c r="G13" i="6"/>
  <c r="F3" i="6"/>
  <c r="I1" i="5"/>
  <c r="F3" i="5"/>
  <c r="F3" i="4"/>
  <c r="G1" i="4"/>
  <c r="G13" i="9"/>
  <c r="N9" i="17"/>
  <c r="N8" i="17" s="1"/>
  <c r="K9" i="17"/>
  <c r="K8" i="17" s="1"/>
  <c r="N9" i="16"/>
  <c r="N8" i="16" s="1"/>
  <c r="M9" i="16"/>
  <c r="M8" i="16" s="1"/>
  <c r="L9" i="16"/>
  <c r="L8" i="16" s="1"/>
  <c r="K9" i="16"/>
  <c r="K8" i="16" s="1"/>
  <c r="N9" i="15"/>
  <c r="N8" i="15" s="1"/>
  <c r="M9" i="15"/>
  <c r="M8" i="15" s="1"/>
  <c r="L9" i="15"/>
  <c r="L8" i="15" s="1"/>
  <c r="K9" i="15"/>
  <c r="K8" i="15"/>
  <c r="N9" i="14"/>
  <c r="N8" i="14" s="1"/>
  <c r="N9" i="13"/>
  <c r="N8" i="13" s="1"/>
  <c r="N9" i="12"/>
  <c r="N8" i="12" s="1"/>
  <c r="M9" i="12"/>
  <c r="M8" i="12" s="1"/>
  <c r="L9" i="12"/>
  <c r="L8" i="12"/>
  <c r="K9" i="12"/>
  <c r="K8" i="12" s="1"/>
  <c r="N9" i="11"/>
  <c r="N8" i="11" s="1"/>
  <c r="N9" i="10"/>
  <c r="N8" i="10"/>
  <c r="M9" i="10"/>
  <c r="M8" i="10" s="1"/>
  <c r="L9" i="10"/>
  <c r="L8" i="10"/>
  <c r="K9" i="10"/>
  <c r="K8" i="10" s="1"/>
  <c r="N9" i="9"/>
  <c r="N8" i="9" s="1"/>
  <c r="M9" i="9"/>
  <c r="M8" i="9" s="1"/>
  <c r="L9" i="9"/>
  <c r="L8" i="9" s="1"/>
  <c r="K9" i="9"/>
  <c r="K8" i="9" s="1"/>
  <c r="N9" i="8"/>
  <c r="N8" i="8"/>
  <c r="N9" i="7"/>
  <c r="N8" i="7" s="1"/>
  <c r="N9" i="6"/>
  <c r="N8" i="6" s="1"/>
  <c r="N9" i="5"/>
  <c r="N8" i="5" s="1"/>
  <c r="N9" i="4"/>
  <c r="N8" i="4" s="1"/>
  <c r="N9" i="2"/>
  <c r="N8" i="2" s="1"/>
  <c r="M9" i="14"/>
  <c r="M8" i="14" s="1"/>
  <c r="L9" i="14"/>
  <c r="L8" i="14" s="1"/>
  <c r="K9" i="14"/>
  <c r="K8" i="14" s="1"/>
  <c r="F1" i="14"/>
  <c r="M9" i="11"/>
  <c r="M8" i="11" s="1"/>
  <c r="L9" i="11"/>
  <c r="L8" i="11" s="1"/>
  <c r="K9" i="11"/>
  <c r="K8" i="11" s="1"/>
  <c r="G1" i="11"/>
  <c r="G2" i="2"/>
  <c r="H12" i="2"/>
  <c r="H12" i="8"/>
  <c r="G12" i="8"/>
  <c r="G9" i="8" s="1"/>
  <c r="G8" i="8" s="1"/>
  <c r="M9" i="8"/>
  <c r="M8" i="8" s="1"/>
  <c r="L9" i="8"/>
  <c r="L8" i="8"/>
  <c r="K9" i="8"/>
  <c r="K8" i="8" s="1"/>
  <c r="M9" i="6"/>
  <c r="M8" i="6"/>
  <c r="L9" i="6"/>
  <c r="L8" i="6" s="1"/>
  <c r="K9" i="6"/>
  <c r="K8" i="6" s="1"/>
  <c r="M9" i="2"/>
  <c r="M8" i="2" s="1"/>
  <c r="M9" i="13"/>
  <c r="M8" i="13" s="1"/>
  <c r="K9" i="13"/>
  <c r="K8" i="13" s="1"/>
  <c r="K9" i="7"/>
  <c r="K8" i="7" s="1"/>
  <c r="M9" i="5"/>
  <c r="M8" i="5"/>
  <c r="L9" i="5"/>
  <c r="L8" i="5" s="1"/>
  <c r="K9" i="5"/>
  <c r="K8" i="5" s="1"/>
  <c r="M9" i="4"/>
  <c r="M8" i="4"/>
  <c r="L9" i="4"/>
  <c r="L8" i="4"/>
  <c r="K9" i="4"/>
  <c r="K8" i="4" s="1"/>
  <c r="K9" i="2"/>
  <c r="K8" i="2" s="1"/>
  <c r="L9" i="2"/>
  <c r="L8" i="2" s="1"/>
  <c r="F2" i="10"/>
  <c r="F1" i="10"/>
  <c r="H13" i="10"/>
  <c r="F13" i="10"/>
  <c r="H12" i="10"/>
  <c r="H12" i="15"/>
  <c r="F12" i="15"/>
  <c r="H1" i="17"/>
  <c r="G1" i="16"/>
  <c r="G1" i="13"/>
  <c r="G2" i="12"/>
  <c r="G3" i="9"/>
  <c r="G2" i="9"/>
  <c r="F2" i="7"/>
  <c r="F1" i="7"/>
  <c r="F2" i="6"/>
  <c r="F1" i="6"/>
  <c r="G1" i="2"/>
  <c r="F1" i="5"/>
  <c r="F2" i="5"/>
  <c r="F2" i="4"/>
  <c r="F1" i="4"/>
  <c r="J9" i="17"/>
  <c r="J8" i="17" s="1"/>
  <c r="I9" i="17"/>
  <c r="I8" i="17" s="1"/>
  <c r="E9" i="17"/>
  <c r="E8" i="17" s="1"/>
  <c r="D9" i="17"/>
  <c r="D8" i="17" s="1"/>
  <c r="D5" i="17" s="1"/>
  <c r="C9" i="17"/>
  <c r="C8" i="17" s="1"/>
  <c r="B9" i="17"/>
  <c r="B8" i="17" s="1"/>
  <c r="A9" i="17"/>
  <c r="A8" i="17" s="1"/>
  <c r="F11" i="16"/>
  <c r="J9" i="16"/>
  <c r="J8" i="16" s="1"/>
  <c r="I9" i="16"/>
  <c r="I8" i="16" s="1"/>
  <c r="G9" i="16"/>
  <c r="G8" i="16" s="1"/>
  <c r="E9" i="16"/>
  <c r="E8" i="16" s="1"/>
  <c r="D9" i="16"/>
  <c r="D8" i="16" s="1"/>
  <c r="C9" i="16"/>
  <c r="C8" i="16" s="1"/>
  <c r="B9" i="16"/>
  <c r="B8" i="16" s="1"/>
  <c r="A9" i="16"/>
  <c r="A8" i="16" s="1"/>
  <c r="F11" i="15"/>
  <c r="J9" i="15"/>
  <c r="J8" i="15" s="1"/>
  <c r="I9" i="15"/>
  <c r="I8" i="15" s="1"/>
  <c r="G9" i="15"/>
  <c r="G8" i="15" s="1"/>
  <c r="E9" i="15"/>
  <c r="E8" i="15" s="1"/>
  <c r="D9" i="15"/>
  <c r="D8" i="15" s="1"/>
  <c r="C9" i="15"/>
  <c r="C8" i="15" s="1"/>
  <c r="B9" i="15"/>
  <c r="B8" i="15" s="1"/>
  <c r="A9" i="15"/>
  <c r="A8" i="15" s="1"/>
  <c r="J9" i="14"/>
  <c r="J8" i="14"/>
  <c r="I9" i="14"/>
  <c r="I8" i="14" s="1"/>
  <c r="E9" i="14"/>
  <c r="E8" i="14"/>
  <c r="D9" i="14"/>
  <c r="D8" i="14" s="1"/>
  <c r="C9" i="14"/>
  <c r="C8" i="14"/>
  <c r="B9" i="14"/>
  <c r="B8" i="14" s="1"/>
  <c r="A9" i="14"/>
  <c r="A8" i="14"/>
  <c r="F11" i="13"/>
  <c r="J9" i="13"/>
  <c r="J8" i="13" s="1"/>
  <c r="I9" i="13"/>
  <c r="I8" i="13" s="1"/>
  <c r="E9" i="13"/>
  <c r="E8" i="13" s="1"/>
  <c r="D9" i="13"/>
  <c r="D8" i="13" s="1"/>
  <c r="C9" i="13"/>
  <c r="C8" i="13" s="1"/>
  <c r="B9" i="13"/>
  <c r="B8" i="13" s="1"/>
  <c r="A9" i="13"/>
  <c r="A8" i="13" s="1"/>
  <c r="F11" i="12"/>
  <c r="J9" i="12"/>
  <c r="J8" i="12" s="1"/>
  <c r="I9" i="12"/>
  <c r="I8" i="12"/>
  <c r="G9" i="12"/>
  <c r="G8" i="12" s="1"/>
  <c r="E9" i="12"/>
  <c r="E8" i="12"/>
  <c r="D9" i="12"/>
  <c r="D8" i="12" s="1"/>
  <c r="C9" i="12"/>
  <c r="C8" i="12"/>
  <c r="B9" i="12"/>
  <c r="B8" i="12" s="1"/>
  <c r="A9" i="12"/>
  <c r="A8" i="12"/>
  <c r="D9" i="1"/>
  <c r="F11" i="11"/>
  <c r="J9" i="11"/>
  <c r="J8" i="11"/>
  <c r="I9" i="11"/>
  <c r="I8" i="11" s="1"/>
  <c r="G9" i="11"/>
  <c r="G8" i="11" s="1"/>
  <c r="E9" i="11"/>
  <c r="E8" i="11" s="1"/>
  <c r="D9" i="11"/>
  <c r="D8" i="11" s="1"/>
  <c r="C9" i="11"/>
  <c r="C8" i="11"/>
  <c r="B9" i="11"/>
  <c r="B8" i="11" s="1"/>
  <c r="A9" i="11"/>
  <c r="A8" i="11" s="1"/>
  <c r="J9" i="10"/>
  <c r="J8" i="10"/>
  <c r="I9" i="10"/>
  <c r="I8" i="10" s="1"/>
  <c r="G9" i="10"/>
  <c r="G8" i="10"/>
  <c r="E9" i="10"/>
  <c r="E8" i="10" s="1"/>
  <c r="D9" i="10"/>
  <c r="D8" i="10"/>
  <c r="C9" i="10"/>
  <c r="C8" i="10" s="1"/>
  <c r="B9" i="10"/>
  <c r="B8" i="10"/>
  <c r="A9" i="10"/>
  <c r="A8" i="10" s="1"/>
  <c r="H12" i="9"/>
  <c r="F12" i="9"/>
  <c r="F11" i="9"/>
  <c r="J9" i="9"/>
  <c r="J8" i="9" s="1"/>
  <c r="I9" i="9"/>
  <c r="I8" i="9" s="1"/>
  <c r="G9" i="9"/>
  <c r="G8" i="9"/>
  <c r="E9" i="9"/>
  <c r="E8" i="9" s="1"/>
  <c r="D9" i="9"/>
  <c r="D8" i="9"/>
  <c r="C9" i="9"/>
  <c r="C8" i="9" s="1"/>
  <c r="B9" i="9"/>
  <c r="B8" i="9" s="1"/>
  <c r="A9" i="9"/>
  <c r="A8" i="9" s="1"/>
  <c r="F11" i="8"/>
  <c r="J9" i="8"/>
  <c r="J8" i="8" s="1"/>
  <c r="I9" i="8"/>
  <c r="I8" i="8" s="1"/>
  <c r="E9" i="8"/>
  <c r="E8" i="8" s="1"/>
  <c r="D9" i="8"/>
  <c r="D8" i="8" s="1"/>
  <c r="C9" i="8"/>
  <c r="C8" i="8"/>
  <c r="B9" i="8"/>
  <c r="B8" i="8" s="1"/>
  <c r="A9" i="8"/>
  <c r="A8" i="8"/>
  <c r="F12" i="7"/>
  <c r="F11" i="7"/>
  <c r="J9" i="7"/>
  <c r="J8" i="7" s="1"/>
  <c r="I9" i="7"/>
  <c r="I8" i="7" s="1"/>
  <c r="E9" i="7"/>
  <c r="E8" i="7" s="1"/>
  <c r="D9" i="7"/>
  <c r="D8" i="7" s="1"/>
  <c r="C9" i="7"/>
  <c r="C8" i="7" s="1"/>
  <c r="B9" i="7"/>
  <c r="B8" i="7" s="1"/>
  <c r="A9" i="7"/>
  <c r="A8" i="7"/>
  <c r="H12" i="6"/>
  <c r="F12" i="6" s="1"/>
  <c r="F11" i="6"/>
  <c r="J9" i="6"/>
  <c r="J8" i="6" s="1"/>
  <c r="I9" i="6"/>
  <c r="I8" i="6" s="1"/>
  <c r="E9" i="6"/>
  <c r="E8" i="6" s="1"/>
  <c r="D9" i="6"/>
  <c r="D8" i="6" s="1"/>
  <c r="C9" i="6"/>
  <c r="C8" i="6" s="1"/>
  <c r="B9" i="6"/>
  <c r="B8" i="6"/>
  <c r="A9" i="6"/>
  <c r="A8" i="6" s="1"/>
  <c r="G1" i="5"/>
  <c r="J9" i="5"/>
  <c r="J8" i="5" s="1"/>
  <c r="I9" i="5"/>
  <c r="I8" i="5" s="1"/>
  <c r="E9" i="5"/>
  <c r="E8" i="5" s="1"/>
  <c r="D9" i="5"/>
  <c r="D8" i="5" s="1"/>
  <c r="C9" i="5"/>
  <c r="C8" i="5" s="1"/>
  <c r="B9" i="5"/>
  <c r="B8" i="5" s="1"/>
  <c r="A9" i="5"/>
  <c r="A8" i="5" s="1"/>
  <c r="F12" i="4"/>
  <c r="F11" i="4"/>
  <c r="J9" i="4"/>
  <c r="J8" i="4" s="1"/>
  <c r="I9" i="4"/>
  <c r="I8" i="4" s="1"/>
  <c r="E9" i="4"/>
  <c r="E8" i="4" s="1"/>
  <c r="D9" i="4"/>
  <c r="D8" i="4"/>
  <c r="C9" i="4"/>
  <c r="C8" i="4" s="1"/>
  <c r="B9" i="4"/>
  <c r="B8" i="4"/>
  <c r="A9" i="4"/>
  <c r="A8" i="4" s="1"/>
  <c r="B9" i="2"/>
  <c r="B8" i="2" s="1"/>
  <c r="C9" i="2"/>
  <c r="C8" i="2" s="1"/>
  <c r="D9" i="2"/>
  <c r="D8" i="2" s="1"/>
  <c r="E9" i="2"/>
  <c r="E8" i="2" s="1"/>
  <c r="G9" i="2"/>
  <c r="G8" i="2" s="1"/>
  <c r="I9" i="2"/>
  <c r="I8" i="2" s="1"/>
  <c r="J9" i="2"/>
  <c r="J8" i="2" s="1"/>
  <c r="A9" i="2"/>
  <c r="A8" i="2" s="1"/>
  <c r="H9" i="5"/>
  <c r="H8" i="5" s="1"/>
  <c r="L9" i="7"/>
  <c r="L8" i="7" s="1"/>
  <c r="M9" i="7"/>
  <c r="M8" i="7" s="1"/>
  <c r="G13" i="5"/>
  <c r="G9" i="5"/>
  <c r="G8" i="5" s="1"/>
  <c r="L9" i="27"/>
  <c r="L8" i="27" s="1"/>
  <c r="M9" i="27"/>
  <c r="M8" i="27" s="1"/>
  <c r="Q11" i="27"/>
  <c r="R11" i="27" s="1"/>
  <c r="S11" i="27" s="1"/>
  <c r="H18" i="1"/>
  <c r="C28" i="1"/>
  <c r="L16" i="1"/>
  <c r="C16" i="1"/>
  <c r="S43" i="1"/>
  <c r="C20" i="1"/>
  <c r="L29" i="1"/>
  <c r="G26" i="1"/>
  <c r="B30" i="1"/>
  <c r="U48" i="1"/>
  <c r="T55" i="1"/>
  <c r="M55" i="1"/>
  <c r="G16" i="1"/>
  <c r="B21" i="1"/>
  <c r="J40" i="1"/>
  <c r="K46" i="1"/>
  <c r="J36" i="1"/>
  <c r="S48" i="1"/>
  <c r="D26" i="1"/>
  <c r="V37" i="1"/>
  <c r="H22" i="1"/>
  <c r="I18" i="1"/>
  <c r="V40" i="1"/>
  <c r="V43" i="1"/>
  <c r="G31" i="1"/>
  <c r="N19" i="1"/>
  <c r="U41" i="1"/>
  <c r="C37" i="1"/>
  <c r="W21" i="1"/>
  <c r="S16" i="1"/>
  <c r="G17" i="1"/>
  <c r="V48" i="1"/>
  <c r="H40" i="1"/>
  <c r="J17" i="1"/>
  <c r="B28" i="1"/>
  <c r="I17" i="1"/>
  <c r="I16" i="1"/>
  <c r="P46" i="1"/>
  <c r="H37" i="1"/>
  <c r="N36" i="1"/>
  <c r="V55" i="1"/>
  <c r="U18" i="1"/>
  <c r="G22" i="1"/>
  <c r="S19" i="1"/>
  <c r="D18" i="1"/>
  <c r="S31" i="1"/>
  <c r="T40" i="1"/>
  <c r="D52" i="1"/>
  <c r="M40" i="1"/>
  <c r="M22" i="1"/>
  <c r="T19" i="1"/>
  <c r="M21" i="1"/>
  <c r="C52" i="1"/>
  <c r="F40" i="1"/>
  <c r="U37" i="1"/>
  <c r="G36" i="1"/>
  <c r="J22" i="1"/>
  <c r="L22" i="1"/>
  <c r="I36" i="1"/>
  <c r="V21" i="1"/>
  <c r="J41" i="1"/>
  <c r="V28" i="1"/>
  <c r="I43" i="1"/>
  <c r="N31" i="1"/>
  <c r="B17" i="1"/>
  <c r="M16" i="1"/>
  <c r="D41" i="1"/>
  <c r="W50" i="1"/>
  <c r="Q55" i="1"/>
  <c r="B29" i="1"/>
  <c r="B16" i="1"/>
  <c r="S18" i="1"/>
  <c r="D16" i="1"/>
  <c r="H20" i="1"/>
  <c r="K30" i="1"/>
  <c r="H28" i="1"/>
  <c r="J52" i="1"/>
  <c r="N55" i="1"/>
  <c r="V41" i="1"/>
  <c r="H41" i="1"/>
  <c r="F17" i="1"/>
  <c r="G40" i="1"/>
  <c r="C22" i="1"/>
  <c r="N29" i="1"/>
  <c r="N43" i="1"/>
  <c r="B41" i="1"/>
  <c r="C26" i="1"/>
  <c r="C36" i="1"/>
  <c r="C17" i="1"/>
  <c r="T52" i="1"/>
  <c r="C43" i="1"/>
  <c r="U28" i="1"/>
  <c r="Q21" i="1"/>
  <c r="C19" i="1"/>
  <c r="L17" i="1"/>
  <c r="N41" i="1"/>
  <c r="C48" i="1"/>
  <c r="D30" i="1"/>
  <c r="J37" i="1"/>
  <c r="C18" i="1"/>
  <c r="J21" i="1"/>
  <c r="N20" i="1"/>
  <c r="N16" i="1"/>
  <c r="G37" i="1"/>
  <c r="S17" i="1"/>
  <c r="D22" i="1"/>
  <c r="F29" i="1"/>
  <c r="L30" i="1"/>
  <c r="N40" i="1"/>
  <c r="I29" i="1"/>
  <c r="S22" i="1"/>
  <c r="L40" i="1"/>
  <c r="I37" i="1"/>
  <c r="N21" i="1"/>
  <c r="D20" i="1"/>
  <c r="I48" i="1"/>
  <c r="V52" i="1"/>
  <c r="J28" i="1"/>
  <c r="S41" i="1"/>
  <c r="N28" i="1"/>
  <c r="D43" i="1"/>
  <c r="F48" i="1"/>
  <c r="U40" i="1"/>
  <c r="N52" i="1"/>
  <c r="F41" i="1"/>
  <c r="C55" i="1"/>
  <c r="F22" i="1"/>
  <c r="K41" i="1"/>
  <c r="F19" i="1"/>
  <c r="M29" i="1"/>
  <c r="F28" i="1"/>
  <c r="F21" i="1"/>
  <c r="H16" i="1"/>
  <c r="T26" i="1"/>
  <c r="B26" i="1"/>
  <c r="I22" i="1"/>
  <c r="M18" i="1"/>
  <c r="P20" i="1"/>
  <c r="S37" i="1"/>
  <c r="I21" i="1"/>
  <c r="S20" i="1"/>
  <c r="C30" i="1"/>
  <c r="M30" i="1"/>
  <c r="H55" i="1"/>
  <c r="F16" i="1"/>
  <c r="V30" i="1"/>
  <c r="G28" i="1"/>
  <c r="Q46" i="1"/>
  <c r="I52" i="1"/>
  <c r="D48" i="1"/>
  <c r="I20" i="1"/>
  <c r="H26" i="1"/>
  <c r="H21" i="1"/>
  <c r="I40" i="1"/>
  <c r="K45" i="1"/>
  <c r="I55" i="1"/>
  <c r="I31" i="1"/>
  <c r="T22" i="1"/>
  <c r="I30" i="1"/>
  <c r="S40" i="1"/>
  <c r="U16" i="1"/>
  <c r="C31" i="1"/>
  <c r="H43" i="1"/>
  <c r="L36" i="1"/>
  <c r="B36" i="1"/>
  <c r="D36" i="1"/>
  <c r="N37" i="1"/>
  <c r="G52" i="1"/>
  <c r="F30" i="1"/>
  <c r="D55" i="1"/>
  <c r="T31" i="1"/>
  <c r="F20" i="1"/>
  <c r="J48" i="1"/>
  <c r="I26" i="1"/>
  <c r="T20" i="1"/>
  <c r="M36" i="1"/>
  <c r="W49" i="1"/>
  <c r="B55" i="1"/>
  <c r="S26" i="1"/>
  <c r="F52" i="1"/>
  <c r="P40" i="1"/>
  <c r="S30" i="1"/>
  <c r="B20" i="1"/>
  <c r="T16" i="1"/>
  <c r="S28" i="1"/>
  <c r="G48" i="1"/>
  <c r="D31" i="1"/>
  <c r="J55" i="1"/>
  <c r="J43" i="1"/>
  <c r="F18" i="1"/>
  <c r="V19" i="1"/>
  <c r="S55" i="1"/>
  <c r="F31" i="1"/>
  <c r="B31" i="1"/>
  <c r="J29" i="1"/>
  <c r="D19" i="1"/>
  <c r="H17" i="1"/>
  <c r="J26" i="1"/>
  <c r="H52" i="1"/>
  <c r="M52" i="1"/>
  <c r="L41" i="1"/>
  <c r="N26" i="1"/>
  <c r="P45" i="1"/>
  <c r="S29" i="1"/>
  <c r="S52" i="1"/>
  <c r="J20" i="1"/>
  <c r="T29" i="1"/>
  <c r="D29" i="1"/>
  <c r="S36" i="1"/>
  <c r="U31" i="1"/>
  <c r="T30" i="1"/>
  <c r="Q45" i="1"/>
  <c r="U21" i="1"/>
  <c r="W18" i="17" l="1"/>
  <c r="X18" i="17" s="1"/>
  <c r="S18" i="17"/>
  <c r="T18" i="17" s="1"/>
  <c r="F21" i="26"/>
  <c r="F7" i="4"/>
  <c r="H9" i="16"/>
  <c r="H8" i="16" s="1"/>
  <c r="F13" i="8"/>
  <c r="H9" i="8"/>
  <c r="H8" i="8" s="1"/>
  <c r="S15" i="17"/>
  <c r="T15" i="17" s="1"/>
  <c r="Y15" i="17" s="1"/>
  <c r="Z15" i="17" s="1"/>
  <c r="G9" i="13"/>
  <c r="G8" i="13" s="1"/>
  <c r="F15" i="13"/>
  <c r="F9" i="13" s="1"/>
  <c r="F8" i="13" s="1"/>
  <c r="M9" i="17"/>
  <c r="M8" i="17" s="1"/>
  <c r="F9" i="21"/>
  <c r="F8" i="21" s="1"/>
  <c r="H9" i="17"/>
  <c r="H8" i="17" s="1"/>
  <c r="S16" i="13"/>
  <c r="T16" i="13" s="1"/>
  <c r="Y16" i="13" s="1"/>
  <c r="F17" i="8"/>
  <c r="F7" i="8" s="1"/>
  <c r="F18" i="6"/>
  <c r="F9" i="6" s="1"/>
  <c r="F8" i="6" s="1"/>
  <c r="G9" i="6"/>
  <c r="G8" i="6" s="1"/>
  <c r="H9" i="13"/>
  <c r="H8" i="13" s="1"/>
  <c r="G9" i="4"/>
  <c r="G8" i="4" s="1"/>
  <c r="G9" i="14"/>
  <c r="G8" i="14" s="1"/>
  <c r="H9" i="15"/>
  <c r="H8" i="15" s="1"/>
  <c r="F14" i="4"/>
  <c r="B5" i="4" s="1"/>
  <c r="B6" i="4" s="1"/>
  <c r="H9" i="4"/>
  <c r="H8" i="4" s="1"/>
  <c r="F7" i="7"/>
  <c r="F14" i="2"/>
  <c r="H9" i="11"/>
  <c r="H8" i="11" s="1"/>
  <c r="Y15" i="13"/>
  <c r="Z15" i="13" s="1"/>
  <c r="B5" i="21"/>
  <c r="F7" i="21"/>
  <c r="S16" i="17"/>
  <c r="T16" i="17" s="1"/>
  <c r="W16" i="17"/>
  <c r="X16" i="17" s="1"/>
  <c r="W17" i="17"/>
  <c r="X17" i="17" s="1"/>
  <c r="L17" i="17" s="1"/>
  <c r="S17" i="13"/>
  <c r="T17" i="13" s="1"/>
  <c r="Y17" i="13" s="1"/>
  <c r="L17" i="13" s="1"/>
  <c r="F7" i="5"/>
  <c r="B5" i="15"/>
  <c r="K5" i="15" s="1"/>
  <c r="H9" i="12"/>
  <c r="H8" i="12" s="1"/>
  <c r="F15" i="11"/>
  <c r="F7" i="11" s="1"/>
  <c r="F16" i="11"/>
  <c r="F13" i="17"/>
  <c r="F16" i="8"/>
  <c r="B5" i="8" s="1"/>
  <c r="H9" i="9"/>
  <c r="H8" i="9" s="1"/>
  <c r="B5" i="16"/>
  <c r="B6" i="16" s="1"/>
  <c r="F17" i="17"/>
  <c r="H9" i="27"/>
  <c r="H8" i="27" s="1"/>
  <c r="S18" i="13"/>
  <c r="T18" i="13" s="1"/>
  <c r="W18" i="13"/>
  <c r="H9" i="28"/>
  <c r="H8" i="28" s="1"/>
  <c r="F7" i="6"/>
  <c r="B5" i="6"/>
  <c r="B6" i="15"/>
  <c r="B5" i="7"/>
  <c r="F9" i="7"/>
  <c r="F8" i="7" s="1"/>
  <c r="L16" i="13"/>
  <c r="Z16" i="13"/>
  <c r="F9" i="9"/>
  <c r="F8" i="9" s="1"/>
  <c r="B5" i="9"/>
  <c r="B6" i="9" s="1"/>
  <c r="F12" i="2"/>
  <c r="F7" i="14"/>
  <c r="F9" i="14"/>
  <c r="F8" i="14" s="1"/>
  <c r="B5" i="5"/>
  <c r="F12" i="10"/>
  <c r="H9" i="10"/>
  <c r="H8" i="10" s="1"/>
  <c r="H9" i="6"/>
  <c r="H8" i="6" s="1"/>
  <c r="F7" i="9"/>
  <c r="F7" i="12"/>
  <c r="B5" i="12"/>
  <c r="B6" i="12" s="1"/>
  <c r="B6" i="28"/>
  <c r="F7" i="13"/>
  <c r="E28" i="26"/>
  <c r="F7" i="25"/>
  <c r="F9" i="25"/>
  <c r="F8" i="25" s="1"/>
  <c r="B5" i="25"/>
  <c r="B6" i="25" s="1"/>
  <c r="B6" i="30"/>
  <c r="G9" i="17"/>
  <c r="G8" i="17" s="1"/>
  <c r="K9" i="22"/>
  <c r="K8" i="22" s="1"/>
  <c r="F14" i="17"/>
  <c r="B5" i="17" s="1"/>
  <c r="B6" i="17" s="1"/>
  <c r="Y17" i="17"/>
  <c r="Z17" i="17" s="1"/>
  <c r="F12" i="27"/>
  <c r="F9" i="27" s="1"/>
  <c r="F8" i="27" s="1"/>
  <c r="H9" i="7"/>
  <c r="H8" i="7" s="1"/>
  <c r="F7" i="16"/>
  <c r="H9" i="14"/>
  <c r="H8" i="14" s="1"/>
  <c r="B5" i="22"/>
  <c r="X18" i="13"/>
  <c r="F7" i="28"/>
  <c r="F9" i="28"/>
  <c r="F8" i="28" s="1"/>
  <c r="B6" i="29"/>
  <c r="R45" i="1"/>
  <c r="O19" i="15"/>
  <c r="O18" i="12"/>
  <c r="O19" i="5"/>
  <c r="O12" i="27"/>
  <c r="O18" i="13"/>
  <c r="O19" i="6"/>
  <c r="O11" i="34"/>
  <c r="O16" i="21"/>
  <c r="O19" i="14"/>
  <c r="O19" i="11"/>
  <c r="O18" i="8"/>
  <c r="O19" i="4"/>
  <c r="O18" i="16"/>
  <c r="O12" i="25"/>
  <c r="O11" i="28"/>
  <c r="O18" i="17"/>
  <c r="O20" i="10"/>
  <c r="O19" i="7"/>
  <c r="R46" i="1"/>
  <c r="B6" i="14"/>
  <c r="D5" i="15"/>
  <c r="O37" i="1"/>
  <c r="O52" i="1"/>
  <c r="E31" i="1"/>
  <c r="O22" i="1"/>
  <c r="O26" i="1"/>
  <c r="E55" i="1"/>
  <c r="O55" i="1" s="1"/>
  <c r="E48" i="1"/>
  <c r="O48" i="1" s="1"/>
  <c r="E36" i="1"/>
  <c r="O36" i="1" s="1"/>
  <c r="E41" i="1"/>
  <c r="E20" i="1"/>
  <c r="O20" i="1" s="1"/>
  <c r="R20" i="1" s="1"/>
  <c r="E29" i="1"/>
  <c r="O29" i="1" s="1"/>
  <c r="O18" i="1"/>
  <c r="O30" i="1"/>
  <c r="O17" i="1"/>
  <c r="E43" i="1"/>
  <c r="O43" i="1" s="1"/>
  <c r="O16" i="1"/>
  <c r="E19" i="1"/>
  <c r="O40" i="1"/>
  <c r="R40" i="1" s="1"/>
  <c r="N48" i="1"/>
  <c r="K28" i="1"/>
  <c r="J18" i="1"/>
  <c r="U26" i="1"/>
  <c r="D17" i="1"/>
  <c r="Q28" i="1"/>
  <c r="B19" i="1"/>
  <c r="F43" i="1"/>
  <c r="J16" i="1"/>
  <c r="G30" i="1"/>
  <c r="F36" i="1"/>
  <c r="C41" i="1"/>
  <c r="M17" i="1"/>
  <c r="M28" i="1"/>
  <c r="L19" i="1"/>
  <c r="Q19" i="1"/>
  <c r="V36" i="1"/>
  <c r="U30" i="1"/>
  <c r="K55" i="1"/>
  <c r="M37" i="1"/>
  <c r="K37" i="1"/>
  <c r="G55" i="1"/>
  <c r="G18" i="1"/>
  <c r="G41" i="1"/>
  <c r="Q30" i="1"/>
  <c r="W22" i="1"/>
  <c r="G29" i="1"/>
  <c r="L43" i="1"/>
  <c r="F55" i="1"/>
  <c r="L21" i="1"/>
  <c r="M48" i="1"/>
  <c r="P31" i="1"/>
  <c r="H31" i="1"/>
  <c r="H36" i="1"/>
  <c r="W41" i="1"/>
  <c r="P21" i="1"/>
  <c r="K21" i="1"/>
  <c r="K48" i="1"/>
  <c r="C21" i="1"/>
  <c r="N22" i="1"/>
  <c r="T17" i="1"/>
  <c r="Q16" i="1"/>
  <c r="U17" i="1"/>
  <c r="M31" i="1"/>
  <c r="K40" i="1"/>
  <c r="V26" i="1"/>
  <c r="B18" i="1"/>
  <c r="S21" i="1"/>
  <c r="P16" i="1"/>
  <c r="B48" i="1"/>
  <c r="H30" i="1"/>
  <c r="G20" i="1"/>
  <c r="C29" i="1"/>
  <c r="L26" i="1"/>
  <c r="V16" i="1"/>
  <c r="W43" i="1"/>
  <c r="W55" i="1"/>
  <c r="P41" i="1"/>
  <c r="W26" i="1"/>
  <c r="V20" i="1"/>
  <c r="M19" i="1"/>
  <c r="U22" i="1"/>
  <c r="Q41" i="1"/>
  <c r="V31" i="1"/>
  <c r="W20" i="1"/>
  <c r="T37" i="1"/>
  <c r="U29" i="1"/>
  <c r="M43" i="1"/>
  <c r="J31" i="1"/>
  <c r="L31" i="1"/>
  <c r="P37" i="1"/>
  <c r="N17" i="1"/>
  <c r="P22" i="1"/>
  <c r="L28" i="1"/>
  <c r="W29" i="1"/>
  <c r="V29" i="1"/>
  <c r="B22" i="1"/>
  <c r="K29" i="1"/>
  <c r="T41" i="1"/>
  <c r="G43" i="1"/>
  <c r="P55" i="1"/>
  <c r="Q31" i="1"/>
  <c r="W46" i="1"/>
  <c r="L18" i="1"/>
  <c r="M26" i="1"/>
  <c r="F26" i="1"/>
  <c r="K36" i="1"/>
  <c r="G21" i="1"/>
  <c r="M20" i="1"/>
  <c r="Q26" i="1"/>
  <c r="P29" i="1"/>
  <c r="U20" i="1"/>
  <c r="H29" i="1"/>
  <c r="P28" i="1"/>
  <c r="B52" i="1"/>
  <c r="N18" i="1"/>
  <c r="J30" i="1"/>
  <c r="G19" i="1"/>
  <c r="H19" i="1"/>
  <c r="D28" i="1"/>
  <c r="B43" i="1"/>
  <c r="H48" i="1"/>
  <c r="P30" i="1"/>
  <c r="L52" i="1"/>
  <c r="P18" i="1"/>
  <c r="I41" i="1"/>
  <c r="P26" i="1"/>
  <c r="K20" i="1"/>
  <c r="T36" i="1"/>
  <c r="W16" i="1"/>
  <c r="K16" i="1"/>
  <c r="D21" i="1"/>
  <c r="P43" i="1"/>
  <c r="B37" i="1"/>
  <c r="T18" i="1"/>
  <c r="N30" i="1"/>
  <c r="I28" i="1"/>
  <c r="Q22" i="1"/>
  <c r="U43" i="1"/>
  <c r="T28" i="1"/>
  <c r="U52" i="1"/>
  <c r="L55" i="1"/>
  <c r="V18" i="1"/>
  <c r="Q48" i="1"/>
  <c r="V17" i="1"/>
  <c r="Q18" i="1"/>
  <c r="M41" i="1"/>
  <c r="U36" i="1"/>
  <c r="K22" i="1"/>
  <c r="L48" i="1"/>
  <c r="F37" i="1"/>
  <c r="Q37" i="1"/>
  <c r="L37" i="1"/>
  <c r="J19" i="1"/>
  <c r="D37" i="1"/>
  <c r="I19" i="1"/>
  <c r="K31" i="1"/>
  <c r="U55" i="1"/>
  <c r="Q40" i="1"/>
  <c r="Q20" i="1"/>
  <c r="U19" i="1"/>
  <c r="W40" i="1"/>
  <c r="V22" i="1"/>
  <c r="Q29" i="1"/>
  <c r="L20" i="1"/>
  <c r="W45" i="1"/>
  <c r="R31" i="1" l="1"/>
  <c r="Z17" i="13"/>
  <c r="F9" i="8"/>
  <c r="F8" i="8" s="1"/>
  <c r="B6" i="21"/>
  <c r="F9" i="4"/>
  <c r="F8" i="4" s="1"/>
  <c r="B5" i="13"/>
  <c r="Y18" i="13"/>
  <c r="Z18" i="13" s="1"/>
  <c r="F9" i="11"/>
  <c r="F8" i="11" s="1"/>
  <c r="B5" i="11"/>
  <c r="Y16" i="17"/>
  <c r="Y18" i="17"/>
  <c r="R21" i="1"/>
  <c r="L18" i="13"/>
  <c r="B5" i="27"/>
  <c r="F7" i="27"/>
  <c r="F7" i="10"/>
  <c r="F9" i="10"/>
  <c r="F8" i="10" s="1"/>
  <c r="B5" i="10"/>
  <c r="F7" i="2"/>
  <c r="B5" i="2"/>
  <c r="F9" i="2"/>
  <c r="F8" i="2" s="1"/>
  <c r="B6" i="7"/>
  <c r="B6" i="8"/>
  <c r="B6" i="5"/>
  <c r="C5" i="5"/>
  <c r="Q6" i="5"/>
  <c r="Q7" i="5" s="1"/>
  <c r="R37" i="1"/>
  <c r="L9" i="13"/>
  <c r="L8" i="13" s="1"/>
  <c r="B6" i="6"/>
  <c r="R18" i="1"/>
  <c r="F9" i="17"/>
  <c r="F8" i="17" s="1"/>
  <c r="F7" i="17"/>
  <c r="O28" i="1"/>
  <c r="R28" i="1" s="1"/>
  <c r="E21" i="1"/>
  <c r="O41" i="1"/>
  <c r="R41" i="1" s="1"/>
  <c r="R22" i="1"/>
  <c r="R29" i="1"/>
  <c r="R16" i="1"/>
  <c r="R55" i="1"/>
  <c r="R43" i="1"/>
  <c r="R30" i="1"/>
  <c r="R26" i="1"/>
  <c r="W31" i="1"/>
  <c r="W28" i="1"/>
  <c r="Q43" i="1"/>
  <c r="P52" i="1"/>
  <c r="Q52" i="1"/>
  <c r="Q17" i="1"/>
  <c r="P48" i="1"/>
  <c r="K18" i="1"/>
  <c r="W18" i="1"/>
  <c r="W37" i="1"/>
  <c r="K17" i="1"/>
  <c r="K52" i="1"/>
  <c r="W30" i="1"/>
  <c r="P19" i="1"/>
  <c r="K43" i="1"/>
  <c r="Q36" i="1"/>
  <c r="P36" i="1"/>
  <c r="K19" i="1"/>
  <c r="K26" i="1"/>
  <c r="T48" i="1"/>
  <c r="P17" i="1"/>
  <c r="R48" i="1" l="1"/>
  <c r="R19" i="1"/>
  <c r="L18" i="17"/>
  <c r="Z18" i="17"/>
  <c r="L16" i="17"/>
  <c r="Z16" i="17"/>
  <c r="B6" i="13"/>
  <c r="B6" i="11"/>
  <c r="R17" i="1"/>
  <c r="R36" i="1"/>
  <c r="P8" i="1"/>
  <c r="R52" i="1"/>
  <c r="B6" i="10"/>
  <c r="B6" i="27"/>
  <c r="B6" i="2"/>
  <c r="W52" i="1"/>
  <c r="W36" i="1"/>
  <c r="W48" i="1"/>
  <c r="W19" i="1"/>
  <c r="W17" i="1"/>
  <c r="L9" i="17" l="1"/>
  <c r="L8" i="17" s="1"/>
  <c r="T43" i="1"/>
</calcChain>
</file>

<file path=xl/sharedStrings.xml><?xml version="1.0" encoding="utf-8"?>
<sst xmlns="http://schemas.openxmlformats.org/spreadsheetml/2006/main" count="1403" uniqueCount="243">
  <si>
    <t>Saldo CPFL</t>
  </si>
  <si>
    <t>Quota Contratada</t>
  </si>
  <si>
    <t>Alexandra Cristina Vidal Januário Susteras</t>
  </si>
  <si>
    <t>220.251.828-21</t>
  </si>
  <si>
    <t>Cliente</t>
  </si>
  <si>
    <t>CPF</t>
  </si>
  <si>
    <t>UC</t>
  </si>
  <si>
    <t>Início Quota</t>
  </si>
  <si>
    <t>Conta Mês</t>
  </si>
  <si>
    <t>Início Leitura</t>
  </si>
  <si>
    <t>Fim Leitura</t>
  </si>
  <si>
    <t>% Alocada</t>
  </si>
  <si>
    <t>Quota Utilizada</t>
  </si>
  <si>
    <t>Saldo Mês</t>
  </si>
  <si>
    <t>Próxima Leitura</t>
  </si>
  <si>
    <t>Quota Alocada</t>
  </si>
  <si>
    <t>Meses pagos</t>
  </si>
  <si>
    <t>Quota Devida Sun Mobi</t>
  </si>
  <si>
    <t>Quotas Entregues</t>
  </si>
  <si>
    <t>Última % Alocada</t>
  </si>
  <si>
    <t>Última Quota Alocada</t>
  </si>
  <si>
    <t>Última Quota Utilizada</t>
  </si>
  <si>
    <t>Total de Quotas Entregues Sun Mobi</t>
  </si>
  <si>
    <t>Saldo Sun Mobi</t>
  </si>
  <si>
    <t>Arlindo Salgueiro</t>
  </si>
  <si>
    <t>016.802.938-34</t>
  </si>
  <si>
    <t>Rui Sergio Guerra</t>
  </si>
  <si>
    <t>937.216.338-49</t>
  </si>
  <si>
    <t>Glauco Marchioni</t>
  </si>
  <si>
    <t>296.700.628-96</t>
  </si>
  <si>
    <t>Milton Donizeti Rezende Moreira</t>
  </si>
  <si>
    <t>154.389.268-08</t>
  </si>
  <si>
    <t>Adilson Bronze</t>
  </si>
  <si>
    <t>112.832.238-21</t>
  </si>
  <si>
    <t>Mario Augusto Lima e Silva</t>
  </si>
  <si>
    <t>013.904.528-75</t>
  </si>
  <si>
    <t>Aline Faure Cabreira</t>
  </si>
  <si>
    <t>095.252.356-61</t>
  </si>
  <si>
    <t>N/A</t>
  </si>
  <si>
    <t>Aurea Maria Daniela Hidalgo Goncalez Franco De Carvalho</t>
  </si>
  <si>
    <t>035.126.466-38</t>
  </si>
  <si>
    <t>Enilda Cesar e Silva</t>
  </si>
  <si>
    <t>093.015.028-79</t>
  </si>
  <si>
    <t>Igreja Batista Peniel</t>
  </si>
  <si>
    <t>47.787.049/0001-08</t>
  </si>
  <si>
    <t>Umberto Venturini Filho</t>
  </si>
  <si>
    <t>080.572.628-42</t>
  </si>
  <si>
    <t>Associação dos Engenheiros e Arquitetos de Santos</t>
  </si>
  <si>
    <t>58.250.903/0001-00</t>
  </si>
  <si>
    <t>Teixeira Contabilidade ME</t>
  </si>
  <si>
    <t>07.179.573/0001-73</t>
  </si>
  <si>
    <t>Monica Markunas</t>
  </si>
  <si>
    <t>059.461.998-03</t>
  </si>
  <si>
    <t>Controle de Quotas e Saldos Sun Mobi</t>
  </si>
  <si>
    <t>Data de controle</t>
  </si>
  <si>
    <t>Clientes</t>
  </si>
  <si>
    <t>ok</t>
  </si>
  <si>
    <t>CERTO!</t>
  </si>
  <si>
    <t>Acho q o problema é o saldo zerado!</t>
  </si>
  <si>
    <t xml:space="preserve">não bate. As contas do mário estão estranhas, acho q serão reemitidas. </t>
  </si>
  <si>
    <t>o saldo deve ser um problema tb, como nos outros clientes</t>
  </si>
  <si>
    <t>OK!!!</t>
  </si>
  <si>
    <t>CERTO!!</t>
  </si>
  <si>
    <t>CERTO!!!</t>
  </si>
  <si>
    <t>Consumo Efergy</t>
  </si>
  <si>
    <t>Consumo CPFL</t>
  </si>
  <si>
    <t>horas faltantes Efergy</t>
  </si>
  <si>
    <t>Confiabilidade Efergy</t>
  </si>
  <si>
    <t>OK!</t>
  </si>
  <si>
    <t>Liberação pag seguro</t>
  </si>
  <si>
    <t>?</t>
  </si>
  <si>
    <t>pagamento em 15/1/18</t>
  </si>
  <si>
    <t>Referente a que mês?</t>
  </si>
  <si>
    <t>Liberação PagSeguro</t>
  </si>
  <si>
    <t>pago em 15/1/18</t>
  </si>
  <si>
    <t>Meses de quotas recebidas</t>
  </si>
  <si>
    <t>dia 2/2 enviar novo pag seguro pro milton</t>
  </si>
  <si>
    <t>SOCIEDADE DE CULTURA ITUPEVA LT EPP</t>
  </si>
  <si>
    <t>05.889.302/0001-86</t>
  </si>
  <si>
    <t>19/2/18 emitir faturamento</t>
  </si>
  <si>
    <t>dia 1/3 enviar novo pag seguro pro milton</t>
  </si>
  <si>
    <t>emitir fatura c/venc em 26/3</t>
  </si>
  <si>
    <t>nov</t>
  </si>
  <si>
    <t>dez</t>
  </si>
  <si>
    <t>jan</t>
  </si>
  <si>
    <t>fev</t>
  </si>
  <si>
    <t>mar</t>
  </si>
  <si>
    <t>direito a receber</t>
  </si>
  <si>
    <t>pagar</t>
  </si>
  <si>
    <t>faturamento dia 8/2 p/ 15/2</t>
  </si>
  <si>
    <t>28.470.676/0001-68</t>
  </si>
  <si>
    <t>COMPARTSOL COOPERATIVA DE GERACAO COMPARTILHADA</t>
  </si>
  <si>
    <t>na</t>
  </si>
  <si>
    <t>Faturamento: enviar para</t>
  </si>
  <si>
    <t>Renata</t>
  </si>
  <si>
    <t>cobranca@premodisa.com.br</t>
  </si>
  <si>
    <t>faturamento dia 8/3 p/ 15/3</t>
  </si>
  <si>
    <t>19/3/18 emitir faturamento</t>
  </si>
  <si>
    <t>faturamento dia 8/4 p/ 15/4</t>
  </si>
  <si>
    <t>15/4 emitir boleto venc 26/4</t>
  </si>
  <si>
    <t>23/3 liberar faturamento com venvt para 29/3</t>
  </si>
  <si>
    <t>19/4 emitir faturamento para 30/4</t>
  </si>
  <si>
    <t>dia 1/4 enviar novo pagseguro - libera 22/4</t>
  </si>
  <si>
    <t>Saldo</t>
  </si>
  <si>
    <t>saldo</t>
  </si>
  <si>
    <t>23/4 liberar faturamento com venvt para 30/4</t>
  </si>
  <si>
    <t>dia 1/5 enviar novo pagseguro - libera 4/5</t>
  </si>
  <si>
    <t>faturamento dia 8/5 p/ 15/5</t>
  </si>
  <si>
    <t>Contratado</t>
  </si>
  <si>
    <t>15/5 emitir boleto venc 26/5</t>
  </si>
  <si>
    <t>21/5 emitir faturamento para 30/5</t>
  </si>
  <si>
    <t>21/5 liberar faturamento com venvt para 30/5</t>
  </si>
  <si>
    <t>dia 1/6 enviar novo pagseguro - libera 1/6</t>
  </si>
  <si>
    <t>15/6 emitir boleto venc 26/6</t>
  </si>
  <si>
    <t>CodUC</t>
  </si>
  <si>
    <t>Nome_Razao</t>
  </si>
  <si>
    <t>CPF_CNPJ</t>
  </si>
  <si>
    <t>DataEmissao</t>
  </si>
  <si>
    <t>DataLeituraAnterior</t>
  </si>
  <si>
    <t>DataLeituraAtual</t>
  </si>
  <si>
    <t>DataLeituraProxima</t>
  </si>
  <si>
    <t>PercentualUsina</t>
  </si>
  <si>
    <t>SaldoCreditos</t>
  </si>
  <si>
    <t>SomaDeEnergiaInjetada</t>
  </si>
  <si>
    <t>CotaAlocada</t>
  </si>
  <si>
    <t>TotalEnergiaAlocada</t>
  </si>
  <si>
    <t>TotalEnergiaDevida</t>
  </si>
  <si>
    <t>MedicaoUltimaFatura</t>
  </si>
  <si>
    <t>EnergiaInjetadaUltimoAno</t>
  </si>
  <si>
    <t xml:space="preserve">	ALEXANDRA CRISTINA VIDAL JANUÁRIO SUSTERAS</t>
  </si>
  <si>
    <t>ASSOC ENGOS ARQUIT SANTOS</t>
  </si>
  <si>
    <t>58250903000100</t>
  </si>
  <si>
    <t>UMBERTO VENTURINI FILHO</t>
  </si>
  <si>
    <t>08057262842</t>
  </si>
  <si>
    <t>ADILSON BRONZE</t>
  </si>
  <si>
    <t>AUREA MARIA DANIELA HIDALGO GONCALE</t>
  </si>
  <si>
    <t>03512646638</t>
  </si>
  <si>
    <t>ARLINDO SALGUEIRO</t>
  </si>
  <si>
    <t>GLAUCO MARCHIONI</t>
  </si>
  <si>
    <t>05889302000186</t>
  </si>
  <si>
    <t>ENILDA CESAR E SILVA</t>
  </si>
  <si>
    <t>093015028-79</t>
  </si>
  <si>
    <t>TEIXEIRA CONTABILIDADE LTDA ME</t>
  </si>
  <si>
    <t>07179573000173</t>
  </si>
  <si>
    <t>05946199803</t>
  </si>
  <si>
    <t>IGREJA BATISTA PENIEL</t>
  </si>
  <si>
    <t>47787049000108</t>
  </si>
  <si>
    <t>grupo média</t>
  </si>
  <si>
    <t>859.746.418-68</t>
  </si>
  <si>
    <t>JOAO PEDRO LUIZ MARMO</t>
  </si>
  <si>
    <t>RG</t>
  </si>
  <si>
    <t>Nacimento</t>
  </si>
  <si>
    <t>Senha CPFL</t>
  </si>
  <si>
    <t>7.179.276-4</t>
  </si>
  <si>
    <t>e-mail cadastrado CPFL</t>
  </si>
  <si>
    <t>alexandra@sunmobi.com.br</t>
  </si>
  <si>
    <t>senha CPFL</t>
  </si>
  <si>
    <t>e-mail CPFL</t>
  </si>
  <si>
    <t>alexandra.januario@gmail.com</t>
  </si>
  <si>
    <t>nascimento</t>
  </si>
  <si>
    <t>email CPFL</t>
  </si>
  <si>
    <t>sunmobi.arlindosalgueiro@gmail.com</t>
  </si>
  <si>
    <t>sunmobi.enildasilva@gmail.com</t>
  </si>
  <si>
    <t>malsilva@uol.com.br</t>
  </si>
  <si>
    <t>Acesso CPFL</t>
  </si>
  <si>
    <t>abr</t>
  </si>
  <si>
    <t>mai</t>
  </si>
  <si>
    <t>jun</t>
  </si>
  <si>
    <t>jul</t>
  </si>
  <si>
    <t>Titular</t>
  </si>
  <si>
    <t>CPF/ CNPJ</t>
  </si>
  <si>
    <t>Novo %</t>
  </si>
  <si>
    <t>João Pedro Marmo</t>
  </si>
  <si>
    <t>Henrique Nascimento Hora</t>
  </si>
  <si>
    <t>350.289.918-55</t>
  </si>
  <si>
    <t>Michelle Lapa Cortegiano Molarino</t>
  </si>
  <si>
    <t>257.080.168-25</t>
  </si>
  <si>
    <t>Sociedade de Cultura Itupeva Lt Epp</t>
  </si>
  <si>
    <t>Créditos Alocados ref à geração Jun/18</t>
  </si>
  <si>
    <t>Geração Jun/18</t>
  </si>
  <si>
    <t>Geração não alocada</t>
  </si>
  <si>
    <t>Créditos recebidos referente a junho [kWh]</t>
  </si>
  <si>
    <t>Créditos Devidos referente a junho [kWh]</t>
  </si>
  <si>
    <t>MICHELLE LAPA CORTEGIANO MOLARINO</t>
  </si>
  <si>
    <t>Carlos Eduardo Martins Fontes</t>
  </si>
  <si>
    <t>047.287.278-82</t>
  </si>
  <si>
    <t>ANDRE LUIZ COLLACIO LETTIERI</t>
  </si>
  <si>
    <t>063.020.728-32</t>
  </si>
  <si>
    <t>LEONARDO WESLEY CESAR DA SILVA</t>
  </si>
  <si>
    <t>400.279.628-06</t>
  </si>
  <si>
    <t>25708016825</t>
  </si>
  <si>
    <t>HENRIQUE NASCIMENTO HORA</t>
  </si>
  <si>
    <t>DIOGO JOSE DE CAMPOS</t>
  </si>
  <si>
    <t>263.995.108-48</t>
  </si>
  <si>
    <t>ERIC CARVALHO MOREIRA</t>
  </si>
  <si>
    <t>277.209.648-37</t>
  </si>
  <si>
    <t>RODRIGO MARIANO FAGUNDES DA SILVA</t>
  </si>
  <si>
    <t>218.696.618-26</t>
  </si>
  <si>
    <t>EDISON RIBEIRO SANTOS</t>
  </si>
  <si>
    <t>162.340.178-00</t>
  </si>
  <si>
    <t>ERICA CAROLINE MARTINHO ORTIZ</t>
  </si>
  <si>
    <t>339.975.758-19</t>
  </si>
  <si>
    <t>conta sob revisão</t>
  </si>
  <si>
    <t>LUIZ FERNANDO VIEIRA</t>
  </si>
  <si>
    <t>355.608.668-90</t>
  </si>
  <si>
    <t>ROBERTO SOARES DA SILVA</t>
  </si>
  <si>
    <t>018.464.088-14</t>
  </si>
  <si>
    <t>Diogo José de Campos</t>
  </si>
  <si>
    <t>263995108-48</t>
  </si>
  <si>
    <t>JOÃO PEDRO LUIZ MARMO</t>
  </si>
  <si>
    <t>85974641868</t>
  </si>
  <si>
    <t>Roberto Soares da Silva</t>
  </si>
  <si>
    <t>Rui Sérgio Guerra</t>
  </si>
  <si>
    <t>Edison Ribeiro Santos</t>
  </si>
  <si>
    <t>162340178-00</t>
  </si>
  <si>
    <t xml:space="preserve">	MÁRIO AUGUSTO LIMA E SILVA</t>
  </si>
  <si>
    <t>Adalberto Nascimento</t>
  </si>
  <si>
    <t>587.169.398-91</t>
  </si>
  <si>
    <t>ADALBERTO NASCIMENTO</t>
  </si>
  <si>
    <t>ANGELIA TEREZINHA SEIDEL</t>
  </si>
  <si>
    <t>899.741.589-15</t>
  </si>
  <si>
    <t>APARECIDO PERES FERNANDES</t>
  </si>
  <si>
    <t>032.203.568-69</t>
  </si>
  <si>
    <t>FLAVIO NOVOA ESTEVES</t>
  </si>
  <si>
    <t>074.692.508-59</t>
  </si>
  <si>
    <t>MARIA TERESA VICTORINO DA SILVA</t>
  </si>
  <si>
    <t>149.863.038-30</t>
  </si>
  <si>
    <t>CAMILA BRAZ ALVES DE MOURA</t>
  </si>
  <si>
    <t>297.100.218-77</t>
  </si>
  <si>
    <t>ERIK TADEU DA SILVA</t>
  </si>
  <si>
    <t>214.436.868-67</t>
  </si>
  <si>
    <t>DAVID BUENO GONCALVES</t>
  </si>
  <si>
    <t>097.802.258-03</t>
  </si>
  <si>
    <t>PRISCILLA LEVISKI DA CONCEICAO ALVES</t>
  </si>
  <si>
    <t>354.279.098-26</t>
  </si>
  <si>
    <t>FRANCISCO RICARDO ALOISE FRANZESE</t>
  </si>
  <si>
    <t>199.341.668-44</t>
  </si>
  <si>
    <t>DBMCARGO LOGÍSTICA E TRANSPORTES LTDA</t>
  </si>
  <si>
    <t>10.467.440/0001-07</t>
  </si>
  <si>
    <t>BELMIRO PAIVA NETO</t>
  </si>
  <si>
    <t>036.847.788-69</t>
  </si>
  <si>
    <t>UNIMAR AGENCIAMENTOS MARITIMOS LTDA</t>
  </si>
  <si>
    <t>00.728.995/0001-01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</si>
</sst>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00_-;\-* #,##0.000_-;_-* &quot;-&quot;??_-;_-@_-"/>
    <numFmt numFmtId="167" formatCode="dd\-mmm\-yy"/>
    <numFmt numFmtId="168" formatCode="_-* #,##0.000_-;\-* #,##0.000_-;_-* &quot;-&quot;???_-;_-@_-"/>
    <numFmt numFmtId="169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Vitesse Book"/>
      <family val="3"/>
    </font>
    <font>
      <sz val="11"/>
      <color indexed="8"/>
      <name val="Vitesse Book"/>
      <family val="3"/>
    </font>
    <font>
      <sz val="9"/>
      <color theme="1"/>
      <name val="Vitesse Book"/>
      <family val="3"/>
    </font>
    <font>
      <b/>
      <sz val="20"/>
      <color theme="1"/>
      <name val="Vitesse Book"/>
      <family val="3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4"/>
      <name val="Vitesse Book"/>
      <family val="3"/>
    </font>
    <font>
      <u/>
      <sz val="11"/>
      <color theme="10"/>
      <name val="Calibri"/>
      <family val="2"/>
      <scheme val="minor"/>
    </font>
    <font>
      <sz val="11"/>
      <color rgb="FFFF0000"/>
      <name val="Vitesse Book"/>
      <family val="3"/>
    </font>
    <font>
      <sz val="9"/>
      <color rgb="FFFF0000"/>
      <name val="Vitesse Book"/>
      <family val="3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9" fillId="0" borderId="0" applyNumberFormat="0" applyFill="0" applyBorder="0" applyAlignment="0" applyProtection="0"/>
    <xf numFmtId="0" fontId="1" fillId="10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31" fillId="0" borderId="0"/>
  </cellStyleXfs>
  <cellXfs count="110">
    <xf numFmtId="0" fontId="0" fillId="0" borderId="0" xfId="0"/>
    <xf numFmtId="0" fontId="3" fillId="0" borderId="0" xfId="0" applyFont="1" applyBorder="1"/>
    <xf numFmtId="0" fontId="3" fillId="0" borderId="0" xfId="0" applyFont="1"/>
    <xf numFmtId="14" fontId="4" fillId="0" borderId="0" xfId="3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17" fontId="3" fillId="0" borderId="0" xfId="0" applyNumberFormat="1" applyFont="1" applyBorder="1"/>
    <xf numFmtId="14" fontId="3" fillId="0" borderId="0" xfId="0" applyNumberFormat="1" applyFont="1"/>
    <xf numFmtId="1" fontId="3" fillId="0" borderId="0" xfId="0" applyNumberFormat="1" applyFont="1" applyBorder="1" applyAlignment="1">
      <alignment horizontal="left" vertical="center"/>
    </xf>
    <xf numFmtId="9" fontId="3" fillId="0" borderId="0" xfId="0" applyNumberFormat="1" applyFont="1"/>
    <xf numFmtId="10" fontId="3" fillId="0" borderId="0" xfId="0" applyNumberFormat="1" applyFont="1"/>
    <xf numFmtId="17" fontId="3" fillId="2" borderId="0" xfId="0" applyNumberFormat="1" applyFont="1" applyFill="1" applyBorder="1"/>
    <xf numFmtId="14" fontId="3" fillId="2" borderId="0" xfId="0" applyNumberFormat="1" applyFont="1" applyFill="1"/>
    <xf numFmtId="0" fontId="3" fillId="2" borderId="0" xfId="0" applyFont="1" applyFill="1"/>
    <xf numFmtId="10" fontId="3" fillId="2" borderId="0" xfId="2" applyNumberFormat="1" applyFont="1" applyFill="1"/>
    <xf numFmtId="0" fontId="5" fillId="0" borderId="0" xfId="0" applyFont="1" applyBorder="1" applyAlignment="1">
      <alignment vertical="center" wrapText="1"/>
    </xf>
    <xf numFmtId="0" fontId="5" fillId="0" borderId="0" xfId="1" applyNumberFormat="1" applyFont="1" applyBorder="1" applyAlignment="1">
      <alignment vertical="center" wrapText="1"/>
    </xf>
    <xf numFmtId="14" fontId="5" fillId="0" borderId="0" xfId="0" applyNumberFormat="1" applyFont="1" applyBorder="1" applyAlignment="1">
      <alignment vertical="center" wrapText="1"/>
    </xf>
    <xf numFmtId="0" fontId="3" fillId="3" borderId="0" xfId="0" applyFont="1" applyFill="1"/>
    <xf numFmtId="164" fontId="3" fillId="0" borderId="0" xfId="1" applyNumberFormat="1" applyFont="1" applyBorder="1"/>
    <xf numFmtId="165" fontId="5" fillId="0" borderId="0" xfId="2" applyNumberFormat="1" applyFont="1" applyBorder="1" applyAlignment="1">
      <alignment vertical="center" wrapText="1"/>
    </xf>
    <xf numFmtId="17" fontId="5" fillId="0" borderId="0" xfId="0" applyNumberFormat="1" applyFont="1" applyBorder="1"/>
    <xf numFmtId="14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43" fontId="3" fillId="0" borderId="0" xfId="1" applyFont="1" applyBorder="1"/>
    <xf numFmtId="43" fontId="3" fillId="3" borderId="0" xfId="0" applyNumberFormat="1" applyFont="1" applyFill="1"/>
    <xf numFmtId="9" fontId="3" fillId="0" borderId="0" xfId="0" applyNumberFormat="1" applyFont="1" applyBorder="1"/>
    <xf numFmtId="43" fontId="3" fillId="2" borderId="0" xfId="1" applyFont="1" applyFill="1"/>
    <xf numFmtId="164" fontId="3" fillId="2" borderId="0" xfId="1" applyNumberFormat="1" applyFont="1" applyFill="1"/>
    <xf numFmtId="0" fontId="0" fillId="0" borderId="0" xfId="0" applyFill="1"/>
    <xf numFmtId="9" fontId="5" fillId="0" borderId="0" xfId="2" applyFont="1" applyBorder="1" applyAlignment="1">
      <alignment vertical="center" wrapText="1"/>
    </xf>
    <xf numFmtId="0" fontId="3" fillId="0" borderId="0" xfId="0" applyFont="1" applyFill="1"/>
    <xf numFmtId="0" fontId="0" fillId="0" borderId="0" xfId="0"/>
    <xf numFmtId="14" fontId="3" fillId="2" borderId="0" xfId="1" applyNumberFormat="1" applyFont="1" applyFill="1"/>
    <xf numFmtId="0" fontId="3" fillId="35" borderId="0" xfId="0" applyFont="1" applyFill="1"/>
    <xf numFmtId="2" fontId="3" fillId="3" borderId="0" xfId="0" applyNumberFormat="1" applyFont="1" applyFill="1"/>
    <xf numFmtId="0" fontId="5" fillId="0" borderId="0" xfId="0" applyNumberFormat="1" applyFont="1" applyBorder="1" applyAlignment="1">
      <alignment vertical="center" wrapText="1"/>
    </xf>
    <xf numFmtId="9" fontId="5" fillId="0" borderId="0" xfId="2" applyNumberFormat="1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NumberFormat="1" applyFont="1" applyBorder="1" applyAlignment="1">
      <alignment vertical="center" wrapText="1"/>
    </xf>
    <xf numFmtId="14" fontId="23" fillId="0" borderId="0" xfId="0" applyNumberFormat="1" applyFont="1" applyBorder="1" applyAlignment="1">
      <alignment vertical="center" wrapText="1"/>
    </xf>
    <xf numFmtId="17" fontId="23" fillId="0" borderId="0" xfId="0" applyNumberFormat="1" applyFont="1" applyBorder="1"/>
    <xf numFmtId="14" fontId="23" fillId="0" borderId="0" xfId="0" applyNumberFormat="1" applyFont="1"/>
    <xf numFmtId="0" fontId="23" fillId="0" borderId="0" xfId="0" applyFont="1"/>
    <xf numFmtId="10" fontId="23" fillId="0" borderId="0" xfId="0" applyNumberFormat="1" applyFont="1"/>
    <xf numFmtId="9" fontId="23" fillId="0" borderId="0" xfId="2" applyNumberFormat="1" applyFont="1" applyBorder="1" applyAlignment="1">
      <alignment vertical="center" wrapText="1"/>
    </xf>
    <xf numFmtId="0" fontId="3" fillId="36" borderId="0" xfId="0" applyFont="1" applyFill="1"/>
    <xf numFmtId="0" fontId="24" fillId="36" borderId="0" xfId="45" applyFill="1"/>
    <xf numFmtId="10" fontId="3" fillId="0" borderId="0" xfId="0" applyNumberFormat="1" applyFont="1" applyBorder="1"/>
    <xf numFmtId="43" fontId="3" fillId="0" borderId="0" xfId="1" applyFont="1"/>
    <xf numFmtId="0" fontId="0" fillId="0" borderId="0" xfId="0"/>
    <xf numFmtId="44" fontId="3" fillId="0" borderId="0" xfId="46" applyFont="1"/>
    <xf numFmtId="44" fontId="3" fillId="0" borderId="0" xfId="0" applyNumberFormat="1" applyFont="1"/>
    <xf numFmtId="10" fontId="3" fillId="0" borderId="0" xfId="2" applyNumberFormat="1" applyFont="1"/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165" fontId="3" fillId="0" borderId="0" xfId="2" applyNumberFormat="1" applyFont="1"/>
    <xf numFmtId="166" fontId="5" fillId="0" borderId="0" xfId="1" applyNumberFormat="1" applyFont="1" applyBorder="1" applyAlignment="1">
      <alignment vertical="center" wrapText="1"/>
    </xf>
    <xf numFmtId="17" fontId="3" fillId="0" borderId="0" xfId="0" applyNumberFormat="1" applyFont="1"/>
    <xf numFmtId="9" fontId="3" fillId="0" borderId="0" xfId="2" applyFont="1"/>
    <xf numFmtId="0" fontId="25" fillId="0" borderId="0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164" fontId="3" fillId="0" borderId="0" xfId="0" applyNumberFormat="1" applyFont="1"/>
    <xf numFmtId="2" fontId="3" fillId="0" borderId="0" xfId="0" applyNumberFormat="1" applyFont="1"/>
    <xf numFmtId="43" fontId="3" fillId="0" borderId="0" xfId="0" applyNumberFormat="1" applyFont="1"/>
    <xf numFmtId="0" fontId="27" fillId="0" borderId="12" xfId="47" applyFont="1" applyFill="1" applyBorder="1" applyAlignment="1">
      <alignment horizontal="right" wrapText="1"/>
    </xf>
    <xf numFmtId="0" fontId="27" fillId="0" borderId="13" xfId="47" applyFont="1" applyFill="1" applyBorder="1" applyAlignment="1">
      <alignment horizontal="right" wrapText="1"/>
    </xf>
    <xf numFmtId="0" fontId="27" fillId="37" borderId="14" xfId="47" applyFont="1" applyFill="1" applyBorder="1" applyAlignment="1">
      <alignment horizontal="center"/>
    </xf>
    <xf numFmtId="44" fontId="5" fillId="0" borderId="0" xfId="46" applyFont="1" applyBorder="1" applyAlignment="1">
      <alignment vertical="center" wrapText="1"/>
    </xf>
    <xf numFmtId="9" fontId="5" fillId="0" borderId="0" xfId="4" applyNumberFormat="1" applyFont="1" applyBorder="1" applyAlignment="1">
      <alignment vertical="center" wrapText="1"/>
    </xf>
    <xf numFmtId="4" fontId="3" fillId="0" borderId="0" xfId="0" applyNumberFormat="1" applyFont="1"/>
    <xf numFmtId="0" fontId="24" fillId="0" borderId="0" xfId="45"/>
    <xf numFmtId="0" fontId="0" fillId="0" borderId="0" xfId="0" applyAlignment="1">
      <alignment vertical="center"/>
    </xf>
    <xf numFmtId="0" fontId="24" fillId="0" borderId="0" xfId="45" applyAlignment="1">
      <alignment vertical="center"/>
    </xf>
    <xf numFmtId="0" fontId="28" fillId="0" borderId="17" xfId="0" applyFont="1" applyBorder="1" applyAlignment="1">
      <alignment vertical="center"/>
    </xf>
    <xf numFmtId="0" fontId="28" fillId="0" borderId="18" xfId="0" applyFont="1" applyBorder="1" applyAlignment="1">
      <alignment vertical="center"/>
    </xf>
    <xf numFmtId="10" fontId="28" fillId="0" borderId="18" xfId="0" applyNumberFormat="1" applyFont="1" applyBorder="1" applyAlignment="1">
      <alignment vertical="center"/>
    </xf>
    <xf numFmtId="0" fontId="0" fillId="0" borderId="0" xfId="0" applyAlignment="1">
      <alignment horizontal="right"/>
    </xf>
    <xf numFmtId="166" fontId="28" fillId="0" borderId="18" xfId="1" applyNumberFormat="1" applyFont="1" applyBorder="1" applyAlignment="1">
      <alignment vertical="center"/>
    </xf>
    <xf numFmtId="166" fontId="0" fillId="0" borderId="0" xfId="1" applyNumberFormat="1" applyFont="1"/>
    <xf numFmtId="168" fontId="0" fillId="0" borderId="0" xfId="0" applyNumberFormat="1"/>
    <xf numFmtId="0" fontId="28" fillId="35" borderId="17" xfId="0" applyFont="1" applyFill="1" applyBorder="1" applyAlignment="1">
      <alignment vertical="center"/>
    </xf>
    <xf numFmtId="0" fontId="28" fillId="35" borderId="18" xfId="0" applyFont="1" applyFill="1" applyBorder="1" applyAlignment="1">
      <alignment vertical="center"/>
    </xf>
    <xf numFmtId="10" fontId="28" fillId="35" borderId="18" xfId="0" applyNumberFormat="1" applyFont="1" applyFill="1" applyBorder="1" applyAlignment="1">
      <alignment vertical="center"/>
    </xf>
    <xf numFmtId="166" fontId="28" fillId="35" borderId="18" xfId="1" applyNumberFormat="1" applyFont="1" applyFill="1" applyBorder="1" applyAlignment="1">
      <alignment vertical="center"/>
    </xf>
    <xf numFmtId="0" fontId="21" fillId="0" borderId="0" xfId="0" applyFont="1"/>
    <xf numFmtId="0" fontId="21" fillId="0" borderId="0" xfId="0" applyFont="1" applyAlignment="1">
      <alignment horizontal="right"/>
    </xf>
    <xf numFmtId="166" fontId="21" fillId="35" borderId="0" xfId="1" applyNumberFormat="1" applyFont="1" applyFill="1"/>
    <xf numFmtId="0" fontId="29" fillId="0" borderId="15" xfId="0" applyFont="1" applyBorder="1" applyAlignment="1">
      <alignment vertical="center" wrapText="1"/>
    </xf>
    <xf numFmtId="0" fontId="29" fillId="0" borderId="16" xfId="0" applyFont="1" applyBorder="1" applyAlignment="1">
      <alignment vertical="center" wrapText="1"/>
    </xf>
    <xf numFmtId="0" fontId="0" fillId="0" borderId="0" xfId="0" applyAlignment="1">
      <alignment wrapText="1"/>
    </xf>
    <xf numFmtId="16" fontId="0" fillId="0" borderId="0" xfId="0" applyNumberFormat="1"/>
    <xf numFmtId="9" fontId="5" fillId="0" borderId="0" xfId="1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9" fontId="5" fillId="0" borderId="0" xfId="0" applyNumberFormat="1" applyFont="1" applyBorder="1" applyAlignment="1">
      <alignment vertical="center" wrapText="1"/>
    </xf>
    <xf numFmtId="169" fontId="3" fillId="0" borderId="0" xfId="0" applyNumberFormat="1" applyFont="1"/>
    <xf numFmtId="166" fontId="3" fillId="0" borderId="0" xfId="1" applyNumberFormat="1" applyFont="1" applyBorder="1"/>
    <xf numFmtId="17" fontId="5" fillId="0" borderId="0" xfId="0" applyNumberFormat="1" applyFont="1" applyBorder="1" applyAlignment="1">
      <alignment vertical="center" wrapText="1"/>
    </xf>
    <xf numFmtId="10" fontId="5" fillId="0" borderId="0" xfId="0" applyNumberFormat="1" applyFont="1" applyBorder="1" applyAlignment="1">
      <alignment vertical="center" wrapText="1"/>
    </xf>
    <xf numFmtId="0" fontId="30" fillId="37" borderId="10" xfId="48" applyFont="1" applyFill="1" applyBorder="1" applyAlignment="1">
      <alignment horizontal="center"/>
    </xf>
    <xf numFmtId="0" fontId="30" fillId="0" borderId="11" xfId="48" applyFont="1" applyFill="1" applyBorder="1" applyAlignment="1">
      <alignment wrapText="1"/>
    </xf>
    <xf numFmtId="167" fontId="30" fillId="0" borderId="11" xfId="48" applyNumberFormat="1" applyFont="1" applyFill="1" applyBorder="1" applyAlignment="1">
      <alignment horizontal="right" wrapText="1"/>
    </xf>
    <xf numFmtId="0" fontId="30" fillId="0" borderId="11" xfId="48" applyFont="1" applyFill="1" applyBorder="1" applyAlignment="1">
      <alignment horizontal="right" wrapText="1"/>
    </xf>
    <xf numFmtId="0" fontId="31" fillId="0" borderId="0" xfId="48"/>
    <xf numFmtId="0" fontId="30" fillId="0" borderId="11" xfId="48" applyNumberFormat="1" applyFont="1" applyFill="1" applyBorder="1" applyAlignment="1">
      <alignment wrapText="1"/>
    </xf>
    <xf numFmtId="16" fontId="3" fillId="0" borderId="0" xfId="0" applyNumberFormat="1" applyFont="1" applyBorder="1"/>
    <xf numFmtId="0" fontId="6" fillId="0" borderId="0" xfId="0" applyFont="1" applyBorder="1" applyAlignment="1">
      <alignment horizontal="center" vertical="center" wrapText="1"/>
    </xf>
  </cellXfs>
  <cellStyles count="49">
    <cellStyle name="20% - Ênfase1" xfId="22" builtinId="30" customBuiltin="1"/>
    <cellStyle name="20% - Ênfase2" xfId="26" builtinId="34" customBuiltin="1"/>
    <cellStyle name="20% - Ênfase3" xfId="30" builtinId="38" customBuiltin="1"/>
    <cellStyle name="20% - Ênfase4" xfId="34" builtinId="42" customBuiltin="1"/>
    <cellStyle name="20% - Ênfase5" xfId="38" builtinId="46" customBuiltin="1"/>
    <cellStyle name="20% - Ênfase6" xfId="42" builtinId="50" customBuiltin="1"/>
    <cellStyle name="40% - Ênfase1" xfId="23" builtinId="31" customBuiltin="1"/>
    <cellStyle name="40% - Ênfase2" xfId="27" builtinId="35" customBuiltin="1"/>
    <cellStyle name="40% - Ênfase3" xfId="31" builtinId="39" customBuiltin="1"/>
    <cellStyle name="40% - Ênfase4" xfId="35" builtinId="43" customBuiltin="1"/>
    <cellStyle name="40% - Ênfase5" xfId="39" builtinId="47" customBuiltin="1"/>
    <cellStyle name="40% - Ênfase6" xfId="43" builtinId="51" customBuiltin="1"/>
    <cellStyle name="60% - Ênfase1" xfId="24" builtinId="32" customBuiltin="1"/>
    <cellStyle name="60% - Ênfase2" xfId="28" builtinId="36" customBuiltin="1"/>
    <cellStyle name="60% - Ênfase3" xfId="32" builtinId="40" customBuiltin="1"/>
    <cellStyle name="60% - Ênfase4" xfId="36" builtinId="44" customBuiltin="1"/>
    <cellStyle name="60% - Ênfase5" xfId="40" builtinId="48" customBuiltin="1"/>
    <cellStyle name="60% - Ênfase6" xfId="44" builtinId="52" customBuiltin="1"/>
    <cellStyle name="Bom" xfId="9" builtinId="26" customBuiltin="1"/>
    <cellStyle name="Cálculo" xfId="14" builtinId="22" customBuiltin="1"/>
    <cellStyle name="Célula de Verificação" xfId="16" builtinId="23" customBuiltin="1"/>
    <cellStyle name="Célula Vinculada" xfId="15" builtinId="24" customBuiltin="1"/>
    <cellStyle name="Ênfase1" xfId="21" builtinId="29" customBuiltin="1"/>
    <cellStyle name="Ênfase2" xfId="25" builtinId="33" customBuiltin="1"/>
    <cellStyle name="Ênfase3" xfId="29" builtinId="37" customBuiltin="1"/>
    <cellStyle name="Ênfase4" xfId="33" builtinId="41" customBuiltin="1"/>
    <cellStyle name="Ênfase5" xfId="37" builtinId="45" customBuiltin="1"/>
    <cellStyle name="Ênfase6" xfId="41" builtinId="49" customBuiltin="1"/>
    <cellStyle name="Entrada" xfId="12" builtinId="20" customBuiltin="1"/>
    <cellStyle name="Hiperlink" xfId="45" builtinId="8"/>
    <cellStyle name="Moeda" xfId="46" builtinId="4"/>
    <cellStyle name="Neutro" xfId="11" builtinId="28" customBuiltin="1"/>
    <cellStyle name="Normal" xfId="0" builtinId="0"/>
    <cellStyle name="Normal_instalação do sensor" xfId="3" xr:uid="{64CE2393-693C-4A54-9B0D-CFFE8F430D93}"/>
    <cellStyle name="Normal_Planilha1" xfId="47" xr:uid="{D33671DB-F38F-4A48-8C79-7DA47902F784}"/>
    <cellStyle name="Normal_Planilha1_2" xfId="48" xr:uid="{6F19FF5D-17EB-43B3-AEC5-986E75687A5A}"/>
    <cellStyle name="Nota" xfId="18" builtinId="10" customBuiltin="1"/>
    <cellStyle name="Porcentagem" xfId="2" builtinId="5"/>
    <cellStyle name="Ruim" xfId="10" builtinId="27" customBuiltin="1"/>
    <cellStyle name="Saída" xfId="13" builtinId="21" customBuiltin="1"/>
    <cellStyle name="Texto de Aviso" xfId="17" builtinId="11" customBuiltin="1"/>
    <cellStyle name="Texto Explicativo" xfId="19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20" builtinId="25" customBuiltin="1"/>
    <cellStyle name="Vírgula" xfId="1" builtinId="3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13" formatCode="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Vitesse Book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itesse Book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itesse Book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62752</xdr:colOff>
      <xdr:row>0</xdr:row>
      <xdr:rowOff>98612</xdr:rowOff>
    </xdr:from>
    <xdr:to>
      <xdr:col>0</xdr:col>
      <xdr:colOff>969418</xdr:colOff>
      <xdr:row>7</xdr:row>
      <xdr:rowOff>98479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6483910-D534-4F40-AC8D-99BF2FB3B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2" y="98612"/>
          <a:ext cx="914286" cy="10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1F8CD-7F62-4C6F-95E2-52B9E68651D7}" name="Tabela2" displayName="Tabela2" ref="A15:W61" totalsRowShown="0" headerRowDxfId="24" dataDxfId="23">
  <autoFilter ref="A15:W61" xr:uid="{EEA2EBB1-07DE-4AB1-8CFC-78CE08235E38}"/>
  <sortState ref="A16:W61">
    <sortCondition ref="N15:N61"/>
  </sortState>
  <tableColumns count="23">
    <tableColumn id="1" xr3:uid="{BF084E07-49BB-43BF-BEA3-802792DAB88F}" name="UC" dataDxfId="22"/>
    <tableColumn id="2" xr3:uid="{80039638-C57B-4BD0-A46C-881C8871B235}" name="Cliente" dataDxfId="21">
      <calculatedColumnFormula>INDIRECT(A16&amp;"!b1")</calculatedColumnFormula>
    </tableColumn>
    <tableColumn id="17" xr3:uid="{81D3845C-376A-4D0B-8612-65078FD06201}" name="CPF" dataDxfId="20">
      <calculatedColumnFormula>INDIRECT(A16&amp;"!b2")</calculatedColumnFormula>
    </tableColumn>
    <tableColumn id="3" xr3:uid="{60416F7E-F7E3-40A7-ADAC-3173FB988677}" name="Início Quota" dataDxfId="19">
      <calculatedColumnFormula>INDIRECT(A16&amp;"!b4")</calculatedColumnFormula>
    </tableColumn>
    <tableColumn id="4" xr3:uid="{E11D965A-9FE4-417A-96EA-CE56C75E1558}" name="Meses pagos" dataDxfId="18">
      <calculatedColumnFormula>IF((YEAR($D$8)-YEAR(D16))*12+MONTH($D$8)-MONTH(D16)&lt;0,0,(YEAR($D$8)-YEAR(D16))*12+MONTH($D$8)-MONTH(D16))</calculatedColumnFormula>
    </tableColumn>
    <tableColumn id="5" xr3:uid="{219DC6D2-9A3F-436C-9B67-630EC5171ACD}" name="Conta Mês" dataDxfId="17">
      <calculatedColumnFormula>INDIRECT(A16&amp;"!a8")</calculatedColumnFormula>
    </tableColumn>
    <tableColumn id="6" xr3:uid="{8D2F45F0-1A27-46AA-AC66-0722331B53F6}" name="Início Leitura" dataDxfId="16">
      <calculatedColumnFormula>INDIRECT(A16&amp;"!b8")</calculatedColumnFormula>
    </tableColumn>
    <tableColumn id="7" xr3:uid="{E9905B2A-E3DA-4023-B040-1A6490C147E6}" name="Fim Leitura" dataDxfId="15">
      <calculatedColumnFormula>INDIRECT(A16&amp;"!c8")</calculatedColumnFormula>
    </tableColumn>
    <tableColumn id="8" xr3:uid="{D48F8A35-B1D6-479C-9471-5CBF39B03EC4}" name="Quota Contratada" dataDxfId="14">
      <calculatedColumnFormula>INDIRECT(A16&amp;"!d8")</calculatedColumnFormula>
    </tableColumn>
    <tableColumn id="9" xr3:uid="{31F4ABF2-397A-497C-8085-55EE6F225E8F}" name="Última % Alocada" dataDxfId="13">
      <calculatedColumnFormula>INDIRECT(A16&amp;"!e8")</calculatedColumnFormula>
    </tableColumn>
    <tableColumn id="10" xr3:uid="{62E639AF-28A5-49BD-B961-F3AA70C0CAF5}" name="Última Quota Alocada" dataDxfId="12">
      <calculatedColumnFormula>INDIRECT(A16&amp;"!f8")</calculatedColumnFormula>
    </tableColumn>
    <tableColumn id="11" xr3:uid="{B4513890-FDA5-4E69-A0A5-550554E7FF70}" name="Última Quota Utilizada" dataDxfId="11">
      <calculatedColumnFormula>INDIRECT(A16&amp;"!g8")</calculatedColumnFormula>
    </tableColumn>
    <tableColumn id="12" xr3:uid="{3C9F2C7B-2877-46C2-8C61-7E69C51DB432}" name="Saldo CPFL" dataDxfId="10">
      <calculatedColumnFormula>INDIRECT(A16&amp;"!i8")</calculatedColumnFormula>
    </tableColumn>
    <tableColumn id="13" xr3:uid="{5E9818DF-8837-4DE4-BE62-17133E122ED5}" name="Próxima Leitura" dataDxfId="9">
      <calculatedColumnFormula>INDIRECT(A16&amp;"!j8")</calculatedColumnFormula>
    </tableColumn>
    <tableColumn id="14" xr3:uid="{BC3F9371-EE07-4E90-8399-87B1C86C20F8}" name="Quota Devida Sun Mobi" dataDxfId="8">
      <calculatedColumnFormula>E16*I16</calculatedColumnFormula>
    </tableColumn>
    <tableColumn id="15" xr3:uid="{A01C5F4F-C022-4941-A547-85F03760DC9B}" name="Total de Quotas Entregues Sun Mobi" dataDxfId="7">
      <calculatedColumnFormula>INDIRECT(A16&amp;"!b5")</calculatedColumnFormula>
    </tableColumn>
    <tableColumn id="22" xr3:uid="{0B890780-2D52-45CE-83F1-68A6A4DA924F}" name="Meses de quotas recebidas" dataDxfId="6">
      <calculatedColumnFormula>INDIRECT(A16&amp;"!f7")</calculatedColumnFormula>
    </tableColumn>
    <tableColumn id="16" xr3:uid="{831DB18B-02D0-459F-8CA8-970F1D198792}" name="Saldo Sun Mobi" dataDxfId="5">
      <calculatedColumnFormula>P16-O16</calculatedColumnFormula>
    </tableColumn>
    <tableColumn id="23" xr3:uid="{F2519CDE-EDA3-4E18-AD99-2CCFC4DEF4A9}" name="Consumo CPFL" dataDxfId="4">
      <calculatedColumnFormula>INDIRECT(A16&amp;"!k8")</calculatedColumnFormula>
    </tableColumn>
    <tableColumn id="18" xr3:uid="{385A2C54-E9DA-4BC3-B8B2-F3B358172CE4}" name="Confiabilidade Efergy" dataDxfId="3">
      <calculatedColumnFormula>1-ABS((INDIRECT(A16&amp;"!l8")-INDIRECT(A16&amp;"!k8"))/INDIRECT(A16&amp;"!k8"))</calculatedColumnFormula>
    </tableColumn>
    <tableColumn id="19" xr3:uid="{7862177D-8DB8-4258-B708-87FFACD5250C}" name="horas faltantes Efergy" dataDxfId="2">
      <calculatedColumnFormula>INDIRECT(A16&amp;"!m8")</calculatedColumnFormula>
    </tableColumn>
    <tableColumn id="20" xr3:uid="{10F36BF9-8467-4A8B-9939-F25FC2886295}" name="Liberação PagSeguro" dataDxfId="1">
      <calculatedColumnFormula>INDIRECT(A16&amp;"!n8")</calculatedColumnFormula>
    </tableColumn>
    <tableColumn id="21" xr3:uid="{619C3620-5C1E-465C-ACE7-3B35F7025B98}" name="saldo" dataDxfId="0">
      <calculatedColumnFormula>INDIRECT(A16&amp;"!b6")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malsilva@uol.com.b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sunmobi.enildasilva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alexandra@sunmobi.com.br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lexandra.januario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nmobi.arlindosalgueiro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cobranca@premodisa.com.b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5DAA-12CF-4582-A5F7-4C4758580D15}">
  <dimension ref="A1:J30"/>
  <sheetViews>
    <sheetView workbookViewId="0">
      <selection activeCell="B19" sqref="B19"/>
    </sheetView>
  </sheetViews>
  <sheetFormatPr defaultRowHeight="14.4" x14ac:dyDescent="0.3"/>
  <cols>
    <col min="1" max="1" width="11" bestFit="1" customWidth="1"/>
    <col min="2" max="2" width="51.6640625" bestFit="1" customWidth="1"/>
    <col min="3" max="3" width="17.77734375" bestFit="1" customWidth="1"/>
    <col min="5" max="5" width="19.5546875" customWidth="1"/>
    <col min="6" max="6" width="18.33203125" customWidth="1"/>
    <col min="7" max="7" width="19.5546875" customWidth="1"/>
  </cols>
  <sheetData>
    <row r="1" spans="1:10" s="93" customFormat="1" ht="43.8" thickBot="1" x14ac:dyDescent="0.35">
      <c r="A1" s="91" t="s">
        <v>6</v>
      </c>
      <c r="B1" s="92" t="s">
        <v>169</v>
      </c>
      <c r="C1" s="92" t="s">
        <v>170</v>
      </c>
      <c r="D1" s="92" t="s">
        <v>171</v>
      </c>
      <c r="E1" s="92" t="s">
        <v>181</v>
      </c>
      <c r="F1" s="92" t="s">
        <v>182</v>
      </c>
    </row>
    <row r="2" spans="1:10" ht="15" thickBot="1" x14ac:dyDescent="0.35">
      <c r="A2" s="77">
        <v>2096000791</v>
      </c>
      <c r="B2" s="78" t="s">
        <v>34</v>
      </c>
      <c r="C2" s="78" t="s">
        <v>35</v>
      </c>
      <c r="D2" s="79">
        <v>0</v>
      </c>
      <c r="E2" s="81">
        <v>0</v>
      </c>
      <c r="F2" s="81">
        <f>$E$22*D2</f>
        <v>0</v>
      </c>
    </row>
    <row r="3" spans="1:10" ht="15" thickBot="1" x14ac:dyDescent="0.35">
      <c r="A3" s="77">
        <v>2002764784</v>
      </c>
      <c r="B3" s="78" t="s">
        <v>26</v>
      </c>
      <c r="C3" s="78" t="s">
        <v>27</v>
      </c>
      <c r="D3" s="79">
        <v>0</v>
      </c>
      <c r="E3" s="81">
        <v>0</v>
      </c>
      <c r="F3" s="81">
        <f t="shared" ref="F3:F20" si="0">$E$22*D3</f>
        <v>0</v>
      </c>
    </row>
    <row r="4" spans="1:10" ht="15" thickBot="1" x14ac:dyDescent="0.35">
      <c r="A4" s="77">
        <v>4001912941</v>
      </c>
      <c r="B4" s="78" t="s">
        <v>2</v>
      </c>
      <c r="C4" s="78" t="s">
        <v>3</v>
      </c>
      <c r="D4" s="79">
        <v>5.4000000000000003E-3</v>
      </c>
      <c r="E4" s="81">
        <v>45.576000000000001</v>
      </c>
      <c r="F4" s="81">
        <f t="shared" si="0"/>
        <v>45.576000000000001</v>
      </c>
    </row>
    <row r="5" spans="1:10" ht="15" thickBot="1" x14ac:dyDescent="0.35">
      <c r="A5" s="77">
        <v>2076499308</v>
      </c>
      <c r="B5" s="78" t="s">
        <v>32</v>
      </c>
      <c r="C5" s="78" t="s">
        <v>33</v>
      </c>
      <c r="D5" s="79">
        <v>5.1999999999999998E-3</v>
      </c>
      <c r="E5" s="81">
        <v>43.887999999999998</v>
      </c>
      <c r="F5" s="81">
        <f t="shared" si="0"/>
        <v>43.887999999999998</v>
      </c>
    </row>
    <row r="6" spans="1:10" ht="15" thickBot="1" x14ac:dyDescent="0.35">
      <c r="A6" s="77">
        <v>2021510989</v>
      </c>
      <c r="B6" s="78" t="s">
        <v>36</v>
      </c>
      <c r="C6" s="78" t="s">
        <v>37</v>
      </c>
      <c r="D6" s="79">
        <v>5.1999999999999998E-3</v>
      </c>
      <c r="E6" s="81">
        <v>43.887999999999998</v>
      </c>
      <c r="F6" s="81">
        <f t="shared" si="0"/>
        <v>43.887999999999998</v>
      </c>
    </row>
    <row r="7" spans="1:10" ht="15" thickBot="1" x14ac:dyDescent="0.35">
      <c r="A7" s="77">
        <v>4000332114</v>
      </c>
      <c r="B7" s="78" t="s">
        <v>30</v>
      </c>
      <c r="C7" s="78" t="s">
        <v>31</v>
      </c>
      <c r="D7" s="79">
        <v>1.0500000000000001E-2</v>
      </c>
      <c r="E7" s="81">
        <v>88.62</v>
      </c>
      <c r="F7" s="81">
        <f t="shared" si="0"/>
        <v>88.62</v>
      </c>
      <c r="I7" s="94">
        <v>43262</v>
      </c>
      <c r="J7" s="94">
        <v>43332</v>
      </c>
    </row>
    <row r="8" spans="1:10" ht="15" thickBot="1" x14ac:dyDescent="0.35">
      <c r="A8" s="84">
        <v>2096377569</v>
      </c>
      <c r="B8" s="85" t="s">
        <v>172</v>
      </c>
      <c r="C8" s="85" t="s">
        <v>148</v>
      </c>
      <c r="D8" s="86">
        <v>1.0500000000000001E-2</v>
      </c>
      <c r="E8" s="87">
        <v>0</v>
      </c>
      <c r="F8" s="87">
        <f t="shared" si="0"/>
        <v>88.62</v>
      </c>
      <c r="I8" s="94">
        <f>I7+60</f>
        <v>43322</v>
      </c>
      <c r="J8">
        <f>I7-J7</f>
        <v>-70</v>
      </c>
    </row>
    <row r="9" spans="1:10" ht="15" thickBot="1" x14ac:dyDescent="0.35">
      <c r="A9" s="77">
        <v>2094430918</v>
      </c>
      <c r="B9" s="78" t="s">
        <v>39</v>
      </c>
      <c r="C9" s="78" t="s">
        <v>40</v>
      </c>
      <c r="D9" s="79">
        <v>1.5699999999999999E-2</v>
      </c>
      <c r="E9" s="81">
        <v>132.50799999999998</v>
      </c>
      <c r="F9" s="81">
        <f t="shared" si="0"/>
        <v>132.50799999999998</v>
      </c>
    </row>
    <row r="10" spans="1:10" ht="15" thickBot="1" x14ac:dyDescent="0.35">
      <c r="A10" s="77">
        <v>2082483477</v>
      </c>
      <c r="B10" s="78" t="s">
        <v>24</v>
      </c>
      <c r="C10" s="78" t="s">
        <v>25</v>
      </c>
      <c r="D10" s="79">
        <v>1.5699999999999999E-2</v>
      </c>
      <c r="E10" s="81">
        <v>132.50799999999998</v>
      </c>
      <c r="F10" s="81">
        <f t="shared" si="0"/>
        <v>132.50799999999998</v>
      </c>
    </row>
    <row r="11" spans="1:10" ht="15" thickBot="1" x14ac:dyDescent="0.35">
      <c r="A11" s="84">
        <v>2021489297</v>
      </c>
      <c r="B11" s="85" t="s">
        <v>173</v>
      </c>
      <c r="C11" s="85" t="s">
        <v>174</v>
      </c>
      <c r="D11" s="86">
        <v>1.5699999999999999E-2</v>
      </c>
      <c r="E11" s="87">
        <v>0</v>
      </c>
      <c r="F11" s="87">
        <f t="shared" si="0"/>
        <v>132.50799999999998</v>
      </c>
    </row>
    <row r="12" spans="1:10" ht="15" thickBot="1" x14ac:dyDescent="0.35">
      <c r="A12" s="77">
        <v>2022806598</v>
      </c>
      <c r="B12" s="78" t="s">
        <v>28</v>
      </c>
      <c r="C12" s="78" t="s">
        <v>29</v>
      </c>
      <c r="D12" s="79">
        <v>2.0899999999999998E-2</v>
      </c>
      <c r="E12" s="81">
        <v>176.39599999999999</v>
      </c>
      <c r="F12" s="81">
        <f t="shared" si="0"/>
        <v>176.39599999999999</v>
      </c>
    </row>
    <row r="13" spans="1:10" ht="15" thickBot="1" x14ac:dyDescent="0.35">
      <c r="A13" s="77">
        <v>4000016164</v>
      </c>
      <c r="B13" s="78" t="s">
        <v>41</v>
      </c>
      <c r="C13" s="78" t="s">
        <v>42</v>
      </c>
      <c r="D13" s="79">
        <v>3.1399999999999997E-2</v>
      </c>
      <c r="E13" s="81">
        <v>265.01599999999996</v>
      </c>
      <c r="F13" s="81">
        <f t="shared" si="0"/>
        <v>265.01599999999996</v>
      </c>
    </row>
    <row r="14" spans="1:10" ht="15" thickBot="1" x14ac:dyDescent="0.35">
      <c r="A14" s="77">
        <v>2002369052</v>
      </c>
      <c r="B14" s="78" t="s">
        <v>51</v>
      </c>
      <c r="C14" s="78" t="s">
        <v>52</v>
      </c>
      <c r="D14" s="79">
        <v>3.6600000000000001E-2</v>
      </c>
      <c r="E14" s="81">
        <v>308.904</v>
      </c>
      <c r="F14" s="81">
        <f t="shared" si="0"/>
        <v>308.904</v>
      </c>
    </row>
    <row r="15" spans="1:10" ht="15" thickBot="1" x14ac:dyDescent="0.35">
      <c r="A15" s="77">
        <v>2021874891</v>
      </c>
      <c r="B15" s="78" t="s">
        <v>45</v>
      </c>
      <c r="C15" s="78" t="s">
        <v>46</v>
      </c>
      <c r="D15" s="79">
        <v>4.7100000000000003E-2</v>
      </c>
      <c r="E15" s="81">
        <v>397.524</v>
      </c>
      <c r="F15" s="81">
        <f t="shared" si="0"/>
        <v>397.524</v>
      </c>
    </row>
    <row r="16" spans="1:10" ht="15" thickBot="1" x14ac:dyDescent="0.35">
      <c r="A16" s="84">
        <v>2023301279</v>
      </c>
      <c r="B16" s="85" t="s">
        <v>175</v>
      </c>
      <c r="C16" s="85" t="s">
        <v>176</v>
      </c>
      <c r="D16" s="86">
        <v>9.9500000000000005E-2</v>
      </c>
      <c r="E16" s="87">
        <v>0</v>
      </c>
      <c r="F16" s="87">
        <f t="shared" si="0"/>
        <v>839.78000000000009</v>
      </c>
    </row>
    <row r="17" spans="1:6" ht="15" thickBot="1" x14ac:dyDescent="0.35">
      <c r="A17" s="77">
        <v>2083993169</v>
      </c>
      <c r="B17" s="78" t="s">
        <v>49</v>
      </c>
      <c r="C17" s="78" t="s">
        <v>50</v>
      </c>
      <c r="D17" s="79">
        <v>0.1047</v>
      </c>
      <c r="E17" s="81">
        <v>883.66800000000001</v>
      </c>
      <c r="F17" s="81">
        <f t="shared" si="0"/>
        <v>883.66800000000001</v>
      </c>
    </row>
    <row r="18" spans="1:6" ht="15" thickBot="1" x14ac:dyDescent="0.35">
      <c r="A18" s="77">
        <v>2024636746</v>
      </c>
      <c r="B18" s="78" t="s">
        <v>177</v>
      </c>
      <c r="C18" s="78" t="s">
        <v>78</v>
      </c>
      <c r="D18" s="79">
        <v>0.14660000000000001</v>
      </c>
      <c r="E18" s="81">
        <v>1237.3040000000001</v>
      </c>
      <c r="F18" s="81">
        <f t="shared" si="0"/>
        <v>1237.3040000000001</v>
      </c>
    </row>
    <row r="19" spans="1:6" ht="15" thickBot="1" x14ac:dyDescent="0.35">
      <c r="A19" s="77">
        <v>2020707291</v>
      </c>
      <c r="B19" s="78" t="s">
        <v>43</v>
      </c>
      <c r="C19" s="78" t="s">
        <v>44</v>
      </c>
      <c r="D19" s="79">
        <v>0.2094</v>
      </c>
      <c r="E19" s="81">
        <v>1767.336</v>
      </c>
      <c r="F19" s="81">
        <f t="shared" si="0"/>
        <v>1767.336</v>
      </c>
    </row>
    <row r="20" spans="1:6" ht="15" thickBot="1" x14ac:dyDescent="0.35">
      <c r="A20" s="77">
        <v>2021507732</v>
      </c>
      <c r="B20" s="78" t="s">
        <v>47</v>
      </c>
      <c r="C20" s="78" t="s">
        <v>48</v>
      </c>
      <c r="D20" s="79">
        <v>0.21990000000000001</v>
      </c>
      <c r="E20" s="81">
        <v>1855.9560000000001</v>
      </c>
      <c r="F20" s="81">
        <f t="shared" si="0"/>
        <v>1855.9560000000001</v>
      </c>
    </row>
    <row r="21" spans="1:6" x14ac:dyDescent="0.3">
      <c r="D21" s="80" t="s">
        <v>178</v>
      </c>
      <c r="E21" s="82">
        <f>SUM(E2:E20)</f>
        <v>7379.0920000000006</v>
      </c>
      <c r="F21" s="83">
        <f>SUM(F2:F20)</f>
        <v>8440</v>
      </c>
    </row>
    <row r="22" spans="1:6" x14ac:dyDescent="0.3">
      <c r="D22" s="80" t="s">
        <v>179</v>
      </c>
      <c r="E22" s="82">
        <v>8440</v>
      </c>
    </row>
    <row r="23" spans="1:6" x14ac:dyDescent="0.3">
      <c r="C23" s="88"/>
      <c r="D23" s="89" t="s">
        <v>180</v>
      </c>
      <c r="E23" s="90">
        <f>E22-E21</f>
        <v>1060.9079999999994</v>
      </c>
    </row>
    <row r="28" spans="1:6" x14ac:dyDescent="0.3">
      <c r="C28" s="94">
        <v>43308</v>
      </c>
      <c r="E28">
        <f>E23/F21</f>
        <v>0.12569999999999992</v>
      </c>
    </row>
    <row r="29" spans="1:6" x14ac:dyDescent="0.3">
      <c r="C29" s="94">
        <v>43286</v>
      </c>
    </row>
    <row r="30" spans="1:6" x14ac:dyDescent="0.3">
      <c r="C30">
        <f>C28-C29</f>
        <v>22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43D7-75AE-4A50-8ED2-30D8276C6471}">
  <sheetPr codeName="Planilha8"/>
  <dimension ref="A1:S35"/>
  <sheetViews>
    <sheetView workbookViewId="0">
      <selection activeCell="Q19" sqref="Q19:S20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2.33203125" style="2" customWidth="1"/>
    <col min="12" max="13" width="8.88671875" style="2"/>
    <col min="14" max="14" width="14.33203125" style="2" customWidth="1"/>
    <col min="15" max="18" width="8.88671875" style="2"/>
    <col min="19" max="19" width="11.6640625" style="2" customWidth="1"/>
    <col min="20" max="16384" width="8.88671875" style="2"/>
  </cols>
  <sheetData>
    <row r="1" spans="1:19" x14ac:dyDescent="0.25">
      <c r="A1" s="2" t="s">
        <v>4</v>
      </c>
      <c r="B1" s="4" t="s">
        <v>34</v>
      </c>
    </row>
    <row r="2" spans="1:19" ht="14.4" x14ac:dyDescent="0.25">
      <c r="A2" s="2" t="s">
        <v>5</v>
      </c>
      <c r="B2" s="5" t="s">
        <v>35</v>
      </c>
      <c r="F2" s="2">
        <v>4820</v>
      </c>
      <c r="G2" s="2">
        <f>F2*E11</f>
        <v>2217.2000000000003</v>
      </c>
      <c r="H2" s="2" t="s">
        <v>59</v>
      </c>
      <c r="J2" s="2" t="s">
        <v>164</v>
      </c>
      <c r="K2" s="76" t="s">
        <v>163</v>
      </c>
    </row>
    <row r="3" spans="1:19" ht="14.4" x14ac:dyDescent="0.25">
      <c r="A3" s="2" t="s">
        <v>6</v>
      </c>
      <c r="B3" s="10">
        <v>2096000791</v>
      </c>
      <c r="F3" s="2">
        <v>8800</v>
      </c>
      <c r="G3" s="2">
        <f>F3*E12</f>
        <v>326.48</v>
      </c>
      <c r="H3" s="2" t="s">
        <v>60</v>
      </c>
      <c r="J3" s="2" t="s">
        <v>152</v>
      </c>
      <c r="K3" s="75">
        <v>272745</v>
      </c>
    </row>
    <row r="4" spans="1:19" x14ac:dyDescent="0.25">
      <c r="A4" s="2" t="s">
        <v>7</v>
      </c>
      <c r="B4" s="3">
        <v>43057</v>
      </c>
      <c r="F4" s="2">
        <v>7600</v>
      </c>
      <c r="G4" s="2">
        <f>F4*E13</f>
        <v>281.95999999999998</v>
      </c>
    </row>
    <row r="5" spans="1:19" x14ac:dyDescent="0.25">
      <c r="A5" s="1" t="s">
        <v>18</v>
      </c>
      <c r="B5" s="20">
        <f>SUM(F11:F200)</f>
        <v>3994.1800000000003</v>
      </c>
      <c r="D5" s="2">
        <f>141/0.47</f>
        <v>300</v>
      </c>
      <c r="F5" s="2">
        <v>9520</v>
      </c>
      <c r="G5" s="2">
        <f>F5*E14</f>
        <v>353.19200000000001</v>
      </c>
      <c r="H5" s="2">
        <v>8800</v>
      </c>
      <c r="I5" s="2">
        <f>H5*E16</f>
        <v>326.48</v>
      </c>
    </row>
    <row r="6" spans="1:19" x14ac:dyDescent="0.25">
      <c r="A6" s="1" t="s">
        <v>103</v>
      </c>
      <c r="B6" s="2">
        <f>B5-SUM(D11:D200)</f>
        <v>-405.81999999999971</v>
      </c>
      <c r="D6" s="2">
        <f>D14*0.47</f>
        <v>141</v>
      </c>
      <c r="F6" s="2">
        <v>10720</v>
      </c>
      <c r="G6" s="2">
        <f>F6*E15</f>
        <v>397.71199999999999</v>
      </c>
      <c r="H6" s="2">
        <v>9160</v>
      </c>
      <c r="I6" s="2">
        <f>H6*E17</f>
        <v>339.83600000000001</v>
      </c>
    </row>
    <row r="7" spans="1:19" x14ac:dyDescent="0.25">
      <c r="A7" s="1" t="s">
        <v>108</v>
      </c>
      <c r="B7" s="2">
        <f>SUM(D11:D200)</f>
        <v>4400</v>
      </c>
      <c r="F7" s="2">
        <f>COUNTIF(F11:F200,"&gt;0")</f>
        <v>7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43299</v>
      </c>
      <c r="C8" s="14">
        <f t="shared" ca="1" si="0"/>
        <v>43328</v>
      </c>
      <c r="D8" s="15">
        <f t="shared" ca="1" si="0"/>
        <v>300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43361</v>
      </c>
      <c r="K8" s="31">
        <f t="shared" ca="1" si="0"/>
        <v>1007</v>
      </c>
      <c r="L8" s="30">
        <f t="shared" ca="1" si="0"/>
        <v>355.99999999999949</v>
      </c>
      <c r="M8" s="30">
        <f t="shared" ca="1" si="0"/>
        <v>375</v>
      </c>
      <c r="N8" s="36">
        <f ca="1">OFFSET(N10,N9,0)</f>
        <v>43230</v>
      </c>
    </row>
    <row r="9" spans="1:19" x14ac:dyDescent="0.25">
      <c r="A9" s="1">
        <f>COUNTA(A11:A200)</f>
        <v>10</v>
      </c>
      <c r="B9" s="1">
        <f t="shared" ref="B9:M9" si="1">COUNTA(B11:B200)</f>
        <v>10</v>
      </c>
      <c r="C9" s="1">
        <f t="shared" si="1"/>
        <v>10</v>
      </c>
      <c r="D9" s="1">
        <f t="shared" si="1"/>
        <v>10</v>
      </c>
      <c r="E9" s="1">
        <f t="shared" si="1"/>
        <v>10</v>
      </c>
      <c r="F9" s="1">
        <f t="shared" si="1"/>
        <v>10</v>
      </c>
      <c r="G9" s="1">
        <f t="shared" si="1"/>
        <v>10</v>
      </c>
      <c r="H9" s="1">
        <f t="shared" si="1"/>
        <v>10</v>
      </c>
      <c r="I9" s="1">
        <f t="shared" si="1"/>
        <v>10</v>
      </c>
      <c r="J9" s="1">
        <f t="shared" si="1"/>
        <v>10</v>
      </c>
      <c r="K9" s="1">
        <f t="shared" si="1"/>
        <v>10</v>
      </c>
      <c r="L9" s="1">
        <f t="shared" si="1"/>
        <v>10</v>
      </c>
      <c r="M9" s="1">
        <f t="shared" si="1"/>
        <v>10</v>
      </c>
      <c r="N9" s="1">
        <f>COUNTA(N11:N200)</f>
        <v>5</v>
      </c>
    </row>
    <row r="10" spans="1:19" s="7" customFormat="1" ht="55.2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43040</v>
      </c>
      <c r="B11" s="9">
        <v>43026</v>
      </c>
      <c r="C11" s="9">
        <v>43056</v>
      </c>
      <c r="D11" s="2">
        <v>1000</v>
      </c>
      <c r="E11" s="11">
        <v>0.46</v>
      </c>
      <c r="F11" s="20">
        <f>G11+H11</f>
        <v>1456</v>
      </c>
      <c r="G11" s="2">
        <v>792</v>
      </c>
      <c r="H11" s="2">
        <v>664</v>
      </c>
      <c r="I11" s="2">
        <v>664.28</v>
      </c>
      <c r="J11" s="9">
        <v>43088</v>
      </c>
      <c r="K11" s="2">
        <v>0</v>
      </c>
      <c r="L11" s="2">
        <v>0</v>
      </c>
      <c r="M11" s="2">
        <v>0</v>
      </c>
      <c r="N11" s="9">
        <v>0</v>
      </c>
      <c r="Q11" s="59"/>
    </row>
    <row r="12" spans="1:19" x14ac:dyDescent="0.25">
      <c r="A12" s="8">
        <v>43070</v>
      </c>
      <c r="B12" s="9">
        <v>43786</v>
      </c>
      <c r="C12" s="9">
        <v>43088</v>
      </c>
      <c r="D12" s="2">
        <v>1000</v>
      </c>
      <c r="E12" s="12">
        <v>3.7100000000000001E-2</v>
      </c>
      <c r="F12" s="20">
        <f>G12+H12</f>
        <v>839</v>
      </c>
      <c r="G12" s="2">
        <v>839</v>
      </c>
      <c r="H12" s="20">
        <f>I12-I11</f>
        <v>0</v>
      </c>
      <c r="I12" s="2">
        <v>664.28</v>
      </c>
      <c r="J12" s="9">
        <v>43117</v>
      </c>
      <c r="K12" s="2">
        <v>0</v>
      </c>
      <c r="L12" s="34">
        <v>0</v>
      </c>
      <c r="M12" s="34">
        <v>0</v>
      </c>
      <c r="N12" s="9">
        <v>0</v>
      </c>
      <c r="Q12" s="59"/>
    </row>
    <row r="13" spans="1:19" x14ac:dyDescent="0.25">
      <c r="A13" s="8">
        <v>43101</v>
      </c>
      <c r="B13" s="9">
        <v>43088</v>
      </c>
      <c r="C13" s="9">
        <v>43117</v>
      </c>
      <c r="D13" s="2">
        <v>300</v>
      </c>
      <c r="E13" s="12">
        <v>3.7100000000000001E-2</v>
      </c>
      <c r="F13" s="20">
        <v>281.95999999999998</v>
      </c>
      <c r="G13" s="2">
        <f>F13+I12</f>
        <v>946.24</v>
      </c>
      <c r="H13" s="20">
        <v>0</v>
      </c>
      <c r="I13" s="2">
        <v>0</v>
      </c>
      <c r="J13" s="9">
        <v>43147</v>
      </c>
      <c r="K13" s="2">
        <v>1338</v>
      </c>
      <c r="L13" s="2">
        <v>738.8099999999996</v>
      </c>
      <c r="M13" s="2">
        <v>89</v>
      </c>
      <c r="N13" s="9">
        <v>43162</v>
      </c>
      <c r="P13" s="2">
        <f t="shared" ref="P13:P15" si="2">(C13-B13)*24</f>
        <v>696</v>
      </c>
      <c r="Q13" s="59">
        <f t="shared" ref="Q13:Q15" si="3">M13/P13</f>
        <v>0.1278735632183908</v>
      </c>
      <c r="R13" s="2">
        <f t="shared" ref="R13:R15" si="4">L13*(1+Q13)</f>
        <v>833.28426724137876</v>
      </c>
      <c r="S13" s="2">
        <f t="shared" ref="S13:S15" si="5">K13/R13</f>
        <v>1.6056945421872695</v>
      </c>
    </row>
    <row r="14" spans="1:19" x14ac:dyDescent="0.25">
      <c r="A14" s="8">
        <v>43132</v>
      </c>
      <c r="B14" s="9">
        <v>43117</v>
      </c>
      <c r="C14" s="9">
        <v>43147</v>
      </c>
      <c r="D14" s="2">
        <v>300</v>
      </c>
      <c r="E14" s="12">
        <v>3.7100000000000001E-2</v>
      </c>
      <c r="F14" s="20">
        <f t="shared" ref="F14:F19" si="6">G14+H14</f>
        <v>353.19200000000001</v>
      </c>
      <c r="G14" s="2">
        <v>353.19200000000001</v>
      </c>
      <c r="H14" s="20">
        <f t="shared" ref="H14:H19" si="7">I14-I13</f>
        <v>0</v>
      </c>
      <c r="I14" s="2">
        <v>0</v>
      </c>
      <c r="J14" s="9">
        <v>43178</v>
      </c>
      <c r="K14" s="2">
        <v>1013</v>
      </c>
      <c r="L14" s="2">
        <v>920.29999999999961</v>
      </c>
      <c r="M14" s="2">
        <v>29</v>
      </c>
      <c r="N14" s="9">
        <v>43191</v>
      </c>
      <c r="P14" s="2">
        <f t="shared" si="2"/>
        <v>720</v>
      </c>
      <c r="Q14" s="59">
        <f t="shared" si="3"/>
        <v>4.027777777777778E-2</v>
      </c>
      <c r="R14" s="2">
        <f t="shared" si="4"/>
        <v>957.36763888888856</v>
      </c>
      <c r="S14" s="2">
        <f t="shared" si="5"/>
        <v>1.0581097154857646</v>
      </c>
    </row>
    <row r="15" spans="1:19" x14ac:dyDescent="0.25">
      <c r="A15" s="8">
        <v>43160</v>
      </c>
      <c r="B15" s="9">
        <v>43147</v>
      </c>
      <c r="C15" s="9">
        <v>43178</v>
      </c>
      <c r="D15" s="2">
        <v>300</v>
      </c>
      <c r="E15" s="12">
        <v>3.7100000000000001E-2</v>
      </c>
      <c r="F15" s="20">
        <f t="shared" si="6"/>
        <v>397.71199999999999</v>
      </c>
      <c r="G15" s="2">
        <v>397.71199999999999</v>
      </c>
      <c r="H15" s="20">
        <f t="shared" si="7"/>
        <v>0</v>
      </c>
      <c r="I15" s="2">
        <v>0</v>
      </c>
      <c r="J15" s="9">
        <v>43207</v>
      </c>
      <c r="K15" s="2">
        <v>730</v>
      </c>
      <c r="L15" s="2">
        <v>335.36000000000041</v>
      </c>
      <c r="M15" s="2">
        <v>41</v>
      </c>
      <c r="N15" s="9">
        <v>43230</v>
      </c>
      <c r="P15" s="2">
        <f t="shared" si="2"/>
        <v>744</v>
      </c>
      <c r="Q15" s="59">
        <f t="shared" si="3"/>
        <v>5.510752688172043E-2</v>
      </c>
      <c r="R15" s="2">
        <f t="shared" si="4"/>
        <v>353.84086021505419</v>
      </c>
      <c r="S15" s="2">
        <f t="shared" si="5"/>
        <v>2.0630743423931515</v>
      </c>
    </row>
    <row r="16" spans="1:19" x14ac:dyDescent="0.25">
      <c r="A16" s="8">
        <v>43191</v>
      </c>
      <c r="B16" s="9">
        <v>43178</v>
      </c>
      <c r="C16" s="9">
        <v>43207</v>
      </c>
      <c r="D16" s="2">
        <v>300</v>
      </c>
      <c r="E16" s="12">
        <v>3.7100000000000001E-2</v>
      </c>
      <c r="F16" s="20">
        <f t="shared" si="6"/>
        <v>326.48</v>
      </c>
      <c r="G16" s="2">
        <v>326.48</v>
      </c>
      <c r="H16" s="20">
        <f t="shared" si="7"/>
        <v>0</v>
      </c>
      <c r="I16" s="2">
        <v>0</v>
      </c>
      <c r="J16" s="9">
        <v>43237</v>
      </c>
      <c r="K16" s="2">
        <v>935</v>
      </c>
      <c r="L16" s="2">
        <v>505.48000000000019</v>
      </c>
      <c r="M16" s="2">
        <v>0</v>
      </c>
      <c r="P16" s="2">
        <f t="shared" ref="P16:P20" si="8">(C16-B16)*24</f>
        <v>696</v>
      </c>
      <c r="Q16" s="59">
        <f t="shared" ref="Q16" si="9">M16/P16</f>
        <v>0</v>
      </c>
      <c r="R16" s="2">
        <f t="shared" ref="R16" si="10">L16*(1+Q16)</f>
        <v>505.48000000000019</v>
      </c>
      <c r="S16" s="2">
        <f t="shared" ref="S16" si="11">K16/R16</f>
        <v>1.8497269921658614</v>
      </c>
    </row>
    <row r="17" spans="1:19" x14ac:dyDescent="0.25">
      <c r="A17" s="8">
        <v>43221</v>
      </c>
      <c r="B17" s="9">
        <v>43207</v>
      </c>
      <c r="C17" s="9">
        <v>43237</v>
      </c>
      <c r="D17" s="2">
        <v>300</v>
      </c>
      <c r="E17" s="12">
        <v>3.7100000000000001E-2</v>
      </c>
      <c r="F17" s="20">
        <f t="shared" si="6"/>
        <v>339.83600000000001</v>
      </c>
      <c r="G17" s="2">
        <v>339.83600000000001</v>
      </c>
      <c r="H17" s="20">
        <f t="shared" si="7"/>
        <v>0</v>
      </c>
      <c r="I17" s="2">
        <v>0</v>
      </c>
      <c r="J17" s="9">
        <v>43269</v>
      </c>
      <c r="K17" s="2">
        <v>1231</v>
      </c>
      <c r="L17" s="2">
        <v>434.18999999999988</v>
      </c>
      <c r="M17" s="2">
        <v>0</v>
      </c>
      <c r="P17" s="2">
        <f t="shared" si="8"/>
        <v>720</v>
      </c>
      <c r="Q17" s="59">
        <f t="shared" ref="Q17" si="12">M17/P17</f>
        <v>0</v>
      </c>
      <c r="R17" s="2">
        <f t="shared" ref="R17" si="13">L17*(1+Q17)</f>
        <v>434.18999999999988</v>
      </c>
      <c r="S17" s="2">
        <f t="shared" ref="S17" si="14">K17/R17</f>
        <v>2.8351643289804009</v>
      </c>
    </row>
    <row r="18" spans="1:19" x14ac:dyDescent="0.25">
      <c r="A18" s="8">
        <v>43252</v>
      </c>
      <c r="B18" s="9">
        <v>43237</v>
      </c>
      <c r="C18" s="9">
        <v>43269</v>
      </c>
      <c r="D18" s="2">
        <v>300</v>
      </c>
      <c r="E18" s="2">
        <v>0</v>
      </c>
      <c r="F18" s="20">
        <f t="shared" si="6"/>
        <v>0</v>
      </c>
      <c r="G18" s="2">
        <v>0</v>
      </c>
      <c r="H18" s="20">
        <f t="shared" si="7"/>
        <v>0</v>
      </c>
      <c r="I18" s="2">
        <v>0</v>
      </c>
      <c r="J18" s="9">
        <v>43299</v>
      </c>
      <c r="K18" s="2">
        <v>1215</v>
      </c>
      <c r="L18" s="2">
        <v>476.02000000000066</v>
      </c>
      <c r="M18" s="2">
        <v>0</v>
      </c>
      <c r="P18" s="2">
        <f t="shared" si="8"/>
        <v>768</v>
      </c>
      <c r="Q18" s="59">
        <f t="shared" ref="Q18" si="15">M18/P18</f>
        <v>0</v>
      </c>
      <c r="R18" s="2">
        <f t="shared" ref="R18" si="16">L18*(1+Q18)</f>
        <v>476.02000000000066</v>
      </c>
      <c r="S18" s="2">
        <f t="shared" ref="S18" si="17">K18/R18</f>
        <v>2.5524137641275542</v>
      </c>
    </row>
    <row r="19" spans="1:19" x14ac:dyDescent="0.25">
      <c r="A19" s="8">
        <v>43282</v>
      </c>
      <c r="B19" s="9">
        <v>43269</v>
      </c>
      <c r="C19" s="9">
        <v>43299</v>
      </c>
      <c r="D19" s="2">
        <v>300</v>
      </c>
      <c r="E19" s="2">
        <v>0</v>
      </c>
      <c r="F19" s="20">
        <f t="shared" si="6"/>
        <v>0</v>
      </c>
      <c r="G19" s="2">
        <v>0</v>
      </c>
      <c r="H19" s="20">
        <f t="shared" si="7"/>
        <v>0</v>
      </c>
      <c r="I19" s="2">
        <v>0</v>
      </c>
      <c r="J19" s="9">
        <v>43328</v>
      </c>
      <c r="K19" s="2">
        <v>738</v>
      </c>
      <c r="L19" s="2">
        <v>434.10000000000036</v>
      </c>
      <c r="M19" s="2">
        <v>6</v>
      </c>
      <c r="O19" s="2">
        <f>IF(C19&gt;VLOOKUP(A19,'4001950116'!$A$11:$N$200,3,FALSE),VLOOKUP(A19,'4001950116'!$A$11:$N$200,11,FALSE),VLOOKUP(A18,'4001950116'!$A$11:$N$200,11,FALSE))*E19</f>
        <v>0</v>
      </c>
      <c r="P19" s="2">
        <f t="shared" si="8"/>
        <v>720</v>
      </c>
      <c r="Q19" s="59">
        <f t="shared" ref="Q19" si="18">M19/P19</f>
        <v>8.3333333333333332E-3</v>
      </c>
      <c r="R19" s="2">
        <f t="shared" ref="R19" si="19">L19*(1+Q19)</f>
        <v>437.71750000000037</v>
      </c>
      <c r="S19" s="2">
        <f t="shared" ref="S19" si="20">K19/R19</f>
        <v>1.6860189505788536</v>
      </c>
    </row>
    <row r="20" spans="1:19" x14ac:dyDescent="0.25">
      <c r="A20" s="8">
        <v>43313</v>
      </c>
      <c r="B20" s="9">
        <v>43299</v>
      </c>
      <c r="C20" s="9">
        <v>43328</v>
      </c>
      <c r="D20" s="2">
        <v>300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9">
        <v>43361</v>
      </c>
      <c r="K20" s="2">
        <v>1007</v>
      </c>
      <c r="L20" s="2">
        <v>355.99999999999949</v>
      </c>
      <c r="M20" s="2">
        <v>375</v>
      </c>
      <c r="P20" s="2">
        <f t="shared" si="8"/>
        <v>696</v>
      </c>
      <c r="Q20" s="59">
        <f t="shared" ref="Q20" si="21">M20/P20</f>
        <v>0.53879310344827591</v>
      </c>
      <c r="R20" s="2">
        <f t="shared" ref="R20" si="22">L20*(1+Q20)</f>
        <v>547.81034482758537</v>
      </c>
      <c r="S20" s="2">
        <f t="shared" ref="S20" si="23">K20/R20</f>
        <v>1.8382274258017841</v>
      </c>
    </row>
    <row r="21" spans="1:19" x14ac:dyDescent="0.25">
      <c r="B21" s="9"/>
      <c r="C21" s="9"/>
      <c r="J21" s="9"/>
    </row>
    <row r="22" spans="1:19" x14ac:dyDescent="0.25">
      <c r="B22" s="9"/>
      <c r="C22" s="9"/>
      <c r="J22" s="9"/>
    </row>
    <row r="23" spans="1:19" x14ac:dyDescent="0.25">
      <c r="B23" s="9"/>
      <c r="C23" s="9"/>
      <c r="J23" s="9"/>
    </row>
    <row r="24" spans="1:19" x14ac:dyDescent="0.25">
      <c r="B24" s="9"/>
      <c r="C24" s="9"/>
      <c r="J24" s="9"/>
    </row>
    <row r="25" spans="1:19" x14ac:dyDescent="0.25">
      <c r="B25" s="9"/>
      <c r="C25" s="9"/>
      <c r="J25" s="9"/>
    </row>
    <row r="26" spans="1:19" x14ac:dyDescent="0.25">
      <c r="B26" s="9"/>
      <c r="C26" s="9"/>
      <c r="J26" s="9"/>
    </row>
    <row r="27" spans="1:19" x14ac:dyDescent="0.25">
      <c r="B27" s="9"/>
      <c r="C27" s="9"/>
      <c r="J27" s="9"/>
    </row>
    <row r="28" spans="1:19" x14ac:dyDescent="0.25">
      <c r="B28" s="9"/>
      <c r="C28" s="9"/>
      <c r="J28" s="9"/>
    </row>
    <row r="29" spans="1:19" x14ac:dyDescent="0.25">
      <c r="B29" s="9"/>
      <c r="C29" s="9"/>
      <c r="J29" s="9"/>
    </row>
    <row r="30" spans="1:19" x14ac:dyDescent="0.25">
      <c r="B30" s="9"/>
      <c r="C30" s="9"/>
      <c r="J30" s="9"/>
    </row>
    <row r="31" spans="1:19" x14ac:dyDescent="0.25">
      <c r="B31" s="9"/>
      <c r="C31" s="9"/>
      <c r="J31" s="9"/>
    </row>
    <row r="32" spans="1:19" x14ac:dyDescent="0.25">
      <c r="B32" s="9"/>
      <c r="C32" s="9"/>
      <c r="J32" s="9"/>
    </row>
    <row r="33" spans="2:10" x14ac:dyDescent="0.25">
      <c r="B33" s="9"/>
      <c r="C33" s="9"/>
      <c r="J33" s="9"/>
    </row>
    <row r="34" spans="2:10" x14ac:dyDescent="0.25">
      <c r="J34" s="9"/>
    </row>
    <row r="35" spans="2:10" x14ac:dyDescent="0.25">
      <c r="J35" s="9"/>
    </row>
  </sheetData>
  <hyperlinks>
    <hyperlink ref="K2" r:id="rId1" display="mailto:malsilva@uol.com.br" xr:uid="{96547766-583E-4E10-A4F8-746080F5435B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3789-585A-414F-A1A1-FB1C8DBDD332}">
  <sheetPr codeName="Planilha9"/>
  <dimension ref="A1:S32"/>
  <sheetViews>
    <sheetView workbookViewId="0">
      <selection activeCell="P20" sqref="P20:S20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2.33203125" style="2" customWidth="1"/>
    <col min="12" max="12" width="8.88671875" style="2"/>
    <col min="13" max="13" width="10" style="2" customWidth="1"/>
    <col min="14" max="14" width="15.6640625" style="2" customWidth="1"/>
    <col min="15" max="16384" width="8.88671875" style="2"/>
  </cols>
  <sheetData>
    <row r="1" spans="1:19" x14ac:dyDescent="0.25">
      <c r="A1" s="2" t="s">
        <v>4</v>
      </c>
      <c r="B1" s="4" t="s">
        <v>36</v>
      </c>
      <c r="E1" s="2">
        <v>4280</v>
      </c>
      <c r="F1" s="2">
        <f>E11*E1</f>
        <v>85.600000000000009</v>
      </c>
    </row>
    <row r="2" spans="1:19" x14ac:dyDescent="0.25">
      <c r="A2" s="2" t="s">
        <v>5</v>
      </c>
      <c r="B2" s="5" t="s">
        <v>37</v>
      </c>
      <c r="E2" s="2">
        <v>8800</v>
      </c>
      <c r="F2" s="2">
        <f>E13*E2</f>
        <v>55.44</v>
      </c>
    </row>
    <row r="3" spans="1:19" x14ac:dyDescent="0.25">
      <c r="A3" s="2" t="s">
        <v>6</v>
      </c>
      <c r="B3" s="10">
        <v>2021510989</v>
      </c>
      <c r="E3" s="2">
        <v>7600</v>
      </c>
      <c r="F3" s="2">
        <f>E3*E14</f>
        <v>47.88</v>
      </c>
    </row>
    <row r="4" spans="1:19" x14ac:dyDescent="0.25">
      <c r="A4" s="2" t="s">
        <v>7</v>
      </c>
      <c r="B4" s="3">
        <v>43108</v>
      </c>
      <c r="E4" s="2">
        <v>8440</v>
      </c>
      <c r="F4" s="2">
        <f>E4*E19</f>
        <v>43.887999999999998</v>
      </c>
    </row>
    <row r="5" spans="1:19" x14ac:dyDescent="0.25">
      <c r="A5" s="1" t="s">
        <v>18</v>
      </c>
      <c r="B5" s="20">
        <f>SUM(F11:F200)</f>
        <v>439.84399999999999</v>
      </c>
    </row>
    <row r="6" spans="1:19" x14ac:dyDescent="0.25">
      <c r="A6" s="1" t="s">
        <v>103</v>
      </c>
      <c r="B6" s="2">
        <f>B5-B7</f>
        <v>39.843999999999994</v>
      </c>
    </row>
    <row r="7" spans="1:19" x14ac:dyDescent="0.25">
      <c r="A7" s="1" t="s">
        <v>108</v>
      </c>
      <c r="B7" s="2">
        <f>SUM(D13:D200)</f>
        <v>400</v>
      </c>
      <c r="F7" s="2">
        <f>COUNTIF(F11:F200,"&gt;0")</f>
        <v>9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43293</v>
      </c>
      <c r="C8" s="14">
        <f t="shared" ca="1" si="0"/>
        <v>43322</v>
      </c>
      <c r="D8" s="15">
        <f t="shared" ca="1" si="0"/>
        <v>50</v>
      </c>
      <c r="E8" s="16">
        <f t="shared" ca="1" si="0"/>
        <v>5.3E-3</v>
      </c>
      <c r="F8" s="15">
        <f t="shared" ca="1" si="0"/>
        <v>51.375999999999998</v>
      </c>
      <c r="G8" s="15">
        <f t="shared" ca="1" si="0"/>
        <v>51.375999999999998</v>
      </c>
      <c r="H8" s="15">
        <f t="shared" ca="1" si="0"/>
        <v>0</v>
      </c>
      <c r="I8" s="15">
        <f t="shared" ca="1" si="0"/>
        <v>0</v>
      </c>
      <c r="J8" s="14">
        <f t="shared" ca="1" si="0"/>
        <v>43355</v>
      </c>
      <c r="K8" s="31">
        <f t="shared" ca="1" si="0"/>
        <v>142</v>
      </c>
      <c r="L8" s="30">
        <f t="shared" ca="1" si="0"/>
        <v>56.87</v>
      </c>
      <c r="M8" s="30">
        <f t="shared" ca="1" si="0"/>
        <v>401</v>
      </c>
      <c r="N8" s="36">
        <f ca="1">OFFSET(N10,N9,0)</f>
        <v>43259</v>
      </c>
    </row>
    <row r="9" spans="1:19" x14ac:dyDescent="0.25">
      <c r="A9" s="1">
        <f>COUNTA(A11:A200)</f>
        <v>10</v>
      </c>
      <c r="B9" s="1">
        <f t="shared" ref="B9:M9" si="1">COUNTA(B11:B200)</f>
        <v>10</v>
      </c>
      <c r="C9" s="1">
        <f t="shared" si="1"/>
        <v>10</v>
      </c>
      <c r="D9" s="1">
        <f t="shared" si="1"/>
        <v>10</v>
      </c>
      <c r="E9" s="1">
        <f t="shared" si="1"/>
        <v>10</v>
      </c>
      <c r="F9" s="1">
        <f t="shared" si="1"/>
        <v>10</v>
      </c>
      <c r="G9" s="1">
        <f t="shared" si="1"/>
        <v>10</v>
      </c>
      <c r="H9" s="1">
        <f t="shared" si="1"/>
        <v>10</v>
      </c>
      <c r="I9" s="1">
        <f t="shared" si="1"/>
        <v>10</v>
      </c>
      <c r="J9" s="1">
        <f t="shared" si="1"/>
        <v>10</v>
      </c>
      <c r="K9" s="1">
        <f t="shared" si="1"/>
        <v>10</v>
      </c>
      <c r="L9" s="1">
        <f t="shared" si="1"/>
        <v>10</v>
      </c>
      <c r="M9" s="1">
        <f t="shared" si="1"/>
        <v>10</v>
      </c>
      <c r="N9" s="1">
        <f>COUNTA(N11:N200)</f>
        <v>5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43040</v>
      </c>
      <c r="B11" s="8" t="s">
        <v>38</v>
      </c>
      <c r="C11" s="8" t="s">
        <v>38</v>
      </c>
      <c r="D11" s="8">
        <v>0</v>
      </c>
      <c r="E11" s="29">
        <v>0.02</v>
      </c>
      <c r="F11" s="20">
        <v>0</v>
      </c>
      <c r="G11" s="21">
        <v>0</v>
      </c>
      <c r="H11" s="21">
        <v>0</v>
      </c>
      <c r="I11" s="27">
        <v>0</v>
      </c>
      <c r="J11" s="9">
        <v>43113</v>
      </c>
      <c r="K11" s="2">
        <v>0</v>
      </c>
      <c r="L11" s="2">
        <v>0</v>
      </c>
      <c r="M11" s="2">
        <v>0</v>
      </c>
      <c r="N11" s="9">
        <v>43138</v>
      </c>
      <c r="Q11" s="59"/>
    </row>
    <row r="12" spans="1:19" x14ac:dyDescent="0.25">
      <c r="A12" s="8">
        <v>43070</v>
      </c>
      <c r="B12" s="9">
        <v>0</v>
      </c>
      <c r="C12" s="9">
        <v>0</v>
      </c>
      <c r="D12" s="2">
        <v>0</v>
      </c>
      <c r="E12" s="12">
        <v>6.3E-3</v>
      </c>
      <c r="F12" s="20">
        <f>G12+H12</f>
        <v>0.6</v>
      </c>
      <c r="G12" s="21">
        <v>0.6</v>
      </c>
      <c r="H12" s="28">
        <f t="shared" ref="H12:H20" si="2">I12-I11</f>
        <v>0</v>
      </c>
      <c r="I12" s="2">
        <v>0</v>
      </c>
      <c r="J12" s="9">
        <v>1</v>
      </c>
      <c r="K12" s="2">
        <v>0</v>
      </c>
      <c r="L12" s="34">
        <v>0</v>
      </c>
      <c r="M12" s="34">
        <v>0</v>
      </c>
      <c r="N12" s="9">
        <v>43169</v>
      </c>
      <c r="Q12" s="59"/>
    </row>
    <row r="13" spans="1:19" x14ac:dyDescent="0.25">
      <c r="A13" s="8">
        <v>43101</v>
      </c>
      <c r="B13" s="9">
        <v>43082</v>
      </c>
      <c r="C13" s="9">
        <v>42746</v>
      </c>
      <c r="D13" s="2">
        <v>50</v>
      </c>
      <c r="E13" s="12">
        <v>6.3E-3</v>
      </c>
      <c r="F13" s="20">
        <f t="shared" ref="F13:F20" si="3">G13+H13</f>
        <v>55.44</v>
      </c>
      <c r="G13" s="2">
        <v>55.44</v>
      </c>
      <c r="H13" s="28">
        <f t="shared" si="2"/>
        <v>0</v>
      </c>
      <c r="I13" s="2">
        <v>0</v>
      </c>
      <c r="J13" s="9">
        <v>43140</v>
      </c>
      <c r="K13" s="2">
        <v>0</v>
      </c>
      <c r="L13" s="2">
        <v>0</v>
      </c>
      <c r="M13" s="2">
        <v>0</v>
      </c>
      <c r="N13" s="9">
        <v>43198</v>
      </c>
      <c r="P13" s="2">
        <f t="shared" ref="P13:P20" si="4">(C13-B13)*24</f>
        <v>-8064</v>
      </c>
      <c r="Q13" s="59">
        <f t="shared" ref="Q13:Q16" si="5">M13/P13</f>
        <v>0</v>
      </c>
      <c r="R13" s="2">
        <f t="shared" ref="R13:R16" si="6">L13*(1+Q13)</f>
        <v>0</v>
      </c>
      <c r="S13" s="2" t="e">
        <f t="shared" ref="S13:S16" si="7">K13/R13</f>
        <v>#DIV/0!</v>
      </c>
    </row>
    <row r="14" spans="1:19" x14ac:dyDescent="0.25">
      <c r="A14" s="8">
        <v>43132</v>
      </c>
      <c r="B14" s="9">
        <v>43111</v>
      </c>
      <c r="C14" s="9">
        <v>43140</v>
      </c>
      <c r="D14" s="2">
        <v>50</v>
      </c>
      <c r="E14" s="12">
        <v>6.3E-3</v>
      </c>
      <c r="F14" s="20">
        <f t="shared" si="3"/>
        <v>47.88</v>
      </c>
      <c r="G14" s="2">
        <v>47.88</v>
      </c>
      <c r="H14" s="28">
        <f t="shared" si="2"/>
        <v>0</v>
      </c>
      <c r="I14" s="2">
        <v>0</v>
      </c>
      <c r="J14" s="9">
        <v>43172</v>
      </c>
      <c r="K14" s="2">
        <v>373</v>
      </c>
      <c r="L14" s="2">
        <v>287.53000000000031</v>
      </c>
      <c r="M14" s="2">
        <v>120</v>
      </c>
      <c r="N14" s="9">
        <v>43229</v>
      </c>
      <c r="P14" s="2">
        <f t="shared" si="4"/>
        <v>696</v>
      </c>
      <c r="Q14" s="59">
        <f t="shared" si="5"/>
        <v>0.17241379310344829</v>
      </c>
      <c r="R14" s="2">
        <f t="shared" si="6"/>
        <v>337.10413793103487</v>
      </c>
      <c r="S14" s="2">
        <f t="shared" si="7"/>
        <v>1.1064830063768269</v>
      </c>
    </row>
    <row r="15" spans="1:19" x14ac:dyDescent="0.25">
      <c r="A15" s="8">
        <v>43160</v>
      </c>
      <c r="B15" s="9">
        <v>43140</v>
      </c>
      <c r="C15" s="9">
        <v>43172</v>
      </c>
      <c r="D15" s="2">
        <v>50</v>
      </c>
      <c r="E15" s="12">
        <v>6.3E-3</v>
      </c>
      <c r="F15" s="20">
        <f t="shared" si="3"/>
        <v>59.975999999999999</v>
      </c>
      <c r="G15" s="2">
        <v>59.975999999999999</v>
      </c>
      <c r="H15" s="28">
        <f t="shared" si="2"/>
        <v>0</v>
      </c>
      <c r="I15" s="2">
        <v>0</v>
      </c>
      <c r="J15" s="9">
        <v>43201</v>
      </c>
      <c r="K15" s="2">
        <v>358</v>
      </c>
      <c r="L15" s="2">
        <v>313.54999999999995</v>
      </c>
      <c r="M15" s="2">
        <v>130</v>
      </c>
      <c r="N15" s="9">
        <v>43259</v>
      </c>
      <c r="P15" s="2">
        <f t="shared" si="4"/>
        <v>768</v>
      </c>
      <c r="Q15" s="59">
        <f t="shared" si="5"/>
        <v>0.16927083333333334</v>
      </c>
      <c r="R15" s="2">
        <f t="shared" si="6"/>
        <v>366.62486979166658</v>
      </c>
      <c r="S15" s="2">
        <f t="shared" si="7"/>
        <v>0.97647494618527209</v>
      </c>
    </row>
    <row r="16" spans="1:19" x14ac:dyDescent="0.25">
      <c r="A16" s="8">
        <v>43191</v>
      </c>
      <c r="B16" s="9">
        <v>43172</v>
      </c>
      <c r="C16" s="9">
        <v>43201</v>
      </c>
      <c r="D16" s="2">
        <v>50</v>
      </c>
      <c r="E16" s="12">
        <v>6.3E-3</v>
      </c>
      <c r="F16" s="20">
        <f t="shared" si="3"/>
        <v>67.536000000000001</v>
      </c>
      <c r="G16" s="2">
        <v>67.536000000000001</v>
      </c>
      <c r="H16" s="28">
        <f t="shared" si="2"/>
        <v>0</v>
      </c>
      <c r="I16" s="2">
        <v>0</v>
      </c>
      <c r="J16" s="9">
        <v>43231</v>
      </c>
      <c r="K16" s="2">
        <v>301</v>
      </c>
      <c r="L16" s="2">
        <v>307.07000000000011</v>
      </c>
      <c r="M16" s="2">
        <v>0</v>
      </c>
      <c r="N16" s="9"/>
      <c r="P16" s="2">
        <f t="shared" si="4"/>
        <v>696</v>
      </c>
      <c r="Q16" s="59">
        <f t="shared" si="5"/>
        <v>0</v>
      </c>
      <c r="R16" s="2">
        <f t="shared" si="6"/>
        <v>307.07000000000011</v>
      </c>
      <c r="S16" s="2">
        <f t="shared" si="7"/>
        <v>0.98023252027225027</v>
      </c>
    </row>
    <row r="17" spans="1:19" x14ac:dyDescent="0.25">
      <c r="A17" s="8">
        <v>43221</v>
      </c>
      <c r="B17" s="9">
        <v>43201</v>
      </c>
      <c r="C17" s="9">
        <v>43231</v>
      </c>
      <c r="D17" s="2">
        <v>50</v>
      </c>
      <c r="E17" s="12">
        <v>6.3E-3</v>
      </c>
      <c r="F17" s="20">
        <f t="shared" si="3"/>
        <v>55.44</v>
      </c>
      <c r="G17" s="2">
        <v>55.44</v>
      </c>
      <c r="H17" s="28">
        <f t="shared" si="2"/>
        <v>0</v>
      </c>
      <c r="I17" s="2">
        <v>0</v>
      </c>
      <c r="J17" s="9">
        <v>43263</v>
      </c>
      <c r="K17" s="2">
        <v>209</v>
      </c>
      <c r="L17" s="2">
        <v>212.35000000000008</v>
      </c>
      <c r="M17" s="2">
        <v>0</v>
      </c>
      <c r="P17" s="2">
        <f t="shared" si="4"/>
        <v>720</v>
      </c>
      <c r="Q17" s="59">
        <f t="shared" ref="Q17" si="8">M17/P17</f>
        <v>0</v>
      </c>
      <c r="R17" s="2">
        <f t="shared" ref="R17" si="9">L17*(1+Q17)</f>
        <v>212.35000000000008</v>
      </c>
      <c r="S17" s="2">
        <f t="shared" ref="S17" si="10">K17/R17</f>
        <v>0.98422415822933795</v>
      </c>
    </row>
    <row r="18" spans="1:19" x14ac:dyDescent="0.25">
      <c r="A18" s="8">
        <v>43252</v>
      </c>
      <c r="B18" s="9">
        <v>43231</v>
      </c>
      <c r="C18" s="9">
        <v>43263</v>
      </c>
      <c r="D18" s="2">
        <v>50</v>
      </c>
      <c r="E18" s="12">
        <v>6.3E-3</v>
      </c>
      <c r="F18" s="20">
        <f t="shared" si="3"/>
        <v>57.707999999999998</v>
      </c>
      <c r="G18" s="2">
        <v>57.707999999999998</v>
      </c>
      <c r="H18" s="28">
        <f t="shared" si="2"/>
        <v>0</v>
      </c>
      <c r="I18" s="2">
        <v>0</v>
      </c>
      <c r="J18" s="9">
        <v>43293</v>
      </c>
      <c r="K18" s="2">
        <v>157</v>
      </c>
      <c r="L18" s="2">
        <v>170.49000000000004</v>
      </c>
      <c r="M18" s="2">
        <v>0</v>
      </c>
      <c r="P18" s="2">
        <f t="shared" si="4"/>
        <v>768</v>
      </c>
      <c r="Q18" s="59">
        <f t="shared" ref="Q18" si="11">M18/P18</f>
        <v>0</v>
      </c>
      <c r="R18" s="2">
        <f t="shared" ref="R18" si="12">L18*(1+Q18)</f>
        <v>170.49000000000004</v>
      </c>
      <c r="S18" s="2">
        <f t="shared" ref="S18" si="13">K18/R18</f>
        <v>0.92087512464074117</v>
      </c>
    </row>
    <row r="19" spans="1:19" x14ac:dyDescent="0.25">
      <c r="A19" s="8">
        <v>43282</v>
      </c>
      <c r="B19" s="9">
        <v>43263</v>
      </c>
      <c r="C19" s="9">
        <v>43293</v>
      </c>
      <c r="D19" s="2">
        <v>50</v>
      </c>
      <c r="E19" s="12">
        <v>5.1999999999999998E-3</v>
      </c>
      <c r="F19" s="20">
        <f t="shared" si="3"/>
        <v>43.887999999999998</v>
      </c>
      <c r="G19" s="2">
        <v>43.887999999999998</v>
      </c>
      <c r="H19" s="28">
        <f t="shared" si="2"/>
        <v>0</v>
      </c>
      <c r="I19" s="2">
        <v>0</v>
      </c>
      <c r="J19" s="9">
        <v>43322</v>
      </c>
      <c r="K19" s="2">
        <v>156</v>
      </c>
      <c r="L19" s="2">
        <v>158.84000000000017</v>
      </c>
      <c r="M19" s="2">
        <v>110</v>
      </c>
      <c r="O19" s="2">
        <f>IF(C19&gt;VLOOKUP(A19,'4001950116'!$A$11:$N$200,3,FALSE),VLOOKUP(A19,'4001950116'!$A$11:$N$200,11,FALSE),VLOOKUP(A18,'4001950116'!$A$11:$N$200,11,FALSE))*E19</f>
        <v>43.887999999999998</v>
      </c>
      <c r="P19" s="2">
        <f t="shared" si="4"/>
        <v>720</v>
      </c>
      <c r="Q19" s="59">
        <f t="shared" ref="Q19" si="14">M19/P19</f>
        <v>0.15277777777777779</v>
      </c>
      <c r="R19" s="2">
        <f t="shared" ref="R19" si="15">L19*(1+Q19)</f>
        <v>183.10722222222242</v>
      </c>
      <c r="S19" s="2">
        <f>K19/R19</f>
        <v>0.85195984138012548</v>
      </c>
    </row>
    <row r="20" spans="1:19" x14ac:dyDescent="0.25">
      <c r="A20" s="8">
        <v>43313</v>
      </c>
      <c r="B20" s="9">
        <v>43293</v>
      </c>
      <c r="C20" s="9">
        <v>43322</v>
      </c>
      <c r="D20" s="2">
        <v>50</v>
      </c>
      <c r="E20" s="12">
        <v>5.3E-3</v>
      </c>
      <c r="F20" s="20">
        <f t="shared" si="3"/>
        <v>51.375999999999998</v>
      </c>
      <c r="G20" s="2">
        <v>51.375999999999998</v>
      </c>
      <c r="H20" s="28">
        <f t="shared" si="2"/>
        <v>0</v>
      </c>
      <c r="I20" s="2">
        <v>0</v>
      </c>
      <c r="J20" s="9">
        <v>43355</v>
      </c>
      <c r="K20" s="2">
        <v>142</v>
      </c>
      <c r="L20" s="2">
        <v>56.87</v>
      </c>
      <c r="M20" s="2">
        <v>401</v>
      </c>
      <c r="O20" s="2">
        <f>IF(C20&gt;VLOOKUP(A20,'4001950116'!$A$11:$N$200,3,FALSE),VLOOKUP(A20,'4001950116'!$A$11:$N$200,11,FALSE),VLOOKUP(A19,'4001950116'!$A$11:$N$200,11,FALSE))*E20</f>
        <v>52.363999999999997</v>
      </c>
      <c r="P20" s="2">
        <f t="shared" si="4"/>
        <v>696</v>
      </c>
      <c r="Q20" s="59">
        <f t="shared" ref="Q20" si="16">M20/P20</f>
        <v>0.57614942528735635</v>
      </c>
      <c r="R20" s="2">
        <f t="shared" ref="R20" si="17">L20*(1+Q20)</f>
        <v>89.635617816091951</v>
      </c>
      <c r="S20" s="2">
        <f>K20/R20</f>
        <v>1.5841916802687253</v>
      </c>
    </row>
    <row r="21" spans="1:19" x14ac:dyDescent="0.25">
      <c r="B21" s="9"/>
      <c r="C21" s="9"/>
      <c r="J21" s="9"/>
    </row>
    <row r="22" spans="1:19" x14ac:dyDescent="0.25">
      <c r="B22" s="9"/>
      <c r="C22" s="9"/>
      <c r="J22" s="9"/>
    </row>
    <row r="23" spans="1:19" x14ac:dyDescent="0.25">
      <c r="B23" s="9"/>
      <c r="C23" s="9"/>
      <c r="J23" s="9"/>
    </row>
    <row r="24" spans="1:19" x14ac:dyDescent="0.25">
      <c r="B24" s="9"/>
      <c r="C24" s="9"/>
      <c r="J24" s="9"/>
    </row>
    <row r="25" spans="1:19" x14ac:dyDescent="0.25">
      <c r="B25" s="9"/>
      <c r="C25" s="9"/>
      <c r="J25" s="9"/>
    </row>
    <row r="26" spans="1:19" x14ac:dyDescent="0.25">
      <c r="B26" s="9"/>
      <c r="C26" s="9"/>
      <c r="J26" s="9"/>
    </row>
    <row r="27" spans="1:19" x14ac:dyDescent="0.25">
      <c r="B27" s="9"/>
      <c r="C27" s="9"/>
      <c r="J27" s="9"/>
    </row>
    <row r="28" spans="1:19" x14ac:dyDescent="0.25">
      <c r="B28" s="9"/>
      <c r="C28" s="9"/>
      <c r="J28" s="9"/>
    </row>
    <row r="29" spans="1:19" x14ac:dyDescent="0.25">
      <c r="B29" s="9"/>
      <c r="C29" s="9"/>
      <c r="J29" s="9"/>
    </row>
    <row r="30" spans="1:19" x14ac:dyDescent="0.25">
      <c r="B30" s="9"/>
      <c r="C30" s="9"/>
      <c r="J30" s="9"/>
    </row>
    <row r="31" spans="1:19" x14ac:dyDescent="0.25">
      <c r="J31" s="9"/>
    </row>
    <row r="32" spans="1:19" x14ac:dyDescent="0.25">
      <c r="J32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0BC7-C77B-4FE2-A1D5-A5C2D1821499}">
  <sheetPr codeName="Planilha10">
    <tabColor rgb="FFFFFF00"/>
  </sheetPr>
  <dimension ref="A1:Q35"/>
  <sheetViews>
    <sheetView workbookViewId="0">
      <selection activeCell="L19" sqref="L19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2" width="12.33203125" style="2" customWidth="1"/>
    <col min="13" max="13" width="12.5546875" style="2" customWidth="1"/>
    <col min="14" max="15" width="13.5546875" style="2" customWidth="1"/>
    <col min="16" max="16384" width="8.88671875" style="2"/>
  </cols>
  <sheetData>
    <row r="1" spans="1:17" x14ac:dyDescent="0.25">
      <c r="A1" s="2" t="s">
        <v>4</v>
      </c>
      <c r="B1" s="4" t="s">
        <v>39</v>
      </c>
      <c r="F1" s="2">
        <v>8800</v>
      </c>
      <c r="G1" s="2">
        <f>F1*E12</f>
        <v>165.44</v>
      </c>
      <c r="H1" s="2" t="s">
        <v>68</v>
      </c>
      <c r="I1" s="2">
        <v>8440</v>
      </c>
      <c r="J1" s="2">
        <f>I1*E18</f>
        <v>132.50799999999998</v>
      </c>
    </row>
    <row r="2" spans="1:17" x14ac:dyDescent="0.25">
      <c r="A2" s="2" t="s">
        <v>5</v>
      </c>
      <c r="B2" s="5" t="s">
        <v>40</v>
      </c>
      <c r="F2" s="2">
        <v>7600</v>
      </c>
      <c r="G2" s="2">
        <f>E13*F2</f>
        <v>142.88</v>
      </c>
    </row>
    <row r="3" spans="1:17" x14ac:dyDescent="0.25">
      <c r="A3" s="2" t="s">
        <v>6</v>
      </c>
      <c r="B3" s="10">
        <v>2094430918</v>
      </c>
      <c r="F3" s="2">
        <v>9520</v>
      </c>
      <c r="G3" s="2">
        <f>F3*E14</f>
        <v>178.976</v>
      </c>
    </row>
    <row r="4" spans="1:17" x14ac:dyDescent="0.25">
      <c r="A4" s="2" t="s">
        <v>7</v>
      </c>
      <c r="B4" s="3">
        <v>43117</v>
      </c>
      <c r="F4" s="2">
        <v>10720</v>
      </c>
      <c r="G4" s="2">
        <f>F4*E15</f>
        <v>201.536</v>
      </c>
    </row>
    <row r="5" spans="1:17" x14ac:dyDescent="0.25">
      <c r="A5" s="1" t="s">
        <v>18</v>
      </c>
      <c r="B5" s="20">
        <f>SUM(F11:F200)</f>
        <v>1314.104</v>
      </c>
      <c r="F5" s="2">
        <v>8800</v>
      </c>
      <c r="G5" s="2">
        <f>F5*E16</f>
        <v>165.44</v>
      </c>
    </row>
    <row r="6" spans="1:17" x14ac:dyDescent="0.25">
      <c r="A6" s="1" t="s">
        <v>103</v>
      </c>
      <c r="B6" s="2">
        <f>B5-B7</f>
        <v>264.10400000000004</v>
      </c>
      <c r="F6" s="2">
        <v>9160</v>
      </c>
      <c r="G6" s="2">
        <f>F6*E17</f>
        <v>172.208</v>
      </c>
    </row>
    <row r="7" spans="1:17" x14ac:dyDescent="0.25">
      <c r="A7" s="1" t="s">
        <v>108</v>
      </c>
      <c r="B7" s="2">
        <f>SUM(D13:D200)</f>
        <v>1050</v>
      </c>
      <c r="F7" s="2">
        <f>COUNTIF(F11:F200,"&gt;0")</f>
        <v>8</v>
      </c>
    </row>
    <row r="8" spans="1:17" x14ac:dyDescent="0.25">
      <c r="A8" s="13">
        <f ca="1">OFFSET(A10,A9,0)</f>
        <v>43313</v>
      </c>
      <c r="B8" s="14">
        <f t="shared" ref="B8:M8" ca="1" si="0">OFFSET(B10,B9,0)</f>
        <v>43297</v>
      </c>
      <c r="C8" s="14">
        <f t="shared" ca="1" si="0"/>
        <v>43326</v>
      </c>
      <c r="D8" s="15">
        <f t="shared" ca="1" si="0"/>
        <v>150</v>
      </c>
      <c r="E8" s="16">
        <f t="shared" ca="1" si="0"/>
        <v>1.5699999999999999E-2</v>
      </c>
      <c r="F8" s="15">
        <f t="shared" ca="1" si="0"/>
        <v>155.11600000000001</v>
      </c>
      <c r="G8" s="15">
        <f t="shared" ca="1" si="0"/>
        <v>155.11600000000001</v>
      </c>
      <c r="H8" s="15">
        <f t="shared" ca="1" si="0"/>
        <v>0</v>
      </c>
      <c r="I8" s="15">
        <f t="shared" ca="1" si="0"/>
        <v>0</v>
      </c>
      <c r="J8" s="14">
        <f t="shared" ca="1" si="0"/>
        <v>43357</v>
      </c>
      <c r="K8" s="31">
        <f t="shared" ca="1" si="0"/>
        <v>265</v>
      </c>
      <c r="L8" s="30">
        <f t="shared" ca="1" si="0"/>
        <v>237.91000000000025</v>
      </c>
      <c r="M8" s="30">
        <f t="shared" ca="1" si="0"/>
        <v>1</v>
      </c>
      <c r="N8" s="36">
        <f ca="1">OFFSET(N10,N9,0)</f>
        <v>43238</v>
      </c>
      <c r="O8" s="36"/>
    </row>
    <row r="9" spans="1:17" x14ac:dyDescent="0.25">
      <c r="A9" s="1">
        <f>COUNTA(A11:A200)</f>
        <v>9</v>
      </c>
      <c r="B9" s="1">
        <f t="shared" ref="B9:M9" si="1">COUNTA(B11:B200)</f>
        <v>9</v>
      </c>
      <c r="C9" s="1">
        <f t="shared" si="1"/>
        <v>9</v>
      </c>
      <c r="D9" s="1">
        <f t="shared" si="1"/>
        <v>9</v>
      </c>
      <c r="E9" s="1">
        <f t="shared" si="1"/>
        <v>9</v>
      </c>
      <c r="F9" s="1">
        <f t="shared" si="1"/>
        <v>9</v>
      </c>
      <c r="G9" s="1">
        <f t="shared" si="1"/>
        <v>9</v>
      </c>
      <c r="H9" s="1">
        <f t="shared" si="1"/>
        <v>9</v>
      </c>
      <c r="I9" s="1">
        <f t="shared" si="1"/>
        <v>9</v>
      </c>
      <c r="J9" s="1">
        <f t="shared" si="1"/>
        <v>9</v>
      </c>
      <c r="K9" s="1">
        <f t="shared" si="1"/>
        <v>9</v>
      </c>
      <c r="L9" s="1">
        <f t="shared" si="1"/>
        <v>4</v>
      </c>
      <c r="M9" s="1">
        <f t="shared" si="1"/>
        <v>4</v>
      </c>
      <c r="N9" s="1">
        <f>COUNTA(N11:N200)</f>
        <v>4</v>
      </c>
      <c r="O9" s="1"/>
    </row>
    <row r="10" spans="1:17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7" x14ac:dyDescent="0.25">
      <c r="A11" s="8">
        <v>43070</v>
      </c>
      <c r="B11" s="9">
        <v>43053</v>
      </c>
      <c r="C11" s="9">
        <v>43084</v>
      </c>
      <c r="D11" s="2">
        <v>0</v>
      </c>
      <c r="E11" s="12">
        <v>1.8800000000000001E-2</v>
      </c>
      <c r="F11" s="20">
        <f t="shared" ref="F11:F19" si="2">G11+H11</f>
        <v>0</v>
      </c>
      <c r="G11" s="2">
        <v>0</v>
      </c>
      <c r="H11" s="2">
        <v>0</v>
      </c>
      <c r="I11" s="2">
        <v>0</v>
      </c>
      <c r="J11" s="9">
        <v>43115</v>
      </c>
      <c r="K11" s="2">
        <v>0</v>
      </c>
      <c r="L11" s="2">
        <v>0</v>
      </c>
      <c r="M11" s="2">
        <v>0</v>
      </c>
      <c r="N11" s="9">
        <v>43147</v>
      </c>
    </row>
    <row r="12" spans="1:17" ht="14.4" x14ac:dyDescent="0.3">
      <c r="A12" s="8">
        <v>43101</v>
      </c>
      <c r="B12" s="9">
        <v>43084</v>
      </c>
      <c r="C12" s="9">
        <v>43115</v>
      </c>
      <c r="D12" s="2">
        <v>150</v>
      </c>
      <c r="E12" s="12">
        <v>1.8800000000000001E-2</v>
      </c>
      <c r="F12" s="20">
        <f t="shared" si="2"/>
        <v>165.44</v>
      </c>
      <c r="G12" s="2">
        <v>165.44</v>
      </c>
      <c r="H12" s="20">
        <v>0</v>
      </c>
      <c r="I12" s="2">
        <v>0</v>
      </c>
      <c r="J12" s="9">
        <v>43145</v>
      </c>
      <c r="K12" s="2">
        <v>268</v>
      </c>
      <c r="L12" s="32">
        <v>223.14000000000019</v>
      </c>
      <c r="M12" s="32">
        <v>175</v>
      </c>
      <c r="N12" s="9">
        <v>43178</v>
      </c>
      <c r="O12" s="2">
        <f>IF(C12&gt;VLOOKUP(A12,'4001950116'!$A$11:$N$200,3,FALSE),VLOOKUP(A12,'4001950116'!$A$11:$N$200,11,FALSE),VLOOKUP(A11,'4001950116'!$A$11:$N$200,11,FALSE))*E12</f>
        <v>165.44</v>
      </c>
      <c r="P12" s="2">
        <f>(C12-B12)*24</f>
        <v>744</v>
      </c>
    </row>
    <row r="13" spans="1:17" x14ac:dyDescent="0.25">
      <c r="A13" s="8">
        <v>43132</v>
      </c>
      <c r="B13" s="9">
        <v>43115</v>
      </c>
      <c r="C13" s="9">
        <v>43145</v>
      </c>
      <c r="D13" s="2">
        <v>150</v>
      </c>
      <c r="E13" s="12">
        <v>1.8800000000000001E-2</v>
      </c>
      <c r="F13" s="20">
        <f t="shared" si="2"/>
        <v>142.88</v>
      </c>
      <c r="G13" s="2">
        <v>142.88</v>
      </c>
      <c r="H13" s="20">
        <v>0</v>
      </c>
      <c r="I13" s="2">
        <v>0</v>
      </c>
      <c r="J13" s="9">
        <v>43174</v>
      </c>
      <c r="K13" s="2">
        <v>275</v>
      </c>
      <c r="L13" s="2">
        <v>259.85999999999967</v>
      </c>
      <c r="M13" s="2">
        <v>0</v>
      </c>
      <c r="N13" s="9">
        <v>43207</v>
      </c>
      <c r="O13" s="2">
        <f>IF(C13&gt;VLOOKUP(A13,'4001950116'!$A$11:$N$200,3,FALSE),VLOOKUP(A13,'4001950116'!$A$11:$N$200,11,FALSE),VLOOKUP(A12,'4001950116'!$A$11:$N$200,11,FALSE))*E13</f>
        <v>142.88</v>
      </c>
      <c r="P13" s="2">
        <f>M12/P12</f>
        <v>0.23521505376344087</v>
      </c>
      <c r="Q13" s="2">
        <f>L13/K13</f>
        <v>0.94494545454545331</v>
      </c>
    </row>
    <row r="14" spans="1:17" x14ac:dyDescent="0.25">
      <c r="A14" s="8">
        <v>43160</v>
      </c>
      <c r="B14" s="9">
        <v>43145</v>
      </c>
      <c r="C14" s="9">
        <v>43174</v>
      </c>
      <c r="D14" s="2">
        <v>150</v>
      </c>
      <c r="E14" s="12">
        <v>1.8800000000000001E-2</v>
      </c>
      <c r="F14" s="20">
        <f t="shared" si="2"/>
        <v>178.976</v>
      </c>
      <c r="G14" s="2">
        <v>150</v>
      </c>
      <c r="H14" s="20">
        <f t="shared" ref="H14:H19" si="3">I14-I13</f>
        <v>28.975999999999999</v>
      </c>
      <c r="I14" s="2">
        <v>28.975999999999999</v>
      </c>
      <c r="J14" s="9">
        <v>43203</v>
      </c>
      <c r="K14" s="2">
        <v>250</v>
      </c>
      <c r="L14" s="2">
        <v>237.91000000000025</v>
      </c>
      <c r="M14" s="2">
        <v>1</v>
      </c>
      <c r="N14" s="9">
        <v>43238</v>
      </c>
      <c r="O14" s="2">
        <f>IF(C14&gt;VLOOKUP(A14,'4001950116'!$A$11:$N$200,3,FALSE),VLOOKUP(A14,'4001950116'!$A$11:$N$200,11,FALSE),VLOOKUP(A13,'4001950116'!$A$11:$N$200,11,FALSE))*E14</f>
        <v>178.976</v>
      </c>
      <c r="P14" s="2">
        <f>L12*(1+P13)</f>
        <v>275.62588709677448</v>
      </c>
      <c r="Q14" s="2">
        <f>L14/K14</f>
        <v>0.95164000000000104</v>
      </c>
    </row>
    <row r="15" spans="1:17" x14ac:dyDescent="0.25">
      <c r="A15" s="8">
        <v>43191</v>
      </c>
      <c r="B15" s="9">
        <v>43174</v>
      </c>
      <c r="C15" s="9">
        <v>43203</v>
      </c>
      <c r="D15" s="2">
        <v>150</v>
      </c>
      <c r="E15" s="12">
        <v>1.8800000000000001E-2</v>
      </c>
      <c r="F15" s="20">
        <f t="shared" si="2"/>
        <v>201.536</v>
      </c>
      <c r="G15" s="2">
        <f>146.024+28.976</f>
        <v>175</v>
      </c>
      <c r="H15" s="20">
        <f t="shared" si="3"/>
        <v>26.536000000000001</v>
      </c>
      <c r="I15" s="2">
        <v>55.512</v>
      </c>
      <c r="J15" s="9">
        <v>43235</v>
      </c>
      <c r="K15" s="2">
        <v>275</v>
      </c>
      <c r="O15" s="2">
        <f>IF(C15&gt;VLOOKUP(A15,'4001950116'!$A$11:$N$200,3,FALSE),VLOOKUP(A15,'4001950116'!$A$11:$N$200,11,FALSE),VLOOKUP(A14,'4001950116'!$A$11:$N$200,11,FALSE))*E15</f>
        <v>201.536</v>
      </c>
      <c r="P15" s="2">
        <f>K12/P14</f>
        <v>0.97233247146304158</v>
      </c>
    </row>
    <row r="16" spans="1:17" x14ac:dyDescent="0.25">
      <c r="A16" s="8">
        <v>43221</v>
      </c>
      <c r="B16" s="9">
        <v>43203</v>
      </c>
      <c r="C16" s="9">
        <v>43235</v>
      </c>
      <c r="D16" s="2">
        <v>150</v>
      </c>
      <c r="E16" s="12">
        <v>1.8800000000000001E-2</v>
      </c>
      <c r="F16" s="20">
        <f t="shared" si="2"/>
        <v>165.44</v>
      </c>
      <c r="G16" s="2">
        <f>137.488+55.512</f>
        <v>193</v>
      </c>
      <c r="H16" s="20">
        <f t="shared" si="3"/>
        <v>-27.56</v>
      </c>
      <c r="I16" s="2">
        <v>27.952000000000002</v>
      </c>
      <c r="J16" s="9">
        <v>43265</v>
      </c>
      <c r="K16" s="2">
        <v>293</v>
      </c>
      <c r="O16" s="2">
        <f>IF(C16&gt;VLOOKUP(A16,'4001950116'!$A$11:$N$200,3,FALSE),VLOOKUP(A16,'4001950116'!$A$11:$N$200,11,FALSE),VLOOKUP(A15,'4001950116'!$A$11:$N$200,11,FALSE))*E16</f>
        <v>165.44</v>
      </c>
    </row>
    <row r="17" spans="1:15" x14ac:dyDescent="0.25">
      <c r="A17" s="8">
        <v>43252</v>
      </c>
      <c r="B17" s="9">
        <v>43235</v>
      </c>
      <c r="C17" s="9">
        <v>43265</v>
      </c>
      <c r="D17" s="2">
        <v>150</v>
      </c>
      <c r="E17" s="12">
        <v>1.8800000000000001E-2</v>
      </c>
      <c r="F17" s="20">
        <f t="shared" si="2"/>
        <v>172.208</v>
      </c>
      <c r="G17" s="2">
        <f>172.208+27.952</f>
        <v>200.16</v>
      </c>
      <c r="H17" s="20">
        <f t="shared" si="3"/>
        <v>-27.952000000000002</v>
      </c>
      <c r="I17" s="2">
        <v>0</v>
      </c>
      <c r="J17" s="9">
        <v>43297</v>
      </c>
      <c r="K17" s="2">
        <v>311</v>
      </c>
      <c r="O17" s="2">
        <f>IF(C17&gt;VLOOKUP(A17,'4001950116'!$A$11:$N$200,3,FALSE),VLOOKUP(A17,'4001950116'!$A$11:$N$200,11,FALSE),VLOOKUP(A16,'4001950116'!$A$11:$N$200,11,FALSE))*E17</f>
        <v>172.208</v>
      </c>
    </row>
    <row r="18" spans="1:15" x14ac:dyDescent="0.25">
      <c r="A18" s="8">
        <v>43282</v>
      </c>
      <c r="B18" s="9">
        <v>43265</v>
      </c>
      <c r="C18" s="9">
        <v>43297</v>
      </c>
      <c r="D18" s="2">
        <v>150</v>
      </c>
      <c r="E18" s="12">
        <v>1.5699999999999999E-2</v>
      </c>
      <c r="F18" s="20">
        <f t="shared" si="2"/>
        <v>132.50800000000001</v>
      </c>
      <c r="G18" s="2">
        <v>132.50800000000001</v>
      </c>
      <c r="H18" s="20">
        <f t="shared" si="3"/>
        <v>0</v>
      </c>
      <c r="I18" s="2">
        <v>0</v>
      </c>
      <c r="J18" s="9">
        <v>43326</v>
      </c>
      <c r="K18" s="2">
        <v>376</v>
      </c>
      <c r="O18" s="2">
        <f>IF(C18&gt;VLOOKUP(A18,'4001950116'!$A$11:$N$200,3,FALSE),VLOOKUP(A18,'4001950116'!$A$11:$N$200,11,FALSE),VLOOKUP(A17,'4001950116'!$A$11:$N$200,11,FALSE))*E18</f>
        <v>132.50799999999998</v>
      </c>
    </row>
    <row r="19" spans="1:15" x14ac:dyDescent="0.25">
      <c r="A19" s="8">
        <v>43313</v>
      </c>
      <c r="B19" s="9">
        <v>43297</v>
      </c>
      <c r="C19" s="9">
        <v>43326</v>
      </c>
      <c r="D19" s="2">
        <v>150</v>
      </c>
      <c r="E19" s="12">
        <v>1.5699999999999999E-2</v>
      </c>
      <c r="F19" s="20">
        <f t="shared" si="2"/>
        <v>155.11600000000001</v>
      </c>
      <c r="G19" s="2">
        <v>155.11600000000001</v>
      </c>
      <c r="H19" s="20">
        <f t="shared" si="3"/>
        <v>0</v>
      </c>
      <c r="I19" s="2">
        <v>0</v>
      </c>
      <c r="J19" s="9">
        <v>43357</v>
      </c>
      <c r="K19" s="2">
        <v>265</v>
      </c>
      <c r="O19" s="2">
        <f>IF(C19&gt;VLOOKUP(A19,'4001950116'!$A$11:$N$200,3,FALSE),VLOOKUP(A19,'4001950116'!$A$11:$N$200,11,FALSE),VLOOKUP(A18,'4001950116'!$A$11:$N$200,11,FALSE))*E19</f>
        <v>155.11599999999999</v>
      </c>
    </row>
    <row r="20" spans="1:15" x14ac:dyDescent="0.25">
      <c r="B20" s="9"/>
      <c r="C20" s="9"/>
      <c r="J20" s="9"/>
    </row>
    <row r="21" spans="1:15" x14ac:dyDescent="0.25">
      <c r="B21" s="9"/>
      <c r="C21" s="9"/>
      <c r="J21" s="9"/>
    </row>
    <row r="22" spans="1:15" x14ac:dyDescent="0.25">
      <c r="B22" s="9"/>
      <c r="C22" s="9"/>
      <c r="J22" s="9"/>
    </row>
    <row r="23" spans="1:15" x14ac:dyDescent="0.25">
      <c r="B23" s="9"/>
      <c r="C23" s="9"/>
      <c r="J23" s="9"/>
    </row>
    <row r="24" spans="1:15" x14ac:dyDescent="0.25">
      <c r="B24" s="9"/>
      <c r="C24" s="9"/>
      <c r="J24" s="9"/>
    </row>
    <row r="25" spans="1:15" x14ac:dyDescent="0.25">
      <c r="B25" s="9"/>
      <c r="C25" s="9"/>
      <c r="J25" s="9"/>
    </row>
    <row r="26" spans="1:15" x14ac:dyDescent="0.25">
      <c r="B26" s="9"/>
      <c r="C26" s="9"/>
      <c r="J26" s="9"/>
    </row>
    <row r="27" spans="1:15" x14ac:dyDescent="0.25">
      <c r="B27" s="9"/>
      <c r="C27" s="9"/>
      <c r="J27" s="9"/>
    </row>
    <row r="28" spans="1:15" x14ac:dyDescent="0.25">
      <c r="B28" s="9"/>
      <c r="C28" s="9"/>
      <c r="J28" s="9"/>
    </row>
    <row r="29" spans="1:15" x14ac:dyDescent="0.25">
      <c r="B29" s="9"/>
      <c r="C29" s="9"/>
      <c r="J29" s="9"/>
    </row>
    <row r="30" spans="1:15" x14ac:dyDescent="0.25">
      <c r="B30" s="9"/>
      <c r="C30" s="9"/>
      <c r="J30" s="9"/>
    </row>
    <row r="31" spans="1:15" x14ac:dyDescent="0.25">
      <c r="B31" s="9"/>
      <c r="C31" s="9"/>
      <c r="J31" s="9"/>
    </row>
    <row r="32" spans="1:15" x14ac:dyDescent="0.25">
      <c r="B32" s="9"/>
      <c r="C32" s="9"/>
      <c r="J32" s="9"/>
    </row>
    <row r="33" spans="2:10" x14ac:dyDescent="0.25">
      <c r="B33" s="9"/>
      <c r="C33" s="9"/>
      <c r="J33" s="9"/>
    </row>
    <row r="34" spans="2:10" x14ac:dyDescent="0.25">
      <c r="B34" s="9"/>
      <c r="C34" s="9"/>
      <c r="J34" s="9"/>
    </row>
    <row r="35" spans="2:10" x14ac:dyDescent="0.25">
      <c r="B35" s="9"/>
      <c r="C35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BA23-4450-414E-BBCC-5E98ADD46A95}">
  <sheetPr codeName="Planilha11"/>
  <dimension ref="A1:P1048576"/>
  <sheetViews>
    <sheetView workbookViewId="0">
      <selection activeCell="O18" sqref="O18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2.44140625" style="2" customWidth="1"/>
    <col min="12" max="12" width="11.6640625" style="2" customWidth="1"/>
    <col min="13" max="13" width="11.33203125" style="2" customWidth="1"/>
    <col min="14" max="15" width="14" style="2" customWidth="1"/>
    <col min="16" max="16384" width="8.88671875" style="2"/>
  </cols>
  <sheetData>
    <row r="1" spans="1:16" x14ac:dyDescent="0.25">
      <c r="A1" s="2" t="s">
        <v>4</v>
      </c>
      <c r="B1" s="4" t="s">
        <v>41</v>
      </c>
      <c r="F1" s="2">
        <v>4280</v>
      </c>
      <c r="I1" s="2">
        <v>9160</v>
      </c>
      <c r="J1" s="2">
        <f>I1*E16</f>
        <v>343.5</v>
      </c>
      <c r="L1" s="2" t="s">
        <v>150</v>
      </c>
      <c r="M1" s="2">
        <v>19654930</v>
      </c>
    </row>
    <row r="2" spans="1:16" x14ac:dyDescent="0.25">
      <c r="A2" s="2" t="s">
        <v>5</v>
      </c>
      <c r="B2" s="5" t="s">
        <v>42</v>
      </c>
      <c r="F2" s="2">
        <v>8800</v>
      </c>
      <c r="G2" s="2">
        <f>F2*E11</f>
        <v>330</v>
      </c>
      <c r="H2" s="2" t="s">
        <v>61</v>
      </c>
      <c r="I2" s="2">
        <v>8440</v>
      </c>
      <c r="J2" s="2">
        <f>I2*E17</f>
        <v>265.01599999999996</v>
      </c>
      <c r="L2" s="2" t="s">
        <v>159</v>
      </c>
      <c r="M2" s="9">
        <v>24033</v>
      </c>
    </row>
    <row r="3" spans="1:16" ht="14.4" x14ac:dyDescent="0.3">
      <c r="A3" s="2" t="s">
        <v>6</v>
      </c>
      <c r="B3" s="10">
        <v>4000016164</v>
      </c>
      <c r="F3" s="2">
        <v>7600</v>
      </c>
      <c r="G3" s="2">
        <f>F3*E12</f>
        <v>285</v>
      </c>
      <c r="H3" s="2" t="s">
        <v>61</v>
      </c>
      <c r="I3" s="2">
        <v>9880</v>
      </c>
      <c r="J3" s="2">
        <f>I3*E18</f>
        <v>310.23199999999997</v>
      </c>
      <c r="L3" s="2" t="s">
        <v>160</v>
      </c>
      <c r="M3" s="74" t="s">
        <v>162</v>
      </c>
    </row>
    <row r="4" spans="1:16" x14ac:dyDescent="0.25">
      <c r="A4" s="2" t="s">
        <v>7</v>
      </c>
      <c r="B4" s="3">
        <v>43117</v>
      </c>
      <c r="F4" s="2">
        <v>9520</v>
      </c>
      <c r="G4" s="2">
        <f>F4*E13</f>
        <v>357</v>
      </c>
      <c r="L4" s="2" t="s">
        <v>156</v>
      </c>
      <c r="M4" s="2">
        <v>123456</v>
      </c>
    </row>
    <row r="5" spans="1:16" x14ac:dyDescent="0.25">
      <c r="A5" s="1" t="s">
        <v>18</v>
      </c>
      <c r="B5" s="20">
        <f>SUM(F11:F200)</f>
        <v>2622.748</v>
      </c>
      <c r="F5" s="2">
        <v>10720</v>
      </c>
      <c r="G5" s="2">
        <f>F5*E14</f>
        <v>402</v>
      </c>
    </row>
    <row r="6" spans="1:16" x14ac:dyDescent="0.25">
      <c r="A6" s="1" t="s">
        <v>103</v>
      </c>
      <c r="B6" s="2">
        <f>B5-B7</f>
        <v>522.74800000000005</v>
      </c>
      <c r="F6" s="2">
        <v>8800</v>
      </c>
      <c r="G6" s="2">
        <f>F6*E15</f>
        <v>330</v>
      </c>
    </row>
    <row r="7" spans="1:16" x14ac:dyDescent="0.25">
      <c r="A7" s="1" t="s">
        <v>108</v>
      </c>
      <c r="B7" s="2">
        <f>SUM(D12:D200)</f>
        <v>2100</v>
      </c>
      <c r="F7" s="2">
        <f>COUNTIF(F11:F200,"&gt;0")</f>
        <v>8</v>
      </c>
    </row>
    <row r="8" spans="1:16" x14ac:dyDescent="0.25">
      <c r="A8" s="13">
        <f ca="1">OFFSET(A10,A9,0)</f>
        <v>43282</v>
      </c>
      <c r="B8" s="14">
        <f t="shared" ref="B8:M8" ca="1" si="0">OFFSET(B10,B9,0)</f>
        <v>43273</v>
      </c>
      <c r="C8" s="14">
        <f t="shared" ca="1" si="0"/>
        <v>43305</v>
      </c>
      <c r="D8" s="15">
        <f t="shared" ca="1" si="0"/>
        <v>300</v>
      </c>
      <c r="E8" s="16">
        <f t="shared" ca="1" si="0"/>
        <v>3.1399999999999997E-2</v>
      </c>
      <c r="F8" s="15">
        <f t="shared" ca="1" si="0"/>
        <v>310.23199999999997</v>
      </c>
      <c r="G8" s="15">
        <f t="shared" ca="1" si="0"/>
        <v>290</v>
      </c>
      <c r="H8" s="15">
        <f t="shared" ca="1" si="0"/>
        <v>20.231999999999999</v>
      </c>
      <c r="I8" s="15">
        <f t="shared" ca="1" si="0"/>
        <v>28.248000000000001</v>
      </c>
      <c r="J8" s="14">
        <f t="shared" ca="1" si="0"/>
        <v>43334</v>
      </c>
      <c r="K8" s="31">
        <f t="shared" ca="1" si="0"/>
        <v>290</v>
      </c>
      <c r="L8" s="30">
        <f t="shared" ca="1" si="0"/>
        <v>317.16000000000065</v>
      </c>
      <c r="M8" s="30">
        <f t="shared" ca="1" si="0"/>
        <v>0</v>
      </c>
      <c r="N8" s="36">
        <f ca="1">OFFSET(N10,N9,0)</f>
        <v>43238</v>
      </c>
      <c r="O8" s="36"/>
    </row>
    <row r="9" spans="1:16" x14ac:dyDescent="0.25">
      <c r="A9" s="1">
        <f>COUNTA(A11:A200)</f>
        <v>8</v>
      </c>
      <c r="B9" s="1">
        <f t="shared" ref="B9:M9" si="1">COUNTA(B11:B200)</f>
        <v>8</v>
      </c>
      <c r="C9" s="1">
        <f t="shared" si="1"/>
        <v>8</v>
      </c>
      <c r="D9" s="1">
        <f t="shared" si="1"/>
        <v>8</v>
      </c>
      <c r="E9" s="1">
        <f t="shared" si="1"/>
        <v>8</v>
      </c>
      <c r="F9" s="1">
        <f t="shared" si="1"/>
        <v>8</v>
      </c>
      <c r="G9" s="1">
        <f t="shared" si="1"/>
        <v>8</v>
      </c>
      <c r="H9" s="1">
        <f t="shared" si="1"/>
        <v>8</v>
      </c>
      <c r="I9" s="1">
        <f t="shared" si="1"/>
        <v>8</v>
      </c>
      <c r="J9" s="1">
        <f t="shared" si="1"/>
        <v>8</v>
      </c>
      <c r="K9" s="1">
        <f t="shared" si="1"/>
        <v>8</v>
      </c>
      <c r="L9" s="1">
        <f t="shared" si="1"/>
        <v>8</v>
      </c>
      <c r="M9" s="1">
        <f t="shared" si="1"/>
        <v>8</v>
      </c>
      <c r="N9" s="1">
        <f>COUNTA(N11:N200)</f>
        <v>4</v>
      </c>
      <c r="O9" s="1"/>
    </row>
    <row r="10" spans="1:16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6" x14ac:dyDescent="0.25">
      <c r="A11" s="8">
        <v>43070</v>
      </c>
      <c r="B11" s="9">
        <v>43062</v>
      </c>
      <c r="C11" s="9">
        <v>43092</v>
      </c>
      <c r="D11" s="2">
        <v>300</v>
      </c>
      <c r="E11" s="12">
        <v>3.7499999999999999E-2</v>
      </c>
      <c r="F11" s="20">
        <f>G11+H11</f>
        <v>330</v>
      </c>
      <c r="G11" s="2">
        <v>330</v>
      </c>
      <c r="H11" s="2">
        <v>0</v>
      </c>
      <c r="I11" s="2">
        <v>0</v>
      </c>
      <c r="J11" s="9">
        <v>43123</v>
      </c>
      <c r="K11" s="2">
        <v>480</v>
      </c>
      <c r="L11" s="2">
        <v>0</v>
      </c>
      <c r="M11" s="2">
        <v>0</v>
      </c>
      <c r="N11" s="9">
        <v>43147</v>
      </c>
      <c r="O11" s="9"/>
    </row>
    <row r="12" spans="1:16" x14ac:dyDescent="0.25">
      <c r="A12" s="8">
        <v>43101</v>
      </c>
      <c r="B12" s="9">
        <v>43092</v>
      </c>
      <c r="C12" s="9">
        <v>43123</v>
      </c>
      <c r="D12" s="2">
        <v>300</v>
      </c>
      <c r="E12" s="12">
        <v>3.7499999999999999E-2</v>
      </c>
      <c r="F12" s="20">
        <v>285</v>
      </c>
      <c r="G12" s="2">
        <v>285</v>
      </c>
      <c r="H12" s="20">
        <v>0</v>
      </c>
      <c r="I12" s="2">
        <v>0</v>
      </c>
      <c r="J12" s="9">
        <v>43153</v>
      </c>
      <c r="K12" s="2">
        <v>832</v>
      </c>
      <c r="L12" s="2">
        <v>901.04999999999973</v>
      </c>
      <c r="M12" s="2">
        <v>0</v>
      </c>
      <c r="N12" s="9">
        <v>43178</v>
      </c>
      <c r="O12" s="9"/>
      <c r="P12" s="59">
        <f>K12/L12</f>
        <v>0.92336718273125828</v>
      </c>
    </row>
    <row r="13" spans="1:16" x14ac:dyDescent="0.25">
      <c r="A13" s="8">
        <v>43132</v>
      </c>
      <c r="B13" s="9">
        <v>43123</v>
      </c>
      <c r="C13" s="9">
        <v>43153</v>
      </c>
      <c r="D13" s="2">
        <v>300</v>
      </c>
      <c r="E13" s="12">
        <v>3.7499999999999999E-2</v>
      </c>
      <c r="F13" s="20">
        <f t="shared" ref="F13:F18" si="2">G13+H13</f>
        <v>357</v>
      </c>
      <c r="G13" s="2">
        <v>357</v>
      </c>
      <c r="H13" s="20">
        <f t="shared" ref="H13:H18" si="3">I13-I12</f>
        <v>0</v>
      </c>
      <c r="I13" s="2">
        <v>0</v>
      </c>
      <c r="J13" s="9">
        <v>43182</v>
      </c>
      <c r="K13" s="2">
        <v>666</v>
      </c>
      <c r="L13" s="2">
        <v>721.44999999999902</v>
      </c>
      <c r="M13" s="2">
        <v>0</v>
      </c>
      <c r="N13" s="9">
        <v>43207</v>
      </c>
      <c r="O13" s="9"/>
      <c r="P13" s="59">
        <f t="shared" ref="P13:P18" si="4">K13/L13</f>
        <v>0.92314089680504663</v>
      </c>
    </row>
    <row r="14" spans="1:16" x14ac:dyDescent="0.25">
      <c r="A14" s="8">
        <v>43160</v>
      </c>
      <c r="B14" s="9">
        <v>43153</v>
      </c>
      <c r="C14" s="9">
        <v>43182</v>
      </c>
      <c r="D14" s="2">
        <v>300</v>
      </c>
      <c r="E14" s="12">
        <v>3.7499999999999999E-2</v>
      </c>
      <c r="F14" s="20">
        <f t="shared" si="2"/>
        <v>402</v>
      </c>
      <c r="G14" s="2">
        <v>402</v>
      </c>
      <c r="H14" s="20">
        <f t="shared" si="3"/>
        <v>0</v>
      </c>
      <c r="I14" s="2">
        <v>0</v>
      </c>
      <c r="J14" s="9">
        <v>43213</v>
      </c>
      <c r="K14" s="2">
        <v>703</v>
      </c>
      <c r="L14" s="2">
        <v>752.76999999999987</v>
      </c>
      <c r="M14" s="2">
        <v>0</v>
      </c>
      <c r="N14" s="9">
        <v>43238</v>
      </c>
      <c r="O14" s="9"/>
      <c r="P14" s="59">
        <f t="shared" si="4"/>
        <v>0.93388418773330517</v>
      </c>
    </row>
    <row r="15" spans="1:16" x14ac:dyDescent="0.25">
      <c r="A15" s="8">
        <v>43191</v>
      </c>
      <c r="B15" s="9">
        <v>43182</v>
      </c>
      <c r="C15" s="9">
        <v>43213</v>
      </c>
      <c r="D15" s="2">
        <v>300</v>
      </c>
      <c r="E15" s="12">
        <v>3.7499999999999999E-2</v>
      </c>
      <c r="F15" s="20">
        <f t="shared" si="2"/>
        <v>330</v>
      </c>
      <c r="G15" s="2">
        <v>330</v>
      </c>
      <c r="H15" s="20">
        <f t="shared" si="3"/>
        <v>0</v>
      </c>
      <c r="I15" s="2">
        <v>0</v>
      </c>
      <c r="J15" s="9">
        <v>43243</v>
      </c>
      <c r="K15" s="2">
        <v>564</v>
      </c>
      <c r="L15" s="2">
        <v>591.05999999999983</v>
      </c>
      <c r="M15" s="2">
        <v>0</v>
      </c>
      <c r="P15" s="59">
        <f t="shared" si="4"/>
        <v>0.95421784590396941</v>
      </c>
    </row>
    <row r="16" spans="1:16" x14ac:dyDescent="0.25">
      <c r="A16" s="8">
        <v>43221</v>
      </c>
      <c r="B16" s="9">
        <v>43213</v>
      </c>
      <c r="C16" s="9">
        <v>43243</v>
      </c>
      <c r="D16" s="2">
        <v>300</v>
      </c>
      <c r="E16" s="12">
        <v>3.7499999999999999E-2</v>
      </c>
      <c r="F16" s="20">
        <f t="shared" si="2"/>
        <v>343.5</v>
      </c>
      <c r="G16" s="2">
        <v>343.5</v>
      </c>
      <c r="H16" s="20">
        <f t="shared" si="3"/>
        <v>0</v>
      </c>
      <c r="I16" s="2">
        <v>0</v>
      </c>
      <c r="J16" s="9">
        <v>43273</v>
      </c>
      <c r="K16" s="2">
        <v>375</v>
      </c>
      <c r="L16" s="2">
        <v>422.7500000000004</v>
      </c>
      <c r="M16" s="2">
        <v>0</v>
      </c>
      <c r="P16" s="59">
        <f t="shared" si="4"/>
        <v>0.88704908338261301</v>
      </c>
    </row>
    <row r="17" spans="1:16" x14ac:dyDescent="0.25">
      <c r="A17" s="8">
        <v>43252</v>
      </c>
      <c r="B17" s="9">
        <v>43243</v>
      </c>
      <c r="C17" s="9">
        <v>43273</v>
      </c>
      <c r="D17" s="2">
        <v>300</v>
      </c>
      <c r="E17" s="12">
        <v>3.1399999999999997E-2</v>
      </c>
      <c r="F17" s="20">
        <f t="shared" si="2"/>
        <v>265.01600000000002</v>
      </c>
      <c r="G17" s="2">
        <v>257</v>
      </c>
      <c r="H17" s="20">
        <f t="shared" si="3"/>
        <v>8.016</v>
      </c>
      <c r="I17" s="2">
        <v>8.016</v>
      </c>
      <c r="J17" s="9">
        <v>43305</v>
      </c>
      <c r="K17" s="2">
        <v>257</v>
      </c>
      <c r="L17" s="2">
        <v>281.64000000000033</v>
      </c>
      <c r="M17" s="2">
        <v>0</v>
      </c>
      <c r="P17" s="59">
        <f t="shared" si="4"/>
        <v>0.91251242721204273</v>
      </c>
    </row>
    <row r="18" spans="1:16" x14ac:dyDescent="0.25">
      <c r="A18" s="8">
        <v>43282</v>
      </c>
      <c r="B18" s="9">
        <v>43273</v>
      </c>
      <c r="C18" s="9">
        <v>43305</v>
      </c>
      <c r="D18" s="2">
        <v>300</v>
      </c>
      <c r="E18" s="12">
        <v>3.1399999999999997E-2</v>
      </c>
      <c r="F18" s="20">
        <f t="shared" si="2"/>
        <v>310.23199999999997</v>
      </c>
      <c r="G18" s="2">
        <v>290</v>
      </c>
      <c r="H18" s="20">
        <f t="shared" si="3"/>
        <v>20.231999999999999</v>
      </c>
      <c r="I18" s="2">
        <v>28.248000000000001</v>
      </c>
      <c r="J18" s="9">
        <v>43334</v>
      </c>
      <c r="K18" s="2">
        <v>290</v>
      </c>
      <c r="L18" s="2">
        <v>317.16000000000065</v>
      </c>
      <c r="M18" s="2">
        <v>0</v>
      </c>
      <c r="O18" s="2">
        <f>IF(C18&gt;VLOOKUP(A18,'4001950116'!$A$11:$N$200,3,FALSE),VLOOKUP(A18,'4001950116'!$A$11:$N$200,11,FALSE),VLOOKUP(A17,'4001950116'!$A$11:$N$200,11,FALSE))*E18</f>
        <v>310.23199999999997</v>
      </c>
      <c r="P18" s="59">
        <f t="shared" si="4"/>
        <v>0.91436498927985688</v>
      </c>
    </row>
    <row r="19" spans="1:16" x14ac:dyDescent="0.25">
      <c r="B19" s="9"/>
      <c r="C19" s="9"/>
      <c r="J19" s="9"/>
    </row>
    <row r="20" spans="1:16" x14ac:dyDescent="0.25">
      <c r="B20" s="9"/>
      <c r="C20" s="9"/>
      <c r="J20" s="9"/>
    </row>
    <row r="21" spans="1:16" x14ac:dyDescent="0.25">
      <c r="B21" s="9"/>
      <c r="C21" s="9"/>
      <c r="J21" s="9"/>
    </row>
    <row r="22" spans="1:16" x14ac:dyDescent="0.25">
      <c r="B22" s="9"/>
      <c r="C22" s="9"/>
      <c r="J22" s="9"/>
    </row>
    <row r="23" spans="1:16" x14ac:dyDescent="0.25">
      <c r="B23" s="9"/>
      <c r="C23" s="9"/>
      <c r="J23" s="9"/>
    </row>
    <row r="24" spans="1:16" x14ac:dyDescent="0.25">
      <c r="B24" s="9"/>
      <c r="C24" s="9"/>
      <c r="J24" s="9"/>
    </row>
    <row r="25" spans="1:16" x14ac:dyDescent="0.25">
      <c r="B25" s="9"/>
      <c r="C25" s="9"/>
      <c r="J25" s="9"/>
    </row>
    <row r="26" spans="1:16" x14ac:dyDescent="0.25">
      <c r="B26" s="9"/>
      <c r="C26" s="9"/>
      <c r="J26" s="9"/>
    </row>
    <row r="27" spans="1:16" x14ac:dyDescent="0.25">
      <c r="B27" s="9"/>
      <c r="C27" s="9"/>
      <c r="J27" s="9"/>
    </row>
    <row r="28" spans="1:16" x14ac:dyDescent="0.25">
      <c r="B28" s="9"/>
      <c r="C28" s="9"/>
      <c r="J28" s="9"/>
    </row>
    <row r="29" spans="1:16" x14ac:dyDescent="0.25">
      <c r="B29" s="9"/>
      <c r="C29" s="9"/>
      <c r="J29" s="9"/>
    </row>
    <row r="30" spans="1:16" x14ac:dyDescent="0.25">
      <c r="B30" s="9"/>
      <c r="C30" s="9"/>
      <c r="J30" s="9"/>
    </row>
    <row r="31" spans="1:16" x14ac:dyDescent="0.25">
      <c r="B31" s="9"/>
      <c r="C31" s="9"/>
      <c r="J31" s="9"/>
    </row>
    <row r="32" spans="1:16" x14ac:dyDescent="0.25">
      <c r="B32" s="9"/>
      <c r="C32" s="9"/>
      <c r="J32" s="9"/>
    </row>
    <row r="33" spans="2:10" x14ac:dyDescent="0.25">
      <c r="B33" s="9"/>
      <c r="C33" s="9"/>
      <c r="J33" s="9"/>
    </row>
    <row r="34" spans="2:10" x14ac:dyDescent="0.25">
      <c r="B34" s="9"/>
      <c r="C34" s="9"/>
      <c r="J34" s="9"/>
    </row>
    <row r="35" spans="2:10" x14ac:dyDescent="0.25">
      <c r="B35" s="9"/>
      <c r="C35" s="9"/>
      <c r="J35" s="9"/>
    </row>
    <row r="36" spans="2:10" x14ac:dyDescent="0.25">
      <c r="B36" s="9"/>
      <c r="C36" s="9"/>
      <c r="J36" s="9"/>
    </row>
    <row r="37" spans="2:10" x14ac:dyDescent="0.25">
      <c r="B37" s="9"/>
      <c r="C37" s="9"/>
      <c r="J37" s="9"/>
    </row>
    <row r="38" spans="2:10" x14ac:dyDescent="0.25">
      <c r="B38" s="9"/>
      <c r="C38" s="9"/>
      <c r="J38" s="9"/>
    </row>
    <row r="39" spans="2:10" x14ac:dyDescent="0.25">
      <c r="B39" s="9"/>
      <c r="C39" s="9"/>
      <c r="J39" s="9"/>
    </row>
    <row r="40" spans="2:10" x14ac:dyDescent="0.25">
      <c r="J40" s="9"/>
    </row>
    <row r="41" spans="2:10" x14ac:dyDescent="0.25">
      <c r="J41" s="9"/>
    </row>
    <row r="42" spans="2:10" x14ac:dyDescent="0.25">
      <c r="J42" s="9"/>
    </row>
    <row r="43" spans="2:10" x14ac:dyDescent="0.25">
      <c r="J43" s="9"/>
    </row>
    <row r="44" spans="2:10" x14ac:dyDescent="0.25">
      <c r="J44" s="9"/>
    </row>
    <row r="1048576" spans="5:5" x14ac:dyDescent="0.25">
      <c r="E1048576" s="12"/>
    </row>
  </sheetData>
  <hyperlinks>
    <hyperlink ref="M3" r:id="rId1" xr:uid="{5D3406F8-90C3-428A-8250-653DC14C9BC6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3BA4-12E7-43B0-8B10-061DD5410CCF}">
  <sheetPr codeName="Planilha12"/>
  <dimension ref="A1:Z32"/>
  <sheetViews>
    <sheetView workbookViewId="0">
      <selection activeCell="D20" sqref="D20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9" width="15" style="2" customWidth="1"/>
    <col min="10" max="10" width="15.5546875" style="2" customWidth="1"/>
    <col min="11" max="11" width="12.33203125" style="2" customWidth="1"/>
    <col min="12" max="12" width="14" style="2" customWidth="1"/>
    <col min="13" max="13" width="13.109375" style="2" customWidth="1"/>
    <col min="14" max="14" width="18.5546875" style="2" customWidth="1"/>
    <col min="15" max="16384" width="8.88671875" style="2"/>
  </cols>
  <sheetData>
    <row r="1" spans="1:26" x14ac:dyDescent="0.25">
      <c r="A1" s="2" t="s">
        <v>4</v>
      </c>
      <c r="B1" s="4" t="s">
        <v>43</v>
      </c>
      <c r="F1" s="2">
        <v>8800</v>
      </c>
      <c r="G1" s="2">
        <f>E11*F1</f>
        <v>2200</v>
      </c>
      <c r="H1" s="2" t="s">
        <v>57</v>
      </c>
      <c r="I1" s="2">
        <v>8440</v>
      </c>
      <c r="J1" s="2">
        <f>I1*E17</f>
        <v>1767.336</v>
      </c>
    </row>
    <row r="2" spans="1:26" x14ac:dyDescent="0.25">
      <c r="A2" s="2" t="s">
        <v>5</v>
      </c>
      <c r="B2" s="5" t="s">
        <v>44</v>
      </c>
      <c r="F2" s="2">
        <v>7600</v>
      </c>
      <c r="G2" s="2">
        <f>F2*E12</f>
        <v>1900</v>
      </c>
      <c r="I2" s="2">
        <v>9880</v>
      </c>
      <c r="J2" s="2">
        <f>I2*E18</f>
        <v>2068.8719999999998</v>
      </c>
    </row>
    <row r="3" spans="1:26" x14ac:dyDescent="0.25">
      <c r="A3" s="2" t="s">
        <v>6</v>
      </c>
      <c r="B3" s="10">
        <v>2020707291</v>
      </c>
      <c r="F3" s="2">
        <v>9520</v>
      </c>
      <c r="G3" s="2">
        <f>F3*E13</f>
        <v>2380</v>
      </c>
    </row>
    <row r="4" spans="1:26" x14ac:dyDescent="0.25">
      <c r="A4" s="2" t="s">
        <v>7</v>
      </c>
      <c r="B4" s="3">
        <v>43117</v>
      </c>
      <c r="F4" s="2">
        <v>10720</v>
      </c>
      <c r="G4" s="2">
        <f>F4*E14</f>
        <v>2680</v>
      </c>
    </row>
    <row r="5" spans="1:26" x14ac:dyDescent="0.25">
      <c r="A5" s="1" t="s">
        <v>18</v>
      </c>
      <c r="B5" s="20">
        <f>SUM(F11:F200)</f>
        <v>19288.088</v>
      </c>
      <c r="F5" s="2">
        <v>8800</v>
      </c>
      <c r="G5" s="2">
        <f>F5*E15</f>
        <v>2200</v>
      </c>
    </row>
    <row r="6" spans="1:26" x14ac:dyDescent="0.25">
      <c r="A6" s="1" t="s">
        <v>103</v>
      </c>
      <c r="B6" s="2">
        <f>B5-B7</f>
        <v>3288.0879999999997</v>
      </c>
    </row>
    <row r="7" spans="1:26" x14ac:dyDescent="0.25">
      <c r="A7" s="1" t="s">
        <v>108</v>
      </c>
      <c r="B7" s="2">
        <f>SUM(D12:D200)</f>
        <v>16000</v>
      </c>
      <c r="F7" s="2">
        <f>COUNTIF(F11:F200,"&gt;0")</f>
        <v>9</v>
      </c>
    </row>
    <row r="8" spans="1:26" x14ac:dyDescent="0.25">
      <c r="A8" s="13">
        <f ca="1">OFFSET(A10,A9,0)</f>
        <v>43344</v>
      </c>
      <c r="B8" s="14">
        <f t="shared" ref="B8:M8" ca="1" si="0">OFFSET(B10,B9,0)</f>
        <v>43318</v>
      </c>
      <c r="C8" s="14">
        <f t="shared" ca="1" si="0"/>
        <v>43348</v>
      </c>
      <c r="D8" s="15">
        <f t="shared" ca="1" si="0"/>
        <v>2000</v>
      </c>
      <c r="E8" s="16">
        <f t="shared" ca="1" si="0"/>
        <v>0.2094</v>
      </c>
      <c r="F8" s="15">
        <f t="shared" ca="1" si="0"/>
        <v>1801.88</v>
      </c>
      <c r="G8" s="15">
        <f t="shared" ca="1" si="0"/>
        <v>982</v>
      </c>
      <c r="H8" s="15">
        <f t="shared" ca="1" si="0"/>
        <v>819.88000000000011</v>
      </c>
      <c r="I8" s="15">
        <f t="shared" ca="1" si="0"/>
        <v>3452.0880000000002</v>
      </c>
      <c r="J8" s="14">
        <f t="shared" ca="1" si="0"/>
        <v>43378</v>
      </c>
      <c r="K8" s="31">
        <f t="shared" ca="1" si="0"/>
        <v>1082</v>
      </c>
      <c r="L8" s="30">
        <f t="shared" ca="1" si="0"/>
        <v>925.66031250000037</v>
      </c>
      <c r="M8" s="30">
        <f t="shared" ca="1" si="0"/>
        <v>408</v>
      </c>
      <c r="N8" s="36">
        <f ca="1">OFFSET(N10,N9,0)</f>
        <v>43238</v>
      </c>
    </row>
    <row r="9" spans="1:26" x14ac:dyDescent="0.25">
      <c r="A9" s="1">
        <f>COUNTA(A11:A200)</f>
        <v>9</v>
      </c>
      <c r="B9" s="1">
        <f t="shared" ref="B9:M9" si="1">COUNTA(B11:B200)</f>
        <v>9</v>
      </c>
      <c r="C9" s="1">
        <f t="shared" si="1"/>
        <v>9</v>
      </c>
      <c r="D9" s="1">
        <f t="shared" si="1"/>
        <v>9</v>
      </c>
      <c r="E9" s="1">
        <f t="shared" si="1"/>
        <v>9</v>
      </c>
      <c r="F9" s="1">
        <f t="shared" si="1"/>
        <v>9</v>
      </c>
      <c r="G9" s="1">
        <f t="shared" si="1"/>
        <v>9</v>
      </c>
      <c r="H9" s="1">
        <f t="shared" si="1"/>
        <v>9</v>
      </c>
      <c r="I9" s="1">
        <f t="shared" si="1"/>
        <v>9</v>
      </c>
      <c r="J9" s="1">
        <f t="shared" si="1"/>
        <v>9</v>
      </c>
      <c r="K9" s="1">
        <f t="shared" si="1"/>
        <v>9</v>
      </c>
      <c r="L9" s="1">
        <f t="shared" si="1"/>
        <v>8</v>
      </c>
      <c r="M9" s="1">
        <f t="shared" si="1"/>
        <v>8</v>
      </c>
      <c r="N9" s="1">
        <f>COUNTA(N11:N200)</f>
        <v>4</v>
      </c>
    </row>
    <row r="10" spans="1:26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26" x14ac:dyDescent="0.25">
      <c r="A11" s="8">
        <v>43101</v>
      </c>
      <c r="B11" s="9">
        <v>43075</v>
      </c>
      <c r="C11" s="9">
        <v>43105</v>
      </c>
      <c r="D11" s="2">
        <v>2000</v>
      </c>
      <c r="E11" s="12">
        <v>0.25</v>
      </c>
      <c r="F11" s="20">
        <f t="shared" ref="F11:F19" si="2">G11+H11</f>
        <v>2200</v>
      </c>
      <c r="G11" s="2">
        <v>1607</v>
      </c>
      <c r="H11" s="2">
        <v>593</v>
      </c>
      <c r="I11" s="2">
        <v>593</v>
      </c>
      <c r="J11" s="9">
        <v>43136</v>
      </c>
      <c r="K11" s="2">
        <v>1707</v>
      </c>
      <c r="L11" s="2">
        <v>1213.3700000000003</v>
      </c>
      <c r="M11" s="2">
        <v>192</v>
      </c>
      <c r="N11" s="9">
        <v>43147</v>
      </c>
      <c r="P11" s="2">
        <f>(C11-B11)*24</f>
        <v>720</v>
      </c>
      <c r="Q11" s="59">
        <f>M11/P11</f>
        <v>0.26666666666666666</v>
      </c>
      <c r="R11" s="2">
        <f>L11*(1+Q11)</f>
        <v>1536.9353333333338</v>
      </c>
      <c r="S11" s="2">
        <f>K11/R11</f>
        <v>1.1106518036109085</v>
      </c>
    </row>
    <row r="12" spans="1:26" ht="14.4" x14ac:dyDescent="0.3">
      <c r="A12" s="8">
        <v>43132</v>
      </c>
      <c r="B12" s="9">
        <v>43105</v>
      </c>
      <c r="C12" s="9">
        <v>43136</v>
      </c>
      <c r="D12" s="2">
        <v>2000</v>
      </c>
      <c r="E12" s="12">
        <v>0.25</v>
      </c>
      <c r="F12" s="20">
        <f t="shared" si="2"/>
        <v>1900</v>
      </c>
      <c r="G12" s="2">
        <f>1900+593</f>
        <v>2493</v>
      </c>
      <c r="H12" s="20">
        <f>I12-H11</f>
        <v>-593</v>
      </c>
      <c r="I12" s="2">
        <v>0</v>
      </c>
      <c r="J12" s="9">
        <v>43166</v>
      </c>
      <c r="K12" s="2">
        <v>2908</v>
      </c>
      <c r="L12" s="32">
        <v>1797.1399999999958</v>
      </c>
      <c r="M12" s="32">
        <v>417</v>
      </c>
      <c r="N12" s="9">
        <v>43178</v>
      </c>
      <c r="P12" s="2">
        <f t="shared" ref="P12:P14" si="3">(C12-B12)*24</f>
        <v>744</v>
      </c>
      <c r="Q12" s="59">
        <f t="shared" ref="Q12:Q13" si="4">M12/P12</f>
        <v>0.56048387096774188</v>
      </c>
      <c r="R12" s="2">
        <f t="shared" ref="R12:R13" si="5">L12*(1+Q12)</f>
        <v>2804.4079838709613</v>
      </c>
      <c r="S12" s="2">
        <f t="shared" ref="S12:S13" si="6">K12/R12</f>
        <v>1.0369389962961271</v>
      </c>
    </row>
    <row r="13" spans="1:26" x14ac:dyDescent="0.25">
      <c r="A13" s="8">
        <v>43160</v>
      </c>
      <c r="B13" s="9">
        <v>43136</v>
      </c>
      <c r="C13" s="9">
        <v>43166</v>
      </c>
      <c r="D13" s="2">
        <v>2000</v>
      </c>
      <c r="E13" s="12">
        <v>0.25</v>
      </c>
      <c r="F13" s="20">
        <f t="shared" si="2"/>
        <v>2380</v>
      </c>
      <c r="G13" s="2">
        <v>2250</v>
      </c>
      <c r="H13" s="20">
        <f t="shared" ref="H13:H19" si="7">I13-I12</f>
        <v>130</v>
      </c>
      <c r="I13" s="2">
        <v>130</v>
      </c>
      <c r="J13" s="9">
        <v>43195</v>
      </c>
      <c r="K13" s="2">
        <v>2350</v>
      </c>
      <c r="L13" s="2">
        <v>1285.2599999999959</v>
      </c>
      <c r="M13" s="2">
        <v>471</v>
      </c>
      <c r="N13" s="9">
        <v>43207</v>
      </c>
      <c r="P13" s="2">
        <f t="shared" si="3"/>
        <v>720</v>
      </c>
      <c r="Q13" s="59">
        <f t="shared" si="4"/>
        <v>0.65416666666666667</v>
      </c>
      <c r="R13" s="2">
        <f t="shared" si="5"/>
        <v>2126.0342499999933</v>
      </c>
      <c r="S13" s="2">
        <f t="shared" si="6"/>
        <v>1.1053443753316803</v>
      </c>
    </row>
    <row r="14" spans="1:26" x14ac:dyDescent="0.25">
      <c r="A14" s="8">
        <v>43191</v>
      </c>
      <c r="B14" s="9">
        <v>43166</v>
      </c>
      <c r="C14" s="9">
        <v>43195</v>
      </c>
      <c r="D14" s="2">
        <v>2000</v>
      </c>
      <c r="E14" s="12">
        <v>0.25</v>
      </c>
      <c r="F14" s="20">
        <f t="shared" si="2"/>
        <v>2680</v>
      </c>
      <c r="G14" s="2">
        <f>2487+130</f>
        <v>2617</v>
      </c>
      <c r="H14" s="20">
        <f t="shared" si="7"/>
        <v>63</v>
      </c>
      <c r="I14" s="2">
        <v>193</v>
      </c>
      <c r="J14" s="9">
        <v>43227</v>
      </c>
      <c r="K14" s="2">
        <v>2717</v>
      </c>
      <c r="L14" s="2">
        <v>2665.1499999999965</v>
      </c>
      <c r="M14" s="2">
        <v>131</v>
      </c>
      <c r="N14" s="9">
        <v>43238</v>
      </c>
      <c r="P14" s="2">
        <f t="shared" si="3"/>
        <v>696</v>
      </c>
      <c r="Q14" s="37">
        <v>2092.9499999999994</v>
      </c>
      <c r="R14" s="37">
        <v>50</v>
      </c>
      <c r="S14" s="62">
        <f>R14/P14</f>
        <v>7.183908045977011E-2</v>
      </c>
      <c r="T14" s="2">
        <f>Q14*(1+S14)</f>
        <v>2243.3056034482752</v>
      </c>
      <c r="U14" s="37">
        <v>1022.7900000000001</v>
      </c>
      <c r="V14" s="37">
        <v>216</v>
      </c>
      <c r="W14" s="62">
        <f>V14/P14</f>
        <v>0.31034482758620691</v>
      </c>
      <c r="X14" s="2">
        <f>U14*(1+W14)</f>
        <v>1340.2075862068966</v>
      </c>
      <c r="Y14" s="2">
        <f>T14+X14</f>
        <v>3583.513189655172</v>
      </c>
      <c r="Z14" s="2">
        <f>K14/Y14</f>
        <v>0.75819450249084941</v>
      </c>
    </row>
    <row r="15" spans="1:26" x14ac:dyDescent="0.25">
      <c r="A15" s="8">
        <v>43221</v>
      </c>
      <c r="B15" s="9">
        <v>43195</v>
      </c>
      <c r="C15" s="9">
        <v>43227</v>
      </c>
      <c r="D15" s="2">
        <v>2000</v>
      </c>
      <c r="E15" s="12">
        <v>0.25</v>
      </c>
      <c r="F15" s="20">
        <f t="shared" si="2"/>
        <v>2200</v>
      </c>
      <c r="G15" s="2">
        <f>2200+193</f>
        <v>2393</v>
      </c>
      <c r="H15" s="20">
        <f t="shared" si="7"/>
        <v>-193</v>
      </c>
      <c r="I15" s="2">
        <v>0</v>
      </c>
      <c r="J15" s="9">
        <v>43257</v>
      </c>
      <c r="K15" s="2">
        <v>2631</v>
      </c>
      <c r="L15" s="66">
        <v>3583.513189655172</v>
      </c>
      <c r="M15" s="2">
        <v>266</v>
      </c>
      <c r="P15" s="2">
        <f t="shared" ref="P15" si="8">(C15-B15)*24</f>
        <v>768</v>
      </c>
      <c r="Q15" s="37">
        <v>2092.9499999999994</v>
      </c>
      <c r="R15" s="37">
        <v>50</v>
      </c>
      <c r="S15" s="62">
        <f>R15/P15</f>
        <v>6.5104166666666671E-2</v>
      </c>
      <c r="T15" s="2">
        <f>Q15*(1+S15)</f>
        <v>2229.2097656249994</v>
      </c>
      <c r="U15" s="37">
        <v>1022.7900000000001</v>
      </c>
      <c r="V15" s="37">
        <v>216</v>
      </c>
      <c r="W15" s="62">
        <f>V15/P15</f>
        <v>0.28125</v>
      </c>
      <c r="X15" s="2">
        <f>U15*(1+W15)</f>
        <v>1310.4496875000002</v>
      </c>
      <c r="Y15" s="2">
        <f>T15+X15</f>
        <v>3539.6594531249993</v>
      </c>
      <c r="Z15" s="2">
        <f>K15/Y15</f>
        <v>0.74329184342217258</v>
      </c>
    </row>
    <row r="16" spans="1:26" x14ac:dyDescent="0.25">
      <c r="A16" s="8">
        <v>43252</v>
      </c>
      <c r="B16" s="9">
        <v>43227</v>
      </c>
      <c r="C16" s="9">
        <v>43257</v>
      </c>
      <c r="D16" s="2">
        <v>2000</v>
      </c>
      <c r="E16" s="12">
        <v>0.25</v>
      </c>
      <c r="F16" s="20">
        <f t="shared" si="2"/>
        <v>2290</v>
      </c>
      <c r="G16" s="2">
        <v>1367</v>
      </c>
      <c r="H16" s="20">
        <f t="shared" si="7"/>
        <v>923</v>
      </c>
      <c r="I16" s="2">
        <v>923</v>
      </c>
      <c r="J16" s="9">
        <v>43286</v>
      </c>
      <c r="K16" s="2">
        <v>1467</v>
      </c>
      <c r="L16" s="2">
        <f>Y16</f>
        <v>936.52899999999795</v>
      </c>
      <c r="M16" s="2">
        <f>R16+V16</f>
        <v>138</v>
      </c>
      <c r="P16" s="2">
        <f t="shared" ref="P16:P17" si="9">(C16-B16)*24</f>
        <v>720</v>
      </c>
      <c r="Q16" s="37">
        <v>268.28999999999991</v>
      </c>
      <c r="R16" s="37">
        <v>0</v>
      </c>
      <c r="S16" s="62">
        <f>R16/P16</f>
        <v>0</v>
      </c>
      <c r="T16" s="2">
        <f>Q16*(1+S16)</f>
        <v>268.28999999999991</v>
      </c>
      <c r="U16" s="37">
        <v>560.7599999999984</v>
      </c>
      <c r="V16" s="37">
        <v>138</v>
      </c>
      <c r="W16" s="62">
        <f>V16/P16</f>
        <v>0.19166666666666668</v>
      </c>
      <c r="X16" s="2">
        <f>U16*(1+W16)</f>
        <v>668.2389999999981</v>
      </c>
      <c r="Y16" s="2">
        <f>T16+X16</f>
        <v>936.52899999999795</v>
      </c>
      <c r="Z16" s="2">
        <f>K16/Y16</f>
        <v>1.566422395889506</v>
      </c>
    </row>
    <row r="17" spans="1:26" x14ac:dyDescent="0.25">
      <c r="A17" s="8">
        <v>43282</v>
      </c>
      <c r="B17" s="9">
        <v>43257</v>
      </c>
      <c r="C17" s="9">
        <v>43286</v>
      </c>
      <c r="D17" s="2">
        <v>2000</v>
      </c>
      <c r="E17" s="12">
        <v>0.2094</v>
      </c>
      <c r="F17" s="20">
        <f t="shared" si="2"/>
        <v>1767.336</v>
      </c>
      <c r="G17" s="2">
        <f>923+100</f>
        <v>1023</v>
      </c>
      <c r="H17" s="20">
        <f t="shared" si="7"/>
        <v>744.33600000000001</v>
      </c>
      <c r="I17" s="73">
        <v>1667.336</v>
      </c>
      <c r="J17" s="9">
        <v>43318</v>
      </c>
      <c r="K17" s="2">
        <v>1123</v>
      </c>
      <c r="L17" s="2">
        <f>Y17</f>
        <v>667.51146551724105</v>
      </c>
      <c r="M17" s="2">
        <v>38</v>
      </c>
      <c r="P17" s="2">
        <f t="shared" si="9"/>
        <v>696</v>
      </c>
      <c r="Q17" s="2">
        <v>491.1299999999996</v>
      </c>
      <c r="R17" s="2">
        <v>0</v>
      </c>
      <c r="S17" s="62">
        <f>R17/P17</f>
        <v>0</v>
      </c>
      <c r="T17" s="2">
        <f>Q17*(1+S17)</f>
        <v>491.1299999999996</v>
      </c>
      <c r="U17" s="2">
        <v>167.25000000000011</v>
      </c>
      <c r="V17" s="2">
        <v>38</v>
      </c>
      <c r="W17" s="62">
        <f>V17/P17</f>
        <v>5.459770114942529E-2</v>
      </c>
      <c r="X17" s="2">
        <f>U17*(1+W17)</f>
        <v>176.38146551724148</v>
      </c>
      <c r="Y17" s="2">
        <f>T17+X17</f>
        <v>667.51146551724105</v>
      </c>
      <c r="Z17" s="2">
        <f>K17/Y17</f>
        <v>1.6823681060366658</v>
      </c>
    </row>
    <row r="18" spans="1:26" x14ac:dyDescent="0.25">
      <c r="A18" s="8">
        <v>43313</v>
      </c>
      <c r="B18" s="9">
        <v>43286</v>
      </c>
      <c r="C18" s="9">
        <v>43318</v>
      </c>
      <c r="D18" s="2">
        <v>2000</v>
      </c>
      <c r="E18" s="12">
        <v>0.2094</v>
      </c>
      <c r="F18" s="20">
        <f t="shared" si="2"/>
        <v>2068.8720000000003</v>
      </c>
      <c r="G18" s="2">
        <v>1104</v>
      </c>
      <c r="H18" s="20">
        <f t="shared" si="7"/>
        <v>964.87200000000007</v>
      </c>
      <c r="I18" s="2">
        <v>2632.2080000000001</v>
      </c>
      <c r="J18" s="9">
        <v>43348</v>
      </c>
      <c r="K18" s="2">
        <v>1204</v>
      </c>
      <c r="L18" s="2">
        <f>Y18</f>
        <v>925.66031250000037</v>
      </c>
      <c r="M18" s="2">
        <f>V18</f>
        <v>408</v>
      </c>
      <c r="O18" s="2">
        <f>IF(C18&gt;VLOOKUP(A18,'4001950116'!$A$11:$N$200,3,FALSE),VLOOKUP(A18,'4001950116'!$A$11:$N$200,11,FALSE),VLOOKUP(A17,'4001950116'!$A$11:$N$200,11,FALSE))*E18</f>
        <v>2068.8719999999998</v>
      </c>
      <c r="P18" s="2">
        <f t="shared" ref="P18:P19" si="10">(C18-B18)*24</f>
        <v>768</v>
      </c>
      <c r="Q18" s="2">
        <v>789.67000000000041</v>
      </c>
      <c r="R18" s="2">
        <v>0</v>
      </c>
      <c r="S18" s="62">
        <f>R18/P18</f>
        <v>0</v>
      </c>
      <c r="T18" s="2">
        <f>Q18*(1+S18)</f>
        <v>789.67000000000041</v>
      </c>
      <c r="U18" s="2">
        <v>88.80999999999996</v>
      </c>
      <c r="V18" s="2">
        <v>408</v>
      </c>
      <c r="W18" s="62">
        <f>V18/P18</f>
        <v>0.53125</v>
      </c>
      <c r="X18" s="2">
        <f>U18*(1+W18)</f>
        <v>135.99031249999993</v>
      </c>
      <c r="Y18" s="2">
        <f>T18+X18</f>
        <v>925.66031250000037</v>
      </c>
      <c r="Z18" s="2">
        <f>K18/Y18</f>
        <v>1.3006931200801584</v>
      </c>
    </row>
    <row r="19" spans="1:26" x14ac:dyDescent="0.25">
      <c r="A19" s="8">
        <v>43344</v>
      </c>
      <c r="B19" s="9">
        <v>43318</v>
      </c>
      <c r="C19" s="9">
        <v>43348</v>
      </c>
      <c r="D19" s="2">
        <v>2000</v>
      </c>
      <c r="E19" s="12">
        <v>0.2094</v>
      </c>
      <c r="F19" s="20">
        <f t="shared" si="2"/>
        <v>1801.88</v>
      </c>
      <c r="G19" s="2">
        <f>418.664+563.336</f>
        <v>982</v>
      </c>
      <c r="H19" s="20">
        <f t="shared" si="7"/>
        <v>819.88000000000011</v>
      </c>
      <c r="I19" s="2">
        <v>3452.0880000000002</v>
      </c>
      <c r="J19" s="9">
        <v>43378</v>
      </c>
      <c r="K19" s="2">
        <v>1082</v>
      </c>
      <c r="P19" s="2">
        <f t="shared" si="10"/>
        <v>720</v>
      </c>
    </row>
    <row r="20" spans="1:26" x14ac:dyDescent="0.25">
      <c r="A20" s="8"/>
      <c r="B20" s="9"/>
      <c r="C20" s="9"/>
      <c r="J20" s="9"/>
    </row>
    <row r="21" spans="1:26" x14ac:dyDescent="0.25">
      <c r="A21" s="8"/>
      <c r="B21" s="9"/>
      <c r="C21" s="9"/>
      <c r="J21" s="9"/>
    </row>
    <row r="22" spans="1:26" x14ac:dyDescent="0.25">
      <c r="A22" s="8"/>
      <c r="B22" s="9"/>
      <c r="C22" s="9"/>
      <c r="J22" s="9"/>
    </row>
    <row r="23" spans="1:26" x14ac:dyDescent="0.25">
      <c r="A23" s="8"/>
      <c r="B23" s="9"/>
      <c r="C23" s="9"/>
      <c r="J23" s="9"/>
    </row>
    <row r="24" spans="1:26" x14ac:dyDescent="0.25">
      <c r="A24" s="8"/>
    </row>
    <row r="25" spans="1:26" x14ac:dyDescent="0.25">
      <c r="A25" s="8"/>
    </row>
    <row r="26" spans="1:26" x14ac:dyDescent="0.25">
      <c r="A26" s="8"/>
    </row>
    <row r="27" spans="1:26" x14ac:dyDescent="0.25">
      <c r="A27" s="8"/>
    </row>
    <row r="28" spans="1:26" x14ac:dyDescent="0.25">
      <c r="A28" s="8"/>
    </row>
    <row r="29" spans="1:26" x14ac:dyDescent="0.25">
      <c r="A29" s="8"/>
    </row>
    <row r="30" spans="1:26" x14ac:dyDescent="0.25">
      <c r="A30" s="8"/>
    </row>
    <row r="31" spans="1:26" x14ac:dyDescent="0.25">
      <c r="A31" s="8"/>
    </row>
    <row r="32" spans="1:26" x14ac:dyDescent="0.25">
      <c r="A32" s="8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0423-44AC-4E09-BF89-3538918EEE8A}">
  <sheetPr codeName="Planilha13"/>
  <dimension ref="A1:S1048576"/>
  <sheetViews>
    <sheetView workbookViewId="0">
      <selection activeCell="Q18" sqref="Q18:S19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2.33203125" style="2" customWidth="1"/>
    <col min="12" max="12" width="12.6640625" style="2" customWidth="1"/>
    <col min="13" max="13" width="12.5546875" style="2" customWidth="1"/>
    <col min="14" max="14" width="14.6640625" style="2" customWidth="1"/>
    <col min="15" max="16" width="8.88671875" style="2"/>
    <col min="17" max="17" width="11.109375" style="2" bestFit="1" customWidth="1"/>
    <col min="18" max="16384" width="8.88671875" style="2"/>
  </cols>
  <sheetData>
    <row r="1" spans="1:19" x14ac:dyDescent="0.25">
      <c r="A1" s="2" t="s">
        <v>4</v>
      </c>
      <c r="B1" s="4" t="s">
        <v>45</v>
      </c>
      <c r="E1" s="2">
        <v>8800</v>
      </c>
      <c r="F1" s="2">
        <f>E1*E12</f>
        <v>495.44</v>
      </c>
      <c r="G1" s="2" t="s">
        <v>56</v>
      </c>
      <c r="H1" s="2">
        <v>9160</v>
      </c>
      <c r="I1" s="2">
        <f>H1*E17</f>
        <v>515.70799999999997</v>
      </c>
    </row>
    <row r="2" spans="1:19" x14ac:dyDescent="0.25">
      <c r="A2" s="2" t="s">
        <v>5</v>
      </c>
      <c r="B2" s="5" t="s">
        <v>46</v>
      </c>
      <c r="E2" s="2">
        <v>7600</v>
      </c>
      <c r="F2" s="2">
        <f>E2*E13</f>
        <v>427.88</v>
      </c>
      <c r="H2" s="2">
        <v>8440</v>
      </c>
      <c r="I2" s="2">
        <f>H2*E18</f>
        <v>397.524</v>
      </c>
    </row>
    <row r="3" spans="1:19" x14ac:dyDescent="0.25">
      <c r="A3" s="2" t="s">
        <v>6</v>
      </c>
      <c r="B3" s="10">
        <v>2021874891</v>
      </c>
      <c r="E3" s="2">
        <v>9520</v>
      </c>
      <c r="F3" s="2">
        <f>E14*E3</f>
        <v>535.976</v>
      </c>
      <c r="H3" s="2">
        <v>9880</v>
      </c>
      <c r="I3" s="2">
        <f>H3*E19</f>
        <v>465.34800000000001</v>
      </c>
    </row>
    <row r="4" spans="1:19" x14ac:dyDescent="0.25">
      <c r="A4" s="2" t="s">
        <v>7</v>
      </c>
      <c r="B4" s="3">
        <v>43120</v>
      </c>
      <c r="E4" s="2">
        <v>10720</v>
      </c>
      <c r="F4" s="2">
        <f>E4*E15</f>
        <v>603.53600000000006</v>
      </c>
    </row>
    <row r="5" spans="1:19" x14ac:dyDescent="0.25">
      <c r="A5" s="1" t="s">
        <v>18</v>
      </c>
      <c r="B5" s="20">
        <f>SUM(F11:F200)</f>
        <v>3936.8519999999999</v>
      </c>
      <c r="E5" s="2">
        <f>8800</f>
        <v>8800</v>
      </c>
      <c r="F5" s="2">
        <f>E16*E5</f>
        <v>495.44</v>
      </c>
    </row>
    <row r="6" spans="1:19" x14ac:dyDescent="0.25">
      <c r="A6" s="1" t="s">
        <v>103</v>
      </c>
      <c r="B6" s="2">
        <f>B5-B7</f>
        <v>786.85199999999986</v>
      </c>
    </row>
    <row r="7" spans="1:19" x14ac:dyDescent="0.25">
      <c r="A7" s="1" t="s">
        <v>108</v>
      </c>
      <c r="B7" s="2">
        <f>SUM(D13:D200)</f>
        <v>3150</v>
      </c>
      <c r="F7" s="2">
        <f>COUNTIF(F11:F200,"&gt;0")</f>
        <v>8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43297</v>
      </c>
      <c r="C8" s="14">
        <f t="shared" ca="1" si="0"/>
        <v>43326</v>
      </c>
      <c r="D8" s="15">
        <f t="shared" ca="1" si="0"/>
        <v>450</v>
      </c>
      <c r="E8" s="16">
        <f t="shared" ca="1" si="0"/>
        <v>4.7100000000000003E-2</v>
      </c>
      <c r="F8" s="15">
        <f t="shared" ca="1" si="0"/>
        <v>465.34800000000001</v>
      </c>
      <c r="G8" s="15">
        <f t="shared" ca="1" si="0"/>
        <v>415</v>
      </c>
      <c r="H8" s="15">
        <f t="shared" ca="1" si="0"/>
        <v>50.348000000000013</v>
      </c>
      <c r="I8" s="15">
        <f t="shared" ca="1" si="0"/>
        <v>195.55600000000001</v>
      </c>
      <c r="J8" s="14">
        <f t="shared" ca="1" si="0"/>
        <v>43357</v>
      </c>
      <c r="K8" s="31">
        <f t="shared" ca="1" si="0"/>
        <v>515</v>
      </c>
      <c r="L8" s="30">
        <f t="shared" ca="1" si="0"/>
        <v>478.84000000000015</v>
      </c>
      <c r="M8" s="30">
        <f t="shared" ca="1" si="0"/>
        <v>330</v>
      </c>
      <c r="N8" s="36">
        <f ca="1">OFFSET(N10,N9,0)</f>
        <v>43241</v>
      </c>
    </row>
    <row r="9" spans="1:19" x14ac:dyDescent="0.25">
      <c r="A9" s="1">
        <f>COUNTA(A11:A200)</f>
        <v>9</v>
      </c>
      <c r="B9" s="1">
        <f t="shared" ref="B9:M9" si="1">COUNTA(B11:B200)</f>
        <v>9</v>
      </c>
      <c r="C9" s="1">
        <f t="shared" si="1"/>
        <v>9</v>
      </c>
      <c r="D9" s="1">
        <f t="shared" si="1"/>
        <v>9</v>
      </c>
      <c r="E9" s="1">
        <f t="shared" si="1"/>
        <v>9</v>
      </c>
      <c r="F9" s="1">
        <f t="shared" si="1"/>
        <v>9</v>
      </c>
      <c r="G9" s="1">
        <f t="shared" si="1"/>
        <v>9</v>
      </c>
      <c r="H9" s="1">
        <f t="shared" si="1"/>
        <v>9</v>
      </c>
      <c r="I9" s="1">
        <f t="shared" si="1"/>
        <v>9</v>
      </c>
      <c r="J9" s="1">
        <f t="shared" si="1"/>
        <v>9</v>
      </c>
      <c r="K9" s="1">
        <f t="shared" si="1"/>
        <v>9</v>
      </c>
      <c r="L9" s="1">
        <f t="shared" si="1"/>
        <v>9</v>
      </c>
      <c r="M9" s="1">
        <f t="shared" si="1"/>
        <v>9</v>
      </c>
      <c r="N9" s="1">
        <f>COUNTA(N11:N200)</f>
        <v>4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43070</v>
      </c>
      <c r="B11" s="9">
        <v>43053</v>
      </c>
      <c r="C11" s="9">
        <v>43084</v>
      </c>
      <c r="D11" s="2">
        <v>0</v>
      </c>
      <c r="E11" s="12">
        <v>5.6300000000000003E-2</v>
      </c>
      <c r="F11" s="20">
        <f t="shared" ref="F11:F19" si="2">G11+H11</f>
        <v>0</v>
      </c>
      <c r="G11" s="2">
        <v>0</v>
      </c>
      <c r="H11" s="2">
        <v>0</v>
      </c>
      <c r="I11" s="2">
        <v>0</v>
      </c>
      <c r="J11" s="9">
        <v>43115</v>
      </c>
      <c r="K11" s="2">
        <v>0</v>
      </c>
      <c r="L11" s="2">
        <v>0</v>
      </c>
      <c r="M11" s="2">
        <v>0</v>
      </c>
      <c r="N11" s="9">
        <v>43150</v>
      </c>
      <c r="P11" s="2">
        <f>(C11-B11)*24</f>
        <v>744</v>
      </c>
      <c r="Q11" s="59">
        <f>M11/P11</f>
        <v>0</v>
      </c>
      <c r="R11" s="2">
        <f>L11*(1+Q11)</f>
        <v>0</v>
      </c>
      <c r="S11" s="62" t="e">
        <f>K11/R11</f>
        <v>#DIV/0!</v>
      </c>
    </row>
    <row r="12" spans="1:19" ht="14.4" x14ac:dyDescent="0.3">
      <c r="A12" s="8">
        <v>43101</v>
      </c>
      <c r="B12" s="9">
        <v>43084</v>
      </c>
      <c r="C12" s="9">
        <v>43115</v>
      </c>
      <c r="D12" s="2">
        <v>450</v>
      </c>
      <c r="E12" s="12">
        <v>5.6300000000000003E-2</v>
      </c>
      <c r="F12" s="20">
        <f t="shared" si="2"/>
        <v>495.44</v>
      </c>
      <c r="G12" s="2">
        <v>276</v>
      </c>
      <c r="H12" s="20">
        <f t="shared" ref="H12:H19" si="3">I12-I11</f>
        <v>219.44</v>
      </c>
      <c r="I12" s="2">
        <v>219.44</v>
      </c>
      <c r="J12" s="9">
        <v>43145</v>
      </c>
      <c r="K12" s="2">
        <v>376</v>
      </c>
      <c r="L12" s="35">
        <v>389.28999999999957</v>
      </c>
      <c r="M12" s="35">
        <v>12</v>
      </c>
      <c r="N12" s="9">
        <v>43181</v>
      </c>
      <c r="P12" s="2">
        <f t="shared" ref="P12:P14" si="4">(C12-B12)*24</f>
        <v>744</v>
      </c>
      <c r="Q12" s="59">
        <f t="shared" ref="Q12:Q14" si="5">M12/P12</f>
        <v>1.6129032258064516E-2</v>
      </c>
      <c r="R12" s="2">
        <f t="shared" ref="R12:R14" si="6">L12*(1+Q12)</f>
        <v>395.56887096774147</v>
      </c>
      <c r="S12" s="62">
        <f t="shared" ref="S12:S14" si="7">K12/R12</f>
        <v>0.95052980048741675</v>
      </c>
    </row>
    <row r="13" spans="1:19" x14ac:dyDescent="0.25">
      <c r="A13" s="8">
        <v>43132</v>
      </c>
      <c r="B13" s="9">
        <v>43115</v>
      </c>
      <c r="C13" s="9">
        <v>43145</v>
      </c>
      <c r="D13" s="2">
        <v>450</v>
      </c>
      <c r="E13" s="12">
        <v>5.6300000000000003E-2</v>
      </c>
      <c r="F13" s="20">
        <f t="shared" si="2"/>
        <v>427.87999999999994</v>
      </c>
      <c r="G13" s="2">
        <f>427.88+219.44</f>
        <v>647.31999999999994</v>
      </c>
      <c r="H13" s="20">
        <f t="shared" si="3"/>
        <v>-219.44</v>
      </c>
      <c r="I13" s="2">
        <v>0</v>
      </c>
      <c r="J13" s="9">
        <v>43174</v>
      </c>
      <c r="K13" s="2">
        <v>776</v>
      </c>
      <c r="L13" s="2">
        <v>861.43000000000006</v>
      </c>
      <c r="M13" s="2">
        <v>77</v>
      </c>
      <c r="N13" s="9">
        <v>43210</v>
      </c>
      <c r="P13" s="2">
        <f t="shared" si="4"/>
        <v>720</v>
      </c>
      <c r="Q13" s="59">
        <f t="shared" si="5"/>
        <v>0.10694444444444444</v>
      </c>
      <c r="R13" s="2">
        <f t="shared" si="6"/>
        <v>953.55515277777795</v>
      </c>
      <c r="S13" s="62">
        <f t="shared" si="7"/>
        <v>0.81379666161884145</v>
      </c>
    </row>
    <row r="14" spans="1:19" x14ac:dyDescent="0.25">
      <c r="A14" s="8">
        <v>43160</v>
      </c>
      <c r="B14" s="9">
        <v>43145</v>
      </c>
      <c r="C14" s="9">
        <v>43174</v>
      </c>
      <c r="D14" s="2">
        <v>450</v>
      </c>
      <c r="E14" s="12">
        <v>5.6300000000000003E-2</v>
      </c>
      <c r="F14" s="20">
        <f t="shared" si="2"/>
        <v>535.976</v>
      </c>
      <c r="G14" s="2">
        <v>535.976</v>
      </c>
      <c r="H14" s="20">
        <f t="shared" si="3"/>
        <v>0</v>
      </c>
      <c r="I14" s="2">
        <v>0</v>
      </c>
      <c r="J14" s="9">
        <v>43203</v>
      </c>
      <c r="K14" s="2">
        <v>637</v>
      </c>
      <c r="L14" s="2">
        <v>1087.3300000000004</v>
      </c>
      <c r="M14" s="2">
        <v>13</v>
      </c>
      <c r="N14" s="9">
        <v>43241</v>
      </c>
      <c r="P14" s="2">
        <f t="shared" si="4"/>
        <v>696</v>
      </c>
      <c r="Q14" s="59">
        <f t="shared" si="5"/>
        <v>1.8678160919540231E-2</v>
      </c>
      <c r="R14" s="2">
        <f t="shared" si="6"/>
        <v>1107.6393247126441</v>
      </c>
      <c r="S14" s="62">
        <f t="shared" si="7"/>
        <v>0.57509695239942615</v>
      </c>
    </row>
    <row r="15" spans="1:19" x14ac:dyDescent="0.25">
      <c r="A15" s="8">
        <v>43191</v>
      </c>
      <c r="B15" s="9">
        <v>43174</v>
      </c>
      <c r="C15" s="9">
        <v>43203</v>
      </c>
      <c r="D15" s="2">
        <v>450</v>
      </c>
      <c r="E15" s="12">
        <v>5.6300000000000003E-2</v>
      </c>
      <c r="F15" s="20">
        <f t="shared" si="2"/>
        <v>603.53600000000006</v>
      </c>
      <c r="G15" s="2">
        <v>528</v>
      </c>
      <c r="H15" s="20">
        <f t="shared" si="3"/>
        <v>75.536000000000001</v>
      </c>
      <c r="I15" s="2">
        <v>75.536000000000001</v>
      </c>
      <c r="J15" s="9">
        <v>43235</v>
      </c>
      <c r="K15" s="2">
        <v>628</v>
      </c>
      <c r="L15" s="2">
        <v>936.68000000000018</v>
      </c>
      <c r="M15" s="2">
        <v>96</v>
      </c>
      <c r="P15" s="2">
        <f t="shared" ref="P15:P19" si="8">(C15-B15)*24</f>
        <v>696</v>
      </c>
      <c r="Q15" s="59">
        <f t="shared" ref="Q15" si="9">M15/P15</f>
        <v>0.13793103448275862</v>
      </c>
      <c r="R15" s="2">
        <f t="shared" ref="R15" si="10">L15*(1+Q15)</f>
        <v>1065.8772413793106</v>
      </c>
      <c r="S15" s="62">
        <f t="shared" ref="S15" si="11">K15/R15</f>
        <v>0.58918604846776679</v>
      </c>
    </row>
    <row r="16" spans="1:19" x14ac:dyDescent="0.25">
      <c r="A16" s="8">
        <v>43221</v>
      </c>
      <c r="B16" s="9">
        <v>43203</v>
      </c>
      <c r="C16" s="9">
        <v>43235</v>
      </c>
      <c r="D16" s="2">
        <v>450</v>
      </c>
      <c r="E16" s="12">
        <v>5.6300000000000003E-2</v>
      </c>
      <c r="F16" s="20">
        <f t="shared" si="2"/>
        <v>495.44</v>
      </c>
      <c r="G16" s="2">
        <f>475.464+75.536</f>
        <v>551</v>
      </c>
      <c r="H16" s="20">
        <f t="shared" si="3"/>
        <v>-55.56</v>
      </c>
      <c r="I16" s="2">
        <v>19.975999999999999</v>
      </c>
      <c r="J16" s="9">
        <v>43265</v>
      </c>
      <c r="K16" s="2">
        <v>651</v>
      </c>
      <c r="L16" s="2">
        <v>514.39999999999941</v>
      </c>
      <c r="M16" s="2">
        <v>433</v>
      </c>
      <c r="P16" s="2">
        <f t="shared" si="8"/>
        <v>768</v>
      </c>
      <c r="Q16" s="59">
        <f t="shared" ref="Q16" si="12">M16/P16</f>
        <v>0.56380208333333337</v>
      </c>
      <c r="R16" s="2">
        <f t="shared" ref="R16" si="13">L16*(1+Q16)</f>
        <v>804.41979166666579</v>
      </c>
      <c r="S16" s="62">
        <f t="shared" ref="S16" si="14">K16/R16</f>
        <v>0.80927894458091643</v>
      </c>
    </row>
    <row r="17" spans="1:19" x14ac:dyDescent="0.25">
      <c r="A17" s="8">
        <v>43252</v>
      </c>
      <c r="B17" s="9">
        <v>43235</v>
      </c>
      <c r="C17" s="9">
        <v>43265</v>
      </c>
      <c r="D17" s="2">
        <v>450</v>
      </c>
      <c r="E17" s="12">
        <v>5.6300000000000003E-2</v>
      </c>
      <c r="F17" s="20">
        <f t="shared" si="2"/>
        <v>515.70799999999997</v>
      </c>
      <c r="G17" s="2">
        <f>336.024+19.976</f>
        <v>356</v>
      </c>
      <c r="H17" s="20">
        <f t="shared" si="3"/>
        <v>159.708</v>
      </c>
      <c r="I17" s="2">
        <v>179.684</v>
      </c>
      <c r="J17" s="9">
        <v>43297</v>
      </c>
      <c r="K17" s="2">
        <v>456</v>
      </c>
      <c r="L17" s="2">
        <v>519.94000000000005</v>
      </c>
      <c r="M17" s="2">
        <v>265</v>
      </c>
      <c r="P17" s="2">
        <f t="shared" si="8"/>
        <v>720</v>
      </c>
      <c r="Q17" s="59">
        <f t="shared" ref="Q17" si="15">M17/P17</f>
        <v>0.36805555555555558</v>
      </c>
      <c r="R17" s="2">
        <f t="shared" ref="R17" si="16">L17*(1+Q17)</f>
        <v>711.30680555555568</v>
      </c>
      <c r="S17" s="62">
        <f t="shared" ref="S17" si="17">K17/R17</f>
        <v>0.64107357955593847</v>
      </c>
    </row>
    <row r="18" spans="1:19" x14ac:dyDescent="0.25">
      <c r="A18" s="8">
        <v>43282</v>
      </c>
      <c r="B18" s="9">
        <v>43265</v>
      </c>
      <c r="C18" s="9">
        <v>43297</v>
      </c>
      <c r="D18" s="2">
        <v>450</v>
      </c>
      <c r="E18" s="12">
        <v>4.7100000000000003E-2</v>
      </c>
      <c r="F18" s="20">
        <f t="shared" si="2"/>
        <v>397.524</v>
      </c>
      <c r="G18" s="2">
        <f>179.684+252.316</f>
        <v>432</v>
      </c>
      <c r="H18" s="20">
        <f t="shared" si="3"/>
        <v>-34.475999999999999</v>
      </c>
      <c r="I18" s="2">
        <v>145.208</v>
      </c>
      <c r="J18" s="9">
        <v>43326</v>
      </c>
      <c r="K18" s="2">
        <v>532</v>
      </c>
      <c r="L18" s="2">
        <v>645.79999999999984</v>
      </c>
      <c r="M18" s="2">
        <v>224</v>
      </c>
      <c r="O18" s="2">
        <f>IF(C18&gt;VLOOKUP(A18,'4001950116'!$A$11:$N$200,3,FALSE),VLOOKUP(A18,'4001950116'!$A$11:$N$200,11,FALSE),VLOOKUP(A17,'4001950116'!$A$11:$N$200,11,FALSE))*E18</f>
        <v>397.524</v>
      </c>
      <c r="P18" s="2">
        <f t="shared" si="8"/>
        <v>768</v>
      </c>
      <c r="Q18" s="59">
        <f t="shared" ref="Q18" si="18">M18/P18</f>
        <v>0.29166666666666669</v>
      </c>
      <c r="R18" s="2">
        <f t="shared" ref="R18" si="19">L18*(1+Q18)</f>
        <v>834.15833333333319</v>
      </c>
      <c r="S18" s="62">
        <f t="shared" ref="S18" si="20">K18/R18</f>
        <v>0.63776860907701383</v>
      </c>
    </row>
    <row r="19" spans="1:19" x14ac:dyDescent="0.25">
      <c r="A19" s="8">
        <v>43313</v>
      </c>
      <c r="B19" s="9">
        <v>43297</v>
      </c>
      <c r="C19" s="9">
        <v>43326</v>
      </c>
      <c r="D19" s="2">
        <v>450</v>
      </c>
      <c r="E19" s="12">
        <v>4.7100000000000003E-2</v>
      </c>
      <c r="F19" s="20">
        <f t="shared" si="2"/>
        <v>465.34800000000001</v>
      </c>
      <c r="G19" s="2">
        <f>269.792+145.208</f>
        <v>415</v>
      </c>
      <c r="H19" s="20">
        <f t="shared" si="3"/>
        <v>50.348000000000013</v>
      </c>
      <c r="I19" s="2">
        <v>195.55600000000001</v>
      </c>
      <c r="J19" s="9">
        <v>43357</v>
      </c>
      <c r="K19" s="2">
        <v>515</v>
      </c>
      <c r="L19" s="2">
        <v>478.84000000000015</v>
      </c>
      <c r="M19" s="2">
        <v>330</v>
      </c>
      <c r="O19" s="2">
        <f>IF(C19&gt;VLOOKUP(A19,'4001950116'!$A$11:$N$200,3,FALSE),VLOOKUP(A19,'4001950116'!$A$11:$N$200,11,FALSE),VLOOKUP(A18,'4001950116'!$A$11:$N$200,11,FALSE))*E19</f>
        <v>465.34800000000001</v>
      </c>
      <c r="P19" s="2">
        <f t="shared" si="8"/>
        <v>696</v>
      </c>
      <c r="Q19" s="59">
        <f t="shared" ref="Q19" si="21">M19/P19</f>
        <v>0.47413793103448276</v>
      </c>
      <c r="R19" s="2">
        <f t="shared" ref="R19" si="22">L19*(1+Q19)</f>
        <v>705.87620689655193</v>
      </c>
      <c r="S19" s="62">
        <f t="shared" ref="S19" si="23">K19/R19</f>
        <v>0.72958968579525252</v>
      </c>
    </row>
    <row r="20" spans="1:19" x14ac:dyDescent="0.25">
      <c r="B20" s="9"/>
      <c r="C20" s="9"/>
      <c r="J20" s="9"/>
    </row>
    <row r="21" spans="1:19" x14ac:dyDescent="0.25">
      <c r="B21" s="9"/>
      <c r="C21" s="9"/>
      <c r="J21" s="9"/>
    </row>
    <row r="22" spans="1:19" x14ac:dyDescent="0.25">
      <c r="B22" s="9"/>
      <c r="C22" s="9"/>
      <c r="J22" s="9"/>
    </row>
    <row r="23" spans="1:19" x14ac:dyDescent="0.25">
      <c r="B23" s="9"/>
      <c r="C23" s="9"/>
      <c r="J23" s="9"/>
    </row>
    <row r="24" spans="1:19" x14ac:dyDescent="0.25">
      <c r="B24" s="9"/>
      <c r="C24" s="9"/>
      <c r="J24" s="9"/>
    </row>
    <row r="25" spans="1:19" x14ac:dyDescent="0.25">
      <c r="B25" s="9"/>
      <c r="C25" s="9"/>
      <c r="J25" s="9"/>
    </row>
    <row r="26" spans="1:19" x14ac:dyDescent="0.25">
      <c r="B26" s="9"/>
      <c r="C26" s="9"/>
      <c r="J26" s="9"/>
    </row>
    <row r="27" spans="1:19" x14ac:dyDescent="0.25">
      <c r="B27" s="9"/>
      <c r="C27" s="9"/>
      <c r="J27" s="9"/>
    </row>
    <row r="28" spans="1:19" x14ac:dyDescent="0.25">
      <c r="B28" s="9"/>
      <c r="C28" s="9"/>
      <c r="J28" s="9"/>
    </row>
    <row r="29" spans="1:19" x14ac:dyDescent="0.25">
      <c r="B29" s="9"/>
      <c r="C29" s="9"/>
      <c r="J29" s="9"/>
    </row>
    <row r="30" spans="1:19" x14ac:dyDescent="0.25">
      <c r="B30" s="9"/>
      <c r="C30" s="9"/>
      <c r="J30" s="9"/>
    </row>
    <row r="31" spans="1:19" x14ac:dyDescent="0.25">
      <c r="B31" s="9"/>
      <c r="C31" s="9"/>
      <c r="J31" s="9"/>
    </row>
    <row r="32" spans="1:19" x14ac:dyDescent="0.25">
      <c r="B32" s="9"/>
      <c r="C32" s="9"/>
      <c r="J32" s="9"/>
    </row>
    <row r="33" spans="2:10" x14ac:dyDescent="0.25">
      <c r="B33" s="9"/>
      <c r="C33" s="9"/>
      <c r="J33" s="9"/>
    </row>
    <row r="34" spans="2:10" x14ac:dyDescent="0.25">
      <c r="B34" s="9"/>
      <c r="C34" s="9"/>
      <c r="J34" s="9"/>
    </row>
    <row r="35" spans="2:10" x14ac:dyDescent="0.25">
      <c r="B35" s="9"/>
      <c r="C35" s="9"/>
      <c r="J35" s="9"/>
    </row>
    <row r="1048576" spans="5:5" x14ac:dyDescent="0.25">
      <c r="E1048576" s="1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30EE-A41D-48B6-999F-54A13FFA4D28}">
  <sheetPr codeName="Planilha14"/>
  <dimension ref="A1:Z35"/>
  <sheetViews>
    <sheetView workbookViewId="0">
      <selection activeCell="L20" sqref="L20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2.33203125" style="2" customWidth="1"/>
    <col min="12" max="13" width="8.88671875" style="2"/>
    <col min="14" max="14" width="14.33203125" style="2" customWidth="1"/>
    <col min="15" max="17" width="8.88671875" style="2"/>
    <col min="18" max="18" width="16.5546875" style="2" customWidth="1"/>
    <col min="19" max="19" width="13.44140625" style="2" bestFit="1" customWidth="1"/>
    <col min="20" max="20" width="16.6640625" style="2" customWidth="1"/>
    <col min="21" max="16384" width="8.88671875" style="2"/>
  </cols>
  <sheetData>
    <row r="1" spans="1:26" x14ac:dyDescent="0.25">
      <c r="A1" s="2" t="s">
        <v>4</v>
      </c>
      <c r="B1" s="4" t="s">
        <v>47</v>
      </c>
      <c r="F1" s="2">
        <v>7600</v>
      </c>
      <c r="G1" s="2">
        <f>F1*E13</f>
        <v>1995</v>
      </c>
    </row>
    <row r="2" spans="1:26" x14ac:dyDescent="0.25">
      <c r="A2" s="2" t="s">
        <v>5</v>
      </c>
      <c r="B2" s="5" t="s">
        <v>48</v>
      </c>
      <c r="F2" s="2">
        <v>9520</v>
      </c>
      <c r="G2" s="2">
        <f>F2*E14</f>
        <v>2499</v>
      </c>
    </row>
    <row r="3" spans="1:26" x14ac:dyDescent="0.25">
      <c r="A3" s="2" t="s">
        <v>6</v>
      </c>
      <c r="B3" s="10">
        <v>2021507732</v>
      </c>
      <c r="F3" s="2">
        <v>10720</v>
      </c>
      <c r="G3" s="2">
        <f>F3*E15</f>
        <v>2814</v>
      </c>
    </row>
    <row r="4" spans="1:26" x14ac:dyDescent="0.25">
      <c r="A4" s="2" t="s">
        <v>7</v>
      </c>
      <c r="B4" s="3">
        <v>43134</v>
      </c>
      <c r="F4" s="2">
        <v>9160</v>
      </c>
      <c r="G4" s="2">
        <f>F4*E17</f>
        <v>2404.5</v>
      </c>
      <c r="K4" s="2">
        <f>SUM(K12:K14)</f>
        <v>23960</v>
      </c>
    </row>
    <row r="5" spans="1:26" x14ac:dyDescent="0.25">
      <c r="A5" s="1" t="s">
        <v>18</v>
      </c>
      <c r="B5" s="20">
        <f>SUM(F11:F200)</f>
        <v>18361.067999999999</v>
      </c>
      <c r="D5" s="2">
        <f>B5*0.0927</f>
        <v>1702.0710036</v>
      </c>
      <c r="F5" s="2">
        <v>8440</v>
      </c>
      <c r="G5" s="2">
        <f>F5*E18</f>
        <v>1855.9560000000001</v>
      </c>
      <c r="K5" s="2">
        <f>B5/K4</f>
        <v>0.76632170283806345</v>
      </c>
    </row>
    <row r="6" spans="1:26" x14ac:dyDescent="0.25">
      <c r="A6" s="1" t="s">
        <v>103</v>
      </c>
      <c r="B6" s="2">
        <f>B5-B7</f>
        <v>3661.0679999999993</v>
      </c>
      <c r="F6" s="2">
        <v>9880</v>
      </c>
      <c r="G6" s="2">
        <f>E19*F6</f>
        <v>2172.6120000000001</v>
      </c>
    </row>
    <row r="7" spans="1:26" x14ac:dyDescent="0.25">
      <c r="A7" s="1" t="s">
        <v>108</v>
      </c>
      <c r="B7" s="2">
        <f>SUM(D13:D200)</f>
        <v>14700</v>
      </c>
      <c r="Y7" s="55"/>
      <c r="Z7" s="56"/>
    </row>
    <row r="8" spans="1:26" x14ac:dyDescent="0.25">
      <c r="A8" s="13">
        <f ca="1">OFFSET(A10,A9,0)</f>
        <v>43344</v>
      </c>
      <c r="B8" s="14">
        <f t="shared" ref="B8:M8" ca="1" si="0">OFFSET(B10,B9,0)</f>
        <v>43322</v>
      </c>
      <c r="C8" s="14">
        <f t="shared" ca="1" si="0"/>
        <v>43355</v>
      </c>
      <c r="D8" s="15">
        <f t="shared" ca="1" si="0"/>
        <v>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43384</v>
      </c>
      <c r="K8" s="31">
        <f t="shared" ca="1" si="0"/>
        <v>4240</v>
      </c>
      <c r="L8" s="30">
        <f t="shared" ca="1" si="0"/>
        <v>3393.0600000000018</v>
      </c>
      <c r="M8" s="30">
        <f t="shared" ca="1" si="0"/>
        <v>8</v>
      </c>
      <c r="N8" s="36" t="str">
        <f ca="1">OFFSET(N10,N9,0)</f>
        <v>15/6 emitir boleto venc 26/6</v>
      </c>
      <c r="X8" s="55"/>
      <c r="Y8" s="55"/>
      <c r="Z8" s="55"/>
    </row>
    <row r="9" spans="1:26" x14ac:dyDescent="0.25">
      <c r="A9" s="1">
        <f>COUNTA(A11:A200)</f>
        <v>10</v>
      </c>
      <c r="B9" s="1">
        <f t="shared" ref="B9:M9" si="1">COUNTA(B11:B200)</f>
        <v>10</v>
      </c>
      <c r="C9" s="1">
        <f t="shared" si="1"/>
        <v>10</v>
      </c>
      <c r="D9" s="1">
        <f t="shared" si="1"/>
        <v>10</v>
      </c>
      <c r="E9" s="1">
        <f t="shared" si="1"/>
        <v>10</v>
      </c>
      <c r="F9" s="1">
        <f t="shared" si="1"/>
        <v>10</v>
      </c>
      <c r="G9" s="1">
        <f t="shared" si="1"/>
        <v>10</v>
      </c>
      <c r="H9" s="1">
        <f t="shared" si="1"/>
        <v>10</v>
      </c>
      <c r="I9" s="1">
        <f t="shared" si="1"/>
        <v>10</v>
      </c>
      <c r="J9" s="1">
        <f t="shared" si="1"/>
        <v>10</v>
      </c>
      <c r="K9" s="1">
        <f t="shared" si="1"/>
        <v>10</v>
      </c>
      <c r="L9" s="1">
        <f t="shared" si="1"/>
        <v>8</v>
      </c>
      <c r="M9" s="1">
        <f t="shared" si="1"/>
        <v>8</v>
      </c>
      <c r="N9" s="1">
        <f>COUNTA(N11:N200)</f>
        <v>6</v>
      </c>
    </row>
    <row r="10" spans="1:26" s="7" customFormat="1" ht="55.2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26" x14ac:dyDescent="0.25">
      <c r="A11" s="8">
        <v>43070</v>
      </c>
      <c r="B11" s="9">
        <v>43049</v>
      </c>
      <c r="C11" s="9">
        <v>43082</v>
      </c>
      <c r="D11" s="2">
        <v>0</v>
      </c>
      <c r="E11" s="12">
        <v>0.26250000000000001</v>
      </c>
      <c r="F11" s="20">
        <f t="shared" ref="F11:F20" si="2">G11+H11</f>
        <v>0</v>
      </c>
      <c r="G11" s="2">
        <v>0</v>
      </c>
      <c r="H11" s="2">
        <v>0</v>
      </c>
      <c r="I11" s="2">
        <v>0</v>
      </c>
      <c r="J11" s="9">
        <v>43111</v>
      </c>
      <c r="K11" s="2">
        <v>0</v>
      </c>
      <c r="L11" s="2">
        <v>0</v>
      </c>
      <c r="M11" s="2">
        <v>0</v>
      </c>
      <c r="N11" s="9">
        <v>0</v>
      </c>
      <c r="Q11" s="59"/>
      <c r="S11" s="62"/>
      <c r="X11" s="54"/>
      <c r="Y11" s="54"/>
    </row>
    <row r="12" spans="1:26" x14ac:dyDescent="0.25">
      <c r="A12" s="8">
        <v>43101</v>
      </c>
      <c r="B12" s="9">
        <v>43082</v>
      </c>
      <c r="C12" s="9">
        <v>43111</v>
      </c>
      <c r="D12" s="2">
        <v>2100</v>
      </c>
      <c r="E12" s="12">
        <v>0.26250000000000001</v>
      </c>
      <c r="F12" s="20">
        <f t="shared" si="2"/>
        <v>2310</v>
      </c>
      <c r="G12" s="2">
        <v>2310</v>
      </c>
      <c r="H12" s="20">
        <f t="shared" ref="H12:H20" si="3">I12-I11</f>
        <v>0</v>
      </c>
      <c r="I12" s="2">
        <v>0</v>
      </c>
      <c r="J12" s="9">
        <v>43140</v>
      </c>
      <c r="K12" s="2">
        <v>7240</v>
      </c>
      <c r="N12" s="9">
        <v>43136</v>
      </c>
      <c r="Q12" s="59"/>
      <c r="S12" s="62"/>
      <c r="X12" s="54"/>
      <c r="Y12" s="54"/>
      <c r="Z12" s="55"/>
    </row>
    <row r="13" spans="1:26" x14ac:dyDescent="0.25">
      <c r="A13" s="8">
        <v>43132</v>
      </c>
      <c r="B13" s="9">
        <v>43111</v>
      </c>
      <c r="C13" s="9">
        <v>43140</v>
      </c>
      <c r="D13" s="2">
        <v>2100</v>
      </c>
      <c r="E13" s="12">
        <v>0.26250000000000001</v>
      </c>
      <c r="F13" s="20">
        <f t="shared" si="2"/>
        <v>1995</v>
      </c>
      <c r="G13" s="2">
        <v>1995</v>
      </c>
      <c r="H13" s="20">
        <f t="shared" si="3"/>
        <v>0</v>
      </c>
      <c r="I13" s="2">
        <v>0</v>
      </c>
      <c r="J13" s="9">
        <v>43172</v>
      </c>
      <c r="K13" s="2">
        <v>7640</v>
      </c>
      <c r="L13" s="2">
        <v>2144.4800000000018</v>
      </c>
      <c r="M13" s="2">
        <v>18</v>
      </c>
      <c r="N13" s="2" t="s">
        <v>81</v>
      </c>
      <c r="P13" s="2">
        <f t="shared" ref="P13:P15" si="4">(C13-B13)*24</f>
        <v>696</v>
      </c>
      <c r="Q13" s="59">
        <f t="shared" ref="Q13:Q15" si="5">M13/P13</f>
        <v>2.5862068965517241E-2</v>
      </c>
      <c r="R13" s="2">
        <f t="shared" ref="R13:R15" si="6">L13*(1+Q13)</f>
        <v>2199.9406896551745</v>
      </c>
      <c r="S13" s="62">
        <f t="shared" ref="S13:S15" si="7">K13/R13</f>
        <v>3.4728208973658816</v>
      </c>
      <c r="X13" s="54"/>
      <c r="Y13" s="54"/>
      <c r="Z13" s="55"/>
    </row>
    <row r="14" spans="1:26" x14ac:dyDescent="0.25">
      <c r="A14" s="8">
        <v>43160</v>
      </c>
      <c r="B14" s="9">
        <v>43140</v>
      </c>
      <c r="C14" s="9">
        <v>43172</v>
      </c>
      <c r="D14" s="2">
        <v>2100</v>
      </c>
      <c r="E14" s="12">
        <v>0.26250000000000001</v>
      </c>
      <c r="F14" s="20">
        <f t="shared" si="2"/>
        <v>2499</v>
      </c>
      <c r="G14" s="2">
        <v>2499</v>
      </c>
      <c r="H14" s="20">
        <f t="shared" si="3"/>
        <v>0</v>
      </c>
      <c r="I14" s="2">
        <v>0</v>
      </c>
      <c r="J14" s="9">
        <v>43201</v>
      </c>
      <c r="K14" s="2">
        <v>9080</v>
      </c>
      <c r="L14" s="2">
        <v>6511.6499999999978</v>
      </c>
      <c r="M14" s="2">
        <v>6</v>
      </c>
      <c r="N14" s="2" t="s">
        <v>99</v>
      </c>
      <c r="P14" s="2">
        <f t="shared" si="4"/>
        <v>768</v>
      </c>
      <c r="Q14" s="59">
        <f t="shared" si="5"/>
        <v>7.8125E-3</v>
      </c>
      <c r="R14" s="2">
        <f t="shared" si="6"/>
        <v>6562.522265624998</v>
      </c>
      <c r="S14" s="62">
        <f t="shared" si="7"/>
        <v>1.3836143532132068</v>
      </c>
      <c r="X14" s="54"/>
      <c r="Y14" s="54"/>
      <c r="Z14" s="55"/>
    </row>
    <row r="15" spans="1:26" x14ac:dyDescent="0.25">
      <c r="A15" s="8">
        <v>43191</v>
      </c>
      <c r="B15" s="9">
        <v>43172</v>
      </c>
      <c r="C15" s="9">
        <v>43201</v>
      </c>
      <c r="D15" s="2">
        <v>2100</v>
      </c>
      <c r="E15" s="12">
        <v>0.26250000000000001</v>
      </c>
      <c r="F15" s="20">
        <f t="shared" si="2"/>
        <v>2814</v>
      </c>
      <c r="G15" s="2">
        <v>2814</v>
      </c>
      <c r="H15" s="20">
        <f t="shared" si="3"/>
        <v>0</v>
      </c>
      <c r="I15" s="2">
        <v>0</v>
      </c>
      <c r="J15" s="9">
        <v>43235</v>
      </c>
      <c r="K15" s="2">
        <v>8640</v>
      </c>
      <c r="L15" s="2">
        <v>6367.68</v>
      </c>
      <c r="M15" s="2">
        <v>8</v>
      </c>
      <c r="N15" s="2" t="s">
        <v>109</v>
      </c>
      <c r="P15" s="2">
        <f t="shared" si="4"/>
        <v>696</v>
      </c>
      <c r="Q15" s="59">
        <f t="shared" si="5"/>
        <v>1.1494252873563218E-2</v>
      </c>
      <c r="R15" s="2">
        <f t="shared" si="6"/>
        <v>6440.8717241379318</v>
      </c>
      <c r="S15" s="62">
        <f t="shared" si="7"/>
        <v>1.34143332922166</v>
      </c>
    </row>
    <row r="16" spans="1:26" x14ac:dyDescent="0.25">
      <c r="A16" s="8">
        <v>43221</v>
      </c>
      <c r="B16" s="9">
        <v>43201</v>
      </c>
      <c r="C16" s="9">
        <v>43231</v>
      </c>
      <c r="D16" s="2">
        <v>2100</v>
      </c>
      <c r="E16" s="12">
        <v>0.26250000000000001</v>
      </c>
      <c r="F16" s="20">
        <f t="shared" si="2"/>
        <v>2310</v>
      </c>
      <c r="G16" s="2">
        <v>2310</v>
      </c>
      <c r="H16" s="20">
        <f t="shared" si="3"/>
        <v>0</v>
      </c>
      <c r="I16" s="2">
        <v>0</v>
      </c>
      <c r="J16" s="9">
        <v>43263</v>
      </c>
      <c r="K16" s="2">
        <v>8840</v>
      </c>
      <c r="L16" s="2">
        <v>5782.9100000000017</v>
      </c>
      <c r="M16" s="2">
        <v>6</v>
      </c>
      <c r="N16" s="2" t="s">
        <v>113</v>
      </c>
      <c r="P16" s="2">
        <f t="shared" ref="P16:P18" si="8">(C16-B16)*24</f>
        <v>720</v>
      </c>
      <c r="Q16" s="59">
        <f t="shared" ref="Q16" si="9">M16/P16</f>
        <v>8.3333333333333332E-3</v>
      </c>
      <c r="R16" s="2">
        <f t="shared" ref="R16" si="10">L16*(1+Q16)</f>
        <v>5831.1009166666681</v>
      </c>
      <c r="S16" s="62">
        <f t="shared" ref="S16" si="11">K16/R16</f>
        <v>1.5160087479764217</v>
      </c>
    </row>
    <row r="17" spans="1:19" x14ac:dyDescent="0.25">
      <c r="A17" s="8">
        <v>43252</v>
      </c>
      <c r="B17" s="9">
        <v>43231</v>
      </c>
      <c r="C17" s="9">
        <v>43263</v>
      </c>
      <c r="D17" s="2">
        <v>2100</v>
      </c>
      <c r="E17" s="12">
        <v>0.26250000000000001</v>
      </c>
      <c r="F17" s="20">
        <f t="shared" si="2"/>
        <v>2404.5</v>
      </c>
      <c r="G17" s="2">
        <v>2404.5</v>
      </c>
      <c r="H17" s="20">
        <f t="shared" si="3"/>
        <v>0</v>
      </c>
      <c r="I17" s="2">
        <v>0</v>
      </c>
      <c r="J17" s="9">
        <v>43293</v>
      </c>
      <c r="K17" s="2">
        <v>5400</v>
      </c>
      <c r="L17" s="2">
        <v>3463.7600000000034</v>
      </c>
      <c r="M17" s="2">
        <v>6</v>
      </c>
      <c r="P17" s="2">
        <f t="shared" si="8"/>
        <v>768</v>
      </c>
      <c r="Q17" s="59">
        <f t="shared" ref="Q17" si="12">M17/P17</f>
        <v>7.8125E-3</v>
      </c>
      <c r="R17" s="2">
        <f t="shared" ref="R17" si="13">L17*(1+Q17)</f>
        <v>3490.8206250000035</v>
      </c>
      <c r="S17" s="62">
        <f t="shared" ref="S17" si="14">K17/R17</f>
        <v>1.546914201585478</v>
      </c>
    </row>
    <row r="18" spans="1:19" x14ac:dyDescent="0.25">
      <c r="A18" s="8">
        <v>43282</v>
      </c>
      <c r="B18" s="9">
        <v>43263</v>
      </c>
      <c r="C18" s="9">
        <v>43293</v>
      </c>
      <c r="D18" s="2">
        <v>2100</v>
      </c>
      <c r="E18" s="12">
        <v>0.21990000000000001</v>
      </c>
      <c r="F18" s="20">
        <f t="shared" si="2"/>
        <v>1855.9559999999999</v>
      </c>
      <c r="G18" s="2">
        <v>1855.9559999999999</v>
      </c>
      <c r="H18" s="20">
        <f t="shared" si="3"/>
        <v>0</v>
      </c>
      <c r="I18" s="2">
        <v>0</v>
      </c>
      <c r="J18" s="9">
        <v>43322</v>
      </c>
      <c r="K18" s="2">
        <v>5280</v>
      </c>
      <c r="L18" s="2">
        <v>3393.0600000000018</v>
      </c>
      <c r="M18" s="2">
        <v>8</v>
      </c>
      <c r="P18" s="2">
        <f t="shared" si="8"/>
        <v>720</v>
      </c>
      <c r="Q18" s="59">
        <f t="shared" ref="Q18" si="15">M18/P18</f>
        <v>1.1111111111111112E-2</v>
      </c>
      <c r="R18" s="2">
        <f t="shared" ref="R18" si="16">L18*(1+Q18)</f>
        <v>3430.7606666666684</v>
      </c>
      <c r="S18" s="62">
        <f>K18/R18</f>
        <v>1.5390172947068486</v>
      </c>
    </row>
    <row r="19" spans="1:19" x14ac:dyDescent="0.25">
      <c r="A19" s="8">
        <v>43313</v>
      </c>
      <c r="B19" s="9">
        <v>43293</v>
      </c>
      <c r="C19" s="9">
        <v>43322</v>
      </c>
      <c r="D19" s="2">
        <v>2100</v>
      </c>
      <c r="E19" s="12">
        <v>0.21990000000000001</v>
      </c>
      <c r="F19" s="20">
        <f t="shared" si="2"/>
        <v>2172.6120000000001</v>
      </c>
      <c r="G19" s="2">
        <v>2172.6120000000001</v>
      </c>
      <c r="H19" s="20">
        <f t="shared" si="3"/>
        <v>0</v>
      </c>
      <c r="I19" s="2">
        <v>0</v>
      </c>
      <c r="J19" s="9">
        <v>43355</v>
      </c>
      <c r="K19" s="2">
        <v>4400</v>
      </c>
      <c r="L19" s="2">
        <v>2733.4400000000046</v>
      </c>
      <c r="M19" s="2">
        <v>10</v>
      </c>
      <c r="O19" s="2">
        <f>IF(C19&gt;VLOOKUP(A19,'4001950116'!$A$11:$N$200,3,FALSE),VLOOKUP(A19,'4001950116'!$A$11:$N$200,11,FALSE),VLOOKUP(A18,'4001950116'!$A$11:$N$200,11,FALSE))*E19</f>
        <v>2172.6120000000001</v>
      </c>
      <c r="P19" s="2">
        <f>(C19-B19)*24</f>
        <v>696</v>
      </c>
      <c r="Q19" s="59">
        <f>M19/P19</f>
        <v>1.4367816091954023E-2</v>
      </c>
      <c r="R19" s="2">
        <f>L19*(1+Q19)</f>
        <v>2772.7135632183954</v>
      </c>
      <c r="S19" s="62">
        <f>K19/R19</f>
        <v>1.5868930921565336</v>
      </c>
    </row>
    <row r="20" spans="1:19" x14ac:dyDescent="0.25">
      <c r="A20" s="108">
        <v>43344</v>
      </c>
      <c r="B20" s="9">
        <v>43322</v>
      </c>
      <c r="C20" s="9">
        <v>43355</v>
      </c>
      <c r="D20" s="2">
        <v>0</v>
      </c>
      <c r="E20" s="2">
        <v>0</v>
      </c>
      <c r="F20" s="20">
        <f t="shared" si="2"/>
        <v>0</v>
      </c>
      <c r="G20" s="2">
        <v>0</v>
      </c>
      <c r="H20" s="20">
        <f t="shared" si="3"/>
        <v>0</v>
      </c>
      <c r="I20" s="2">
        <v>0</v>
      </c>
      <c r="J20" s="9">
        <v>43384</v>
      </c>
      <c r="K20" s="2">
        <v>4240</v>
      </c>
      <c r="P20" s="2">
        <f>(C20-B20)*24</f>
        <v>792</v>
      </c>
    </row>
    <row r="21" spans="1:19" x14ac:dyDescent="0.25">
      <c r="B21" s="9"/>
      <c r="C21" s="9"/>
      <c r="J21" s="9"/>
    </row>
    <row r="22" spans="1:19" x14ac:dyDescent="0.25">
      <c r="B22" s="9"/>
      <c r="C22" s="9"/>
      <c r="J22" s="9"/>
    </row>
    <row r="23" spans="1:19" x14ac:dyDescent="0.25">
      <c r="B23" s="9"/>
      <c r="C23" s="9"/>
      <c r="J23" s="9"/>
    </row>
    <row r="24" spans="1:19" x14ac:dyDescent="0.25">
      <c r="B24" s="9"/>
      <c r="C24" s="9"/>
      <c r="J24" s="9"/>
    </row>
    <row r="25" spans="1:19" x14ac:dyDescent="0.25">
      <c r="B25" s="9"/>
      <c r="C25" s="9"/>
      <c r="J25" s="9"/>
    </row>
    <row r="26" spans="1:19" x14ac:dyDescent="0.25">
      <c r="B26" s="9"/>
      <c r="C26" s="9"/>
      <c r="J26" s="9"/>
    </row>
    <row r="27" spans="1:19" x14ac:dyDescent="0.25">
      <c r="B27" s="9"/>
      <c r="C27" s="9"/>
      <c r="J27" s="9"/>
    </row>
    <row r="28" spans="1:19" x14ac:dyDescent="0.25">
      <c r="B28" s="9"/>
      <c r="C28" s="9"/>
      <c r="J28" s="9"/>
    </row>
    <row r="29" spans="1:19" x14ac:dyDescent="0.25">
      <c r="B29" s="9"/>
      <c r="C29" s="9"/>
      <c r="J29" s="9"/>
    </row>
    <row r="30" spans="1:19" x14ac:dyDescent="0.25">
      <c r="B30" s="9"/>
      <c r="C30" s="9"/>
      <c r="J30" s="9"/>
    </row>
    <row r="31" spans="1:19" x14ac:dyDescent="0.25">
      <c r="B31" s="9"/>
      <c r="C31" s="9"/>
      <c r="J31" s="9"/>
    </row>
    <row r="32" spans="1:19" x14ac:dyDescent="0.25">
      <c r="B32" s="9"/>
      <c r="C32" s="9"/>
      <c r="J32" s="9"/>
    </row>
    <row r="33" spans="2:10" x14ac:dyDescent="0.25">
      <c r="B33" s="9"/>
      <c r="C33" s="9"/>
      <c r="J33" s="9"/>
    </row>
    <row r="34" spans="2:10" x14ac:dyDescent="0.25">
      <c r="J34" s="9"/>
    </row>
    <row r="35" spans="2:10" x14ac:dyDescent="0.25">
      <c r="J35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944F-5D02-4CD1-94BB-9F76A31F5FFC}">
  <sheetPr codeName="Planilha15"/>
  <dimension ref="A1:P31"/>
  <sheetViews>
    <sheetView topLeftCell="D1" workbookViewId="0">
      <selection activeCell="P19" sqref="P19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2.33203125" style="2" customWidth="1"/>
    <col min="12" max="12" width="10.33203125" style="2" bestFit="1" customWidth="1"/>
    <col min="13" max="13" width="8.88671875" style="2"/>
    <col min="14" max="14" width="14" style="2" customWidth="1"/>
    <col min="15" max="16384" width="8.88671875" style="2"/>
  </cols>
  <sheetData>
    <row r="1" spans="1:16" x14ac:dyDescent="0.25">
      <c r="A1" s="2" t="s">
        <v>4</v>
      </c>
      <c r="B1" s="4" t="s">
        <v>49</v>
      </c>
      <c r="F1" s="2">
        <v>8800</v>
      </c>
      <c r="G1" s="2">
        <f t="shared" ref="G1:G6" si="0">F1*E11</f>
        <v>1100</v>
      </c>
      <c r="H1" s="2" t="s">
        <v>62</v>
      </c>
      <c r="I1" s="2">
        <v>8440</v>
      </c>
      <c r="J1" s="2">
        <f>I1*E17</f>
        <v>883.66800000000001</v>
      </c>
    </row>
    <row r="2" spans="1:16" x14ac:dyDescent="0.25">
      <c r="A2" s="2" t="s">
        <v>5</v>
      </c>
      <c r="B2" s="5" t="s">
        <v>50</v>
      </c>
      <c r="F2" s="2">
        <v>7600</v>
      </c>
      <c r="G2" s="2">
        <f t="shared" si="0"/>
        <v>950</v>
      </c>
      <c r="I2" s="2">
        <v>9880</v>
      </c>
      <c r="J2" s="2">
        <f>I2*E18</f>
        <v>1034.4359999999999</v>
      </c>
    </row>
    <row r="3" spans="1:16" x14ac:dyDescent="0.25">
      <c r="A3" s="2" t="s">
        <v>6</v>
      </c>
      <c r="B3" s="10">
        <v>2083993169</v>
      </c>
      <c r="F3" s="2">
        <v>9520</v>
      </c>
      <c r="G3" s="2">
        <f t="shared" si="0"/>
        <v>1190</v>
      </c>
    </row>
    <row r="4" spans="1:16" x14ac:dyDescent="0.25">
      <c r="A4" s="2" t="s">
        <v>7</v>
      </c>
      <c r="B4" s="3">
        <v>43100</v>
      </c>
      <c r="F4" s="2">
        <v>10720</v>
      </c>
      <c r="G4" s="2">
        <f t="shared" si="0"/>
        <v>1340</v>
      </c>
    </row>
    <row r="5" spans="1:16" x14ac:dyDescent="0.25">
      <c r="A5" s="1" t="s">
        <v>18</v>
      </c>
      <c r="B5" s="20">
        <f>SUM(F11:F200)</f>
        <v>9644.4719999999998</v>
      </c>
      <c r="F5" s="2">
        <v>8800</v>
      </c>
      <c r="G5" s="2">
        <f t="shared" si="0"/>
        <v>1100</v>
      </c>
    </row>
    <row r="6" spans="1:16" x14ac:dyDescent="0.25">
      <c r="A6" s="1" t="s">
        <v>103</v>
      </c>
      <c r="B6" s="2">
        <f>B5-B7</f>
        <v>1644.4719999999998</v>
      </c>
      <c r="F6" s="2">
        <v>9160</v>
      </c>
      <c r="G6" s="2">
        <f t="shared" si="0"/>
        <v>1145</v>
      </c>
    </row>
    <row r="7" spans="1:16" x14ac:dyDescent="0.25">
      <c r="A7" s="1" t="s">
        <v>108</v>
      </c>
      <c r="B7" s="2">
        <f>SUM(D12:D200)</f>
        <v>8000</v>
      </c>
      <c r="F7" s="2">
        <f>COUNTIF(F11:F200,"&gt;0")</f>
        <v>9</v>
      </c>
    </row>
    <row r="8" spans="1:16" x14ac:dyDescent="0.25">
      <c r="A8" s="13">
        <f ca="1">OFFSET(A10,A9,0)</f>
        <v>43313</v>
      </c>
      <c r="B8" s="14">
        <f t="shared" ref="B8:M8" ca="1" si="1">OFFSET(B10,B9,0)</f>
        <v>43307</v>
      </c>
      <c r="C8" s="14">
        <f t="shared" ca="1" si="1"/>
        <v>43336</v>
      </c>
      <c r="D8" s="15">
        <f t="shared" ca="1" si="1"/>
        <v>1000</v>
      </c>
      <c r="E8" s="16">
        <f t="shared" ca="1" si="1"/>
        <v>0.1053</v>
      </c>
      <c r="F8" s="15">
        <f t="shared" ca="1" si="1"/>
        <v>901.36800000000005</v>
      </c>
      <c r="G8" s="15">
        <f t="shared" ca="1" si="1"/>
        <v>901.36800000000005</v>
      </c>
      <c r="H8" s="15">
        <f t="shared" ca="1" si="1"/>
        <v>0</v>
      </c>
      <c r="I8" s="15">
        <f t="shared" ca="1" si="1"/>
        <v>0</v>
      </c>
      <c r="J8" s="14">
        <f t="shared" ca="1" si="1"/>
        <v>43369</v>
      </c>
      <c r="K8" s="31">
        <f t="shared" ca="1" si="1"/>
        <v>1172</v>
      </c>
      <c r="L8" s="30">
        <f t="shared" ca="1" si="1"/>
        <v>500.59999999999951</v>
      </c>
      <c r="M8" s="30">
        <f t="shared" ca="1" si="1"/>
        <v>0</v>
      </c>
      <c r="N8" s="36" t="str">
        <f ca="1">OFFSET(N10,N9,0)</f>
        <v>21/5 emitir faturamento para 30/5</v>
      </c>
    </row>
    <row r="9" spans="1:16" x14ac:dyDescent="0.25">
      <c r="A9" s="1">
        <f>COUNTA(A11:A200)</f>
        <v>9</v>
      </c>
      <c r="B9" s="1">
        <f t="shared" ref="B9:M9" si="2">COUNTA(B11:B200)</f>
        <v>9</v>
      </c>
      <c r="C9" s="1">
        <f t="shared" si="2"/>
        <v>9</v>
      </c>
      <c r="D9" s="1">
        <f t="shared" si="2"/>
        <v>9</v>
      </c>
      <c r="E9" s="1">
        <f t="shared" si="2"/>
        <v>9</v>
      </c>
      <c r="F9" s="1">
        <f t="shared" si="2"/>
        <v>9</v>
      </c>
      <c r="G9" s="1">
        <f t="shared" si="2"/>
        <v>9</v>
      </c>
      <c r="H9" s="1">
        <f t="shared" si="2"/>
        <v>9</v>
      </c>
      <c r="I9" s="1">
        <f t="shared" si="2"/>
        <v>9</v>
      </c>
      <c r="J9" s="1">
        <f t="shared" si="2"/>
        <v>9</v>
      </c>
      <c r="K9" s="1">
        <f t="shared" si="2"/>
        <v>9</v>
      </c>
      <c r="L9" s="1">
        <f t="shared" si="2"/>
        <v>9</v>
      </c>
      <c r="M9" s="1">
        <f t="shared" si="2"/>
        <v>9</v>
      </c>
      <c r="N9" s="1">
        <f>COUNTA(N11:N200)</f>
        <v>5</v>
      </c>
    </row>
    <row r="10" spans="1:16" s="7" customFormat="1" ht="55.2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6" x14ac:dyDescent="0.25">
      <c r="A11" s="8">
        <v>43070</v>
      </c>
      <c r="B11" s="9">
        <v>43066</v>
      </c>
      <c r="C11" s="9">
        <v>43096</v>
      </c>
      <c r="D11" s="2">
        <v>1000</v>
      </c>
      <c r="E11" s="12">
        <v>0.125</v>
      </c>
      <c r="F11" s="20">
        <f t="shared" ref="F11:F19" si="3">G11+H11</f>
        <v>1100</v>
      </c>
      <c r="G11" s="2">
        <v>1100</v>
      </c>
      <c r="H11" s="2">
        <v>0</v>
      </c>
      <c r="I11" s="2">
        <v>0</v>
      </c>
      <c r="J11" s="9">
        <v>43125</v>
      </c>
      <c r="K11" s="2">
        <v>0</v>
      </c>
      <c r="L11" s="2">
        <v>0</v>
      </c>
      <c r="M11" s="2">
        <v>0</v>
      </c>
      <c r="N11" s="9">
        <v>43130</v>
      </c>
    </row>
    <row r="12" spans="1:16" x14ac:dyDescent="0.25">
      <c r="A12" s="8">
        <v>43101</v>
      </c>
      <c r="B12" s="9">
        <v>43096</v>
      </c>
      <c r="C12" s="9">
        <v>43125</v>
      </c>
      <c r="D12" s="2">
        <v>1000</v>
      </c>
      <c r="E12" s="12">
        <v>0.125</v>
      </c>
      <c r="F12" s="20">
        <f t="shared" si="3"/>
        <v>950</v>
      </c>
      <c r="G12" s="2">
        <v>950</v>
      </c>
      <c r="H12" s="20">
        <f t="shared" ref="H12:H19" si="4">I12-I11</f>
        <v>0</v>
      </c>
      <c r="I12" s="2">
        <v>0</v>
      </c>
      <c r="J12" s="9">
        <v>43157</v>
      </c>
      <c r="K12" s="2">
        <v>1945</v>
      </c>
      <c r="L12" s="2">
        <v>995.34000000000276</v>
      </c>
      <c r="M12" s="2">
        <v>0</v>
      </c>
      <c r="N12" s="9" t="s">
        <v>79</v>
      </c>
      <c r="P12" s="2">
        <f t="shared" ref="P12:P19" si="5">K12/L12</f>
        <v>1.9541061345871709</v>
      </c>
    </row>
    <row r="13" spans="1:16" x14ac:dyDescent="0.25">
      <c r="A13" s="8">
        <v>43132</v>
      </c>
      <c r="B13" s="9">
        <v>43125</v>
      </c>
      <c r="C13" s="9">
        <v>43157</v>
      </c>
      <c r="D13" s="2">
        <v>1000</v>
      </c>
      <c r="E13" s="12">
        <v>0.125</v>
      </c>
      <c r="F13" s="20">
        <f t="shared" si="3"/>
        <v>1190</v>
      </c>
      <c r="G13" s="2">
        <v>1190</v>
      </c>
      <c r="H13" s="20">
        <f t="shared" si="4"/>
        <v>0</v>
      </c>
      <c r="I13" s="2">
        <v>0</v>
      </c>
      <c r="J13" s="9">
        <v>43186</v>
      </c>
      <c r="K13" s="2">
        <v>1704</v>
      </c>
      <c r="L13" s="2">
        <v>858.67000000000371</v>
      </c>
      <c r="M13" s="2">
        <v>0</v>
      </c>
      <c r="N13" s="9" t="s">
        <v>97</v>
      </c>
      <c r="P13" s="2">
        <f t="shared" si="5"/>
        <v>1.984464346023493</v>
      </c>
    </row>
    <row r="14" spans="1:16" x14ac:dyDescent="0.25">
      <c r="A14" s="8">
        <v>43160</v>
      </c>
      <c r="B14" s="9">
        <v>43157</v>
      </c>
      <c r="C14" s="9">
        <v>43186</v>
      </c>
      <c r="D14" s="2">
        <v>1000</v>
      </c>
      <c r="E14" s="12">
        <v>0.125</v>
      </c>
      <c r="F14" s="20">
        <f t="shared" si="3"/>
        <v>1340</v>
      </c>
      <c r="G14" s="2">
        <v>1340</v>
      </c>
      <c r="H14" s="20">
        <f t="shared" si="4"/>
        <v>0</v>
      </c>
      <c r="I14" s="2">
        <v>0</v>
      </c>
      <c r="J14" s="9">
        <v>43215</v>
      </c>
      <c r="K14" s="2">
        <v>2155</v>
      </c>
      <c r="L14" s="2">
        <v>1096.0099999999961</v>
      </c>
      <c r="M14" s="2">
        <v>1</v>
      </c>
      <c r="N14" s="9" t="s">
        <v>101</v>
      </c>
      <c r="P14" s="2">
        <f t="shared" si="5"/>
        <v>1.9662229359221244</v>
      </c>
    </row>
    <row r="15" spans="1:16" x14ac:dyDescent="0.25">
      <c r="A15" s="8">
        <v>43191</v>
      </c>
      <c r="B15" s="9">
        <v>43186</v>
      </c>
      <c r="C15" s="9">
        <v>43215</v>
      </c>
      <c r="D15" s="2">
        <v>1000</v>
      </c>
      <c r="E15" s="12">
        <v>0.125</v>
      </c>
      <c r="F15" s="20">
        <f t="shared" si="3"/>
        <v>1100</v>
      </c>
      <c r="G15" s="2">
        <v>1100</v>
      </c>
      <c r="H15" s="20">
        <f t="shared" si="4"/>
        <v>0</v>
      </c>
      <c r="I15" s="2">
        <v>0</v>
      </c>
      <c r="J15" s="9">
        <v>43245</v>
      </c>
      <c r="K15" s="2">
        <v>1918</v>
      </c>
      <c r="L15" s="2">
        <v>977.03000000000281</v>
      </c>
      <c r="M15" s="2">
        <v>0</v>
      </c>
      <c r="N15" s="9" t="s">
        <v>110</v>
      </c>
      <c r="P15" s="2">
        <f t="shared" si="5"/>
        <v>1.9630922284883723</v>
      </c>
    </row>
    <row r="16" spans="1:16" x14ac:dyDescent="0.25">
      <c r="A16" s="8">
        <v>43221</v>
      </c>
      <c r="B16" s="9">
        <v>43215</v>
      </c>
      <c r="C16" s="9">
        <v>43245</v>
      </c>
      <c r="D16" s="2">
        <v>1000</v>
      </c>
      <c r="E16" s="12">
        <v>0.125</v>
      </c>
      <c r="F16" s="20">
        <f t="shared" si="3"/>
        <v>1145</v>
      </c>
      <c r="G16" s="2">
        <v>1145</v>
      </c>
      <c r="H16" s="20">
        <f t="shared" si="4"/>
        <v>0</v>
      </c>
      <c r="I16" s="2">
        <v>0</v>
      </c>
      <c r="J16" s="9">
        <v>43277</v>
      </c>
      <c r="K16" s="2">
        <v>1695</v>
      </c>
      <c r="L16" s="2">
        <v>841.7600000000017</v>
      </c>
      <c r="M16" s="2">
        <v>0</v>
      </c>
      <c r="P16" s="2">
        <f t="shared" si="5"/>
        <v>2.0136380916175591</v>
      </c>
    </row>
    <row r="17" spans="1:16" x14ac:dyDescent="0.25">
      <c r="A17" s="8">
        <v>43252</v>
      </c>
      <c r="B17" s="9">
        <v>43245</v>
      </c>
      <c r="C17" s="9">
        <v>43277</v>
      </c>
      <c r="D17" s="2">
        <v>1000</v>
      </c>
      <c r="E17" s="12">
        <v>0.1047</v>
      </c>
      <c r="F17" s="20">
        <f t="shared" si="3"/>
        <v>883.66800000000001</v>
      </c>
      <c r="G17" s="2">
        <v>883.66800000000001</v>
      </c>
      <c r="H17" s="20">
        <f t="shared" si="4"/>
        <v>0</v>
      </c>
      <c r="I17" s="2">
        <v>0</v>
      </c>
      <c r="J17" s="9">
        <v>43307</v>
      </c>
      <c r="K17" s="2">
        <v>1372</v>
      </c>
      <c r="L17" s="2">
        <v>628.80000000000189</v>
      </c>
      <c r="M17" s="2">
        <v>0</v>
      </c>
      <c r="P17" s="2">
        <f t="shared" si="5"/>
        <v>2.1819338422391792</v>
      </c>
    </row>
    <row r="18" spans="1:16" x14ac:dyDescent="0.25">
      <c r="A18" s="8">
        <v>43282</v>
      </c>
      <c r="B18" s="9">
        <v>43277</v>
      </c>
      <c r="C18" s="9">
        <v>43307</v>
      </c>
      <c r="D18" s="2">
        <v>1000</v>
      </c>
      <c r="E18" s="12">
        <v>0.1047</v>
      </c>
      <c r="F18" s="20">
        <f t="shared" si="3"/>
        <v>1034.4359999999999</v>
      </c>
      <c r="G18" s="2">
        <v>1034.4359999999999</v>
      </c>
      <c r="H18" s="20">
        <f t="shared" si="4"/>
        <v>0</v>
      </c>
      <c r="I18" s="2">
        <v>0</v>
      </c>
      <c r="J18" s="9">
        <v>43336</v>
      </c>
      <c r="K18" s="2">
        <v>1315</v>
      </c>
      <c r="L18" s="2">
        <v>598.88000000000125</v>
      </c>
      <c r="M18" s="2">
        <v>0</v>
      </c>
      <c r="O18" s="2">
        <f>IF(C18&gt;VLOOKUP(A18,'4001950116'!$A$11:$N$200,3,FALSE),VLOOKUP(A18,'4001950116'!$A$11:$N$200,11,FALSE),VLOOKUP(A17,'4001950116'!$A$11:$N$200,11,FALSE))*E18</f>
        <v>1034.4359999999999</v>
      </c>
      <c r="P18" s="2">
        <f t="shared" si="5"/>
        <v>2.1957654288004229</v>
      </c>
    </row>
    <row r="19" spans="1:16" x14ac:dyDescent="0.25">
      <c r="A19" s="8">
        <v>43313</v>
      </c>
      <c r="B19" s="9">
        <v>43307</v>
      </c>
      <c r="C19" s="9">
        <v>43336</v>
      </c>
      <c r="D19" s="2">
        <v>1000</v>
      </c>
      <c r="E19" s="12">
        <v>0.1053</v>
      </c>
      <c r="F19" s="20">
        <f t="shared" si="3"/>
        <v>901.36800000000005</v>
      </c>
      <c r="G19" s="2">
        <v>901.36800000000005</v>
      </c>
      <c r="H19" s="20">
        <f t="shared" si="4"/>
        <v>0</v>
      </c>
      <c r="I19" s="2">
        <v>0</v>
      </c>
      <c r="J19" s="9">
        <v>43369</v>
      </c>
      <c r="K19" s="2">
        <v>1172</v>
      </c>
      <c r="L19" s="2">
        <v>500.59999999999951</v>
      </c>
      <c r="M19" s="2">
        <v>0</v>
      </c>
      <c r="O19" s="2">
        <f>IF(C19&gt;VLOOKUP(A19,'4001950116'!$A$11:$N$200,3,FALSE),VLOOKUP(A19,'4001950116'!$A$11:$N$200,11,FALSE),VLOOKUP(A18,'4001950116'!$A$11:$N$200,11,FALSE))*E19</f>
        <v>901.36800000000005</v>
      </c>
      <c r="P19" s="2">
        <f t="shared" si="5"/>
        <v>2.3411905713144248</v>
      </c>
    </row>
    <row r="20" spans="1:16" x14ac:dyDescent="0.25">
      <c r="B20" s="9"/>
      <c r="C20" s="9"/>
      <c r="J20" s="9"/>
    </row>
    <row r="21" spans="1:16" x14ac:dyDescent="0.25">
      <c r="B21" s="9"/>
      <c r="C21" s="9"/>
      <c r="J21" s="9"/>
    </row>
    <row r="22" spans="1:16" x14ac:dyDescent="0.25">
      <c r="B22" s="9"/>
      <c r="C22" s="9"/>
      <c r="J22" s="9"/>
    </row>
    <row r="23" spans="1:16" x14ac:dyDescent="0.25">
      <c r="B23" s="9"/>
      <c r="C23" s="9"/>
      <c r="J23" s="9"/>
    </row>
    <row r="24" spans="1:16" x14ac:dyDescent="0.25">
      <c r="B24" s="9"/>
      <c r="C24" s="9"/>
      <c r="J24" s="9"/>
    </row>
    <row r="25" spans="1:16" x14ac:dyDescent="0.25">
      <c r="B25" s="9"/>
      <c r="C25" s="9"/>
      <c r="J25" s="9"/>
    </row>
    <row r="26" spans="1:16" x14ac:dyDescent="0.25">
      <c r="B26" s="9"/>
      <c r="C26" s="9"/>
      <c r="J26" s="9"/>
    </row>
    <row r="27" spans="1:16" x14ac:dyDescent="0.25">
      <c r="B27" s="9"/>
      <c r="C27" s="9"/>
      <c r="J27" s="9"/>
    </row>
    <row r="28" spans="1:16" x14ac:dyDescent="0.25">
      <c r="B28" s="9"/>
      <c r="C28" s="9"/>
      <c r="J28" s="9"/>
    </row>
    <row r="29" spans="1:16" x14ac:dyDescent="0.25">
      <c r="B29" s="9"/>
      <c r="C29" s="9"/>
      <c r="J29" s="9"/>
    </row>
    <row r="30" spans="1:16" x14ac:dyDescent="0.25">
      <c r="J30" s="9"/>
    </row>
    <row r="31" spans="1:16" x14ac:dyDescent="0.25"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4DF4-C96B-4523-A41B-03F85894B334}">
  <sheetPr codeName="Planilha16"/>
  <dimension ref="A1:Z48"/>
  <sheetViews>
    <sheetView workbookViewId="0">
      <selection activeCell="O20" sqref="O20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2.33203125" style="2" customWidth="1"/>
    <col min="12" max="12" width="8.88671875" style="2"/>
    <col min="13" max="13" width="12" style="2" customWidth="1"/>
    <col min="14" max="14" width="13.109375" style="2" customWidth="1"/>
    <col min="15" max="16384" width="8.88671875" style="2"/>
  </cols>
  <sheetData>
    <row r="1" spans="1:26" x14ac:dyDescent="0.25">
      <c r="A1" s="2" t="s">
        <v>4</v>
      </c>
      <c r="B1" s="4" t="s">
        <v>51</v>
      </c>
      <c r="G1" s="2">
        <v>8800</v>
      </c>
      <c r="H1" s="2">
        <f t="shared" ref="H1:H6" si="0">G1*E11</f>
        <v>385.44</v>
      </c>
      <c r="I1" s="2" t="s">
        <v>63</v>
      </c>
      <c r="J1" s="2">
        <v>8440</v>
      </c>
      <c r="K1" s="2">
        <f>J1*E17</f>
        <v>308.904</v>
      </c>
    </row>
    <row r="2" spans="1:26" x14ac:dyDescent="0.25">
      <c r="A2" s="2" t="s">
        <v>5</v>
      </c>
      <c r="B2" s="5" t="s">
        <v>52</v>
      </c>
      <c r="G2" s="2">
        <v>7600</v>
      </c>
      <c r="H2" s="2">
        <f t="shared" si="0"/>
        <v>332.88</v>
      </c>
      <c r="J2" s="2">
        <v>9880</v>
      </c>
      <c r="K2" s="2">
        <f>J2*E18</f>
        <v>361.608</v>
      </c>
    </row>
    <row r="3" spans="1:26" x14ac:dyDescent="0.25">
      <c r="A3" s="2" t="s">
        <v>6</v>
      </c>
      <c r="B3" s="10">
        <v>2002369052</v>
      </c>
      <c r="G3" s="2">
        <v>9520</v>
      </c>
      <c r="H3" s="2">
        <f t="shared" si="0"/>
        <v>416.976</v>
      </c>
    </row>
    <row r="4" spans="1:26" x14ac:dyDescent="0.25">
      <c r="A4" s="2" t="s">
        <v>7</v>
      </c>
      <c r="B4" s="3">
        <v>43135</v>
      </c>
      <c r="G4" s="2">
        <v>10720</v>
      </c>
      <c r="H4" s="2">
        <f t="shared" si="0"/>
        <v>469.536</v>
      </c>
    </row>
    <row r="5" spans="1:26" x14ac:dyDescent="0.25">
      <c r="A5" s="1" t="s">
        <v>18</v>
      </c>
      <c r="B5" s="20">
        <f>SUM(F11:F200)</f>
        <v>3377</v>
      </c>
      <c r="D5" s="2">
        <f ca="1">D8*0.47</f>
        <v>164.5</v>
      </c>
      <c r="G5" s="2">
        <v>8800</v>
      </c>
      <c r="H5" s="2">
        <f t="shared" si="0"/>
        <v>385.44</v>
      </c>
      <c r="J5" s="2">
        <v>1997.48</v>
      </c>
    </row>
    <row r="6" spans="1:26" x14ac:dyDescent="0.25">
      <c r="A6" s="1" t="s">
        <v>103</v>
      </c>
      <c r="B6" s="2">
        <f>B5-B7</f>
        <v>927</v>
      </c>
      <c r="G6" s="2">
        <v>9160</v>
      </c>
      <c r="H6" s="2">
        <f t="shared" si="0"/>
        <v>401.20799999999997</v>
      </c>
    </row>
    <row r="7" spans="1:26" x14ac:dyDescent="0.25">
      <c r="A7" s="1" t="s">
        <v>108</v>
      </c>
      <c r="B7" s="2">
        <f>SUM(D13:D200)</f>
        <v>2450</v>
      </c>
      <c r="F7" s="2">
        <f>COUNTIF(F11:F200,"&gt;0")</f>
        <v>9</v>
      </c>
    </row>
    <row r="8" spans="1:26" x14ac:dyDescent="0.25">
      <c r="A8" s="13">
        <f ca="1">OFFSET(A10,A9,0)</f>
        <v>43344</v>
      </c>
      <c r="B8" s="14">
        <f t="shared" ref="B8:M8" ca="1" si="1">OFFSET(B10,B9,0)</f>
        <v>43314</v>
      </c>
      <c r="C8" s="14">
        <f t="shared" ca="1" si="1"/>
        <v>43346</v>
      </c>
      <c r="D8" s="15">
        <f t="shared" ca="1" si="1"/>
        <v>350</v>
      </c>
      <c r="E8" s="16">
        <f t="shared" ca="1" si="1"/>
        <v>3.6799999999999999E-2</v>
      </c>
      <c r="F8" s="15">
        <f t="shared" ca="1" si="1"/>
        <v>315.00799999999998</v>
      </c>
      <c r="G8" s="15">
        <f t="shared" ca="1" si="1"/>
        <v>369</v>
      </c>
      <c r="H8" s="15">
        <f t="shared" ca="1" si="1"/>
        <v>-53.991999999999997</v>
      </c>
      <c r="I8" s="15">
        <f t="shared" ca="1" si="1"/>
        <v>9</v>
      </c>
      <c r="J8" s="14">
        <f t="shared" ca="1" si="1"/>
        <v>43376</v>
      </c>
      <c r="K8" s="31">
        <f t="shared" ca="1" si="1"/>
        <v>399</v>
      </c>
      <c r="L8" s="30">
        <f t="shared" ca="1" si="1"/>
        <v>375.45237068965542</v>
      </c>
      <c r="M8" s="30">
        <f t="shared" ca="1" si="1"/>
        <v>27</v>
      </c>
      <c r="N8" s="36">
        <f ca="1">OFFSET(N10,N9,0)</f>
        <v>43254</v>
      </c>
    </row>
    <row r="9" spans="1:26" x14ac:dyDescent="0.25">
      <c r="A9" s="1">
        <f>COUNTA(A11:A200)</f>
        <v>9</v>
      </c>
      <c r="B9" s="1">
        <f t="shared" ref="B9:M9" si="2">COUNTA(B11:B200)</f>
        <v>9</v>
      </c>
      <c r="C9" s="1">
        <f t="shared" si="2"/>
        <v>9</v>
      </c>
      <c r="D9" s="1">
        <f t="shared" si="2"/>
        <v>9</v>
      </c>
      <c r="E9" s="1">
        <f t="shared" si="2"/>
        <v>9</v>
      </c>
      <c r="F9" s="1">
        <f t="shared" si="2"/>
        <v>9</v>
      </c>
      <c r="G9" s="1">
        <f t="shared" si="2"/>
        <v>9</v>
      </c>
      <c r="H9" s="1">
        <f t="shared" si="2"/>
        <v>9</v>
      </c>
      <c r="I9" s="1">
        <f t="shared" si="2"/>
        <v>9</v>
      </c>
      <c r="J9" s="1">
        <f t="shared" si="2"/>
        <v>9</v>
      </c>
      <c r="K9" s="1">
        <f t="shared" si="2"/>
        <v>9</v>
      </c>
      <c r="L9" s="1">
        <f t="shared" si="2"/>
        <v>7</v>
      </c>
      <c r="M9" s="1">
        <f t="shared" si="2"/>
        <v>7</v>
      </c>
      <c r="N9" s="1">
        <f>COUNTA(N11:N200)</f>
        <v>4</v>
      </c>
    </row>
    <row r="10" spans="1:26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26" x14ac:dyDescent="0.25">
      <c r="A11" s="8">
        <v>43101</v>
      </c>
      <c r="B11" s="9">
        <v>43073</v>
      </c>
      <c r="C11" s="9">
        <v>43103</v>
      </c>
      <c r="D11" s="2">
        <v>350</v>
      </c>
      <c r="E11" s="12">
        <v>4.3799999999999999E-2</v>
      </c>
      <c r="F11" s="20">
        <f t="shared" ref="F11:F19" si="3">G11+H11</f>
        <v>385.44</v>
      </c>
      <c r="G11" s="2">
        <v>346</v>
      </c>
      <c r="H11" s="2">
        <v>39.44</v>
      </c>
      <c r="I11" s="2">
        <v>39.44</v>
      </c>
      <c r="J11" s="9">
        <v>43132</v>
      </c>
      <c r="K11" s="2">
        <v>0</v>
      </c>
      <c r="L11" s="2">
        <v>0</v>
      </c>
      <c r="M11" s="2">
        <v>0</v>
      </c>
      <c r="N11" s="9">
        <v>43164</v>
      </c>
      <c r="Q11" s="59"/>
      <c r="S11" s="62"/>
    </row>
    <row r="12" spans="1:26" x14ac:dyDescent="0.25">
      <c r="A12" s="8">
        <v>43132</v>
      </c>
      <c r="B12" s="9">
        <v>43103</v>
      </c>
      <c r="C12" s="9">
        <v>43132</v>
      </c>
      <c r="D12" s="2">
        <v>350</v>
      </c>
      <c r="E12" s="12">
        <v>4.3799999999999999E-2</v>
      </c>
      <c r="F12" s="20">
        <f t="shared" si="3"/>
        <v>332.88</v>
      </c>
      <c r="G12" s="2">
        <f>298.56+39.44</f>
        <v>338</v>
      </c>
      <c r="H12" s="20">
        <f t="shared" ref="H12:H19" si="4">I12-I11</f>
        <v>-5.1199999999999974</v>
      </c>
      <c r="I12" s="2">
        <v>34.32</v>
      </c>
      <c r="J12" s="9">
        <v>43164</v>
      </c>
      <c r="K12" s="2">
        <v>368</v>
      </c>
      <c r="L12" s="2">
        <v>183.62999999999974</v>
      </c>
      <c r="M12" s="2">
        <v>0</v>
      </c>
      <c r="N12" s="9">
        <v>43193</v>
      </c>
      <c r="P12" s="2">
        <f t="shared" ref="P12:P13" si="5">(C12-B12)*24</f>
        <v>696</v>
      </c>
      <c r="Q12" s="59">
        <f t="shared" ref="Q12:Q13" si="6">M12/P12</f>
        <v>0</v>
      </c>
      <c r="R12" s="2">
        <f t="shared" ref="R12:R13" si="7">L12*(1+Q12)</f>
        <v>183.62999999999974</v>
      </c>
      <c r="S12" s="62">
        <f t="shared" ref="S12:S13" si="8">K12/R12</f>
        <v>2.0040298426183112</v>
      </c>
    </row>
    <row r="13" spans="1:26" x14ac:dyDescent="0.25">
      <c r="A13" s="8">
        <v>43160</v>
      </c>
      <c r="B13" s="9">
        <v>43132</v>
      </c>
      <c r="C13" s="9">
        <v>43164</v>
      </c>
      <c r="D13" s="2">
        <v>350</v>
      </c>
      <c r="E13" s="12">
        <v>4.3799999999999999E-2</v>
      </c>
      <c r="F13" s="20">
        <f t="shared" si="3"/>
        <v>416.976</v>
      </c>
      <c r="G13" s="2">
        <f>34.32+398.68</f>
        <v>433</v>
      </c>
      <c r="H13" s="20">
        <f t="shared" si="4"/>
        <v>-16.024000000000001</v>
      </c>
      <c r="I13" s="2">
        <v>18.295999999999999</v>
      </c>
      <c r="J13" s="9">
        <v>43193</v>
      </c>
      <c r="K13" s="2">
        <v>463</v>
      </c>
      <c r="L13" s="2">
        <v>248.35999999999962</v>
      </c>
      <c r="M13" s="2">
        <v>27</v>
      </c>
      <c r="N13" s="9">
        <v>43224</v>
      </c>
      <c r="P13" s="2">
        <f t="shared" si="5"/>
        <v>768</v>
      </c>
      <c r="Q13" s="59">
        <f t="shared" si="6"/>
        <v>3.515625E-2</v>
      </c>
      <c r="R13" s="2">
        <f t="shared" si="7"/>
        <v>257.09140624999958</v>
      </c>
      <c r="S13" s="62">
        <f t="shared" si="8"/>
        <v>1.800915895064076</v>
      </c>
    </row>
    <row r="14" spans="1:26" x14ac:dyDescent="0.25">
      <c r="A14" s="8">
        <v>43191</v>
      </c>
      <c r="B14" s="9">
        <v>43164</v>
      </c>
      <c r="C14" s="9">
        <v>43193</v>
      </c>
      <c r="D14" s="2">
        <v>350</v>
      </c>
      <c r="E14" s="12">
        <v>4.3799999999999999E-2</v>
      </c>
      <c r="F14" s="20">
        <f t="shared" si="3"/>
        <v>469.536</v>
      </c>
      <c r="G14" s="2">
        <f>395.704+18.296</f>
        <v>414</v>
      </c>
      <c r="H14" s="20">
        <f t="shared" si="4"/>
        <v>55.535999999999994</v>
      </c>
      <c r="I14" s="2">
        <v>73.831999999999994</v>
      </c>
      <c r="J14" s="9">
        <v>43223</v>
      </c>
      <c r="K14" s="2">
        <v>444</v>
      </c>
      <c r="N14" s="9">
        <v>43254</v>
      </c>
    </row>
    <row r="15" spans="1:26" x14ac:dyDescent="0.25">
      <c r="A15" s="8">
        <v>43221</v>
      </c>
      <c r="B15" s="9">
        <v>43193</v>
      </c>
      <c r="C15" s="9">
        <v>43223</v>
      </c>
      <c r="D15" s="2">
        <v>350</v>
      </c>
      <c r="E15" s="12">
        <v>4.3799999999999999E-2</v>
      </c>
      <c r="F15" s="20">
        <f t="shared" si="3"/>
        <v>385.44</v>
      </c>
      <c r="G15" s="2">
        <f>305.168+73.832</f>
        <v>379</v>
      </c>
      <c r="H15" s="20">
        <f t="shared" si="4"/>
        <v>6.4400000000000119</v>
      </c>
      <c r="I15" s="2">
        <v>80.272000000000006</v>
      </c>
      <c r="J15" s="9">
        <v>43255</v>
      </c>
      <c r="K15" s="2">
        <v>409</v>
      </c>
      <c r="L15" s="2">
        <v>413.35261111111095</v>
      </c>
      <c r="M15" s="2">
        <f>R15+V15</f>
        <v>262</v>
      </c>
      <c r="P15" s="2">
        <f t="shared" ref="P15" si="9">(C15-B15)*24</f>
        <v>720</v>
      </c>
      <c r="Q15" s="37">
        <v>199.33999999999986</v>
      </c>
      <c r="R15" s="37">
        <v>130</v>
      </c>
      <c r="S15" s="62">
        <f>R15/P15</f>
        <v>0.18055555555555555</v>
      </c>
      <c r="T15" s="2">
        <f>Q15*(1+S15)</f>
        <v>235.33194444444428</v>
      </c>
      <c r="U15" s="37">
        <v>150.44</v>
      </c>
      <c r="V15" s="37">
        <v>132</v>
      </c>
      <c r="W15" s="62">
        <f>V15/P15</f>
        <v>0.18333333333333332</v>
      </c>
      <c r="X15" s="2">
        <f>U15*(1+W15)</f>
        <v>178.02066666666667</v>
      </c>
      <c r="Y15" s="2">
        <f>T15+X15</f>
        <v>413.35261111111095</v>
      </c>
      <c r="Z15" s="2">
        <f>K15/Y15</f>
        <v>0.98946998036516343</v>
      </c>
    </row>
    <row r="16" spans="1:26" x14ac:dyDescent="0.25">
      <c r="A16" s="8">
        <v>43252</v>
      </c>
      <c r="B16" s="9">
        <v>43223</v>
      </c>
      <c r="C16" s="9">
        <v>43255</v>
      </c>
      <c r="D16" s="2">
        <v>350</v>
      </c>
      <c r="E16" s="12">
        <v>4.3799999999999999E-2</v>
      </c>
      <c r="F16" s="20">
        <f t="shared" si="3"/>
        <v>401.20799999999997</v>
      </c>
      <c r="G16" s="2">
        <f>340.728+80.272</f>
        <v>421</v>
      </c>
      <c r="H16" s="20">
        <f t="shared" si="4"/>
        <v>-19.792000000000009</v>
      </c>
      <c r="I16" s="2">
        <v>60.48</v>
      </c>
      <c r="J16" s="9">
        <v>43284</v>
      </c>
      <c r="K16" s="2">
        <v>451</v>
      </c>
      <c r="L16" s="2">
        <f>Y16</f>
        <v>462.73411458333311</v>
      </c>
      <c r="M16" s="2">
        <v>11</v>
      </c>
      <c r="P16" s="2">
        <f t="shared" ref="P16:P19" si="10">(C16-B16)*24</f>
        <v>768</v>
      </c>
      <c r="Q16" s="37">
        <v>264.89999999999981</v>
      </c>
      <c r="R16" s="37">
        <v>11</v>
      </c>
      <c r="S16" s="62">
        <f>R16/P16</f>
        <v>1.4322916666666666E-2</v>
      </c>
      <c r="T16" s="2">
        <f>Q16*(1+S16)</f>
        <v>268.69414062499982</v>
      </c>
      <c r="U16" s="37">
        <v>191.29999999999995</v>
      </c>
      <c r="V16" s="37">
        <v>11</v>
      </c>
      <c r="W16" s="62">
        <f>V16/P16</f>
        <v>1.4322916666666666E-2</v>
      </c>
      <c r="X16" s="2">
        <f>U16*(1+W16)</f>
        <v>194.03997395833329</v>
      </c>
      <c r="Y16" s="2">
        <f>T16+X16</f>
        <v>462.73411458333311</v>
      </c>
      <c r="Z16" s="2">
        <f>K16/Y16</f>
        <v>0.97464177761369719</v>
      </c>
    </row>
    <row r="17" spans="1:26" x14ac:dyDescent="0.25">
      <c r="A17" s="8">
        <v>43282</v>
      </c>
      <c r="B17" s="9">
        <v>43255</v>
      </c>
      <c r="C17" s="9">
        <v>43284</v>
      </c>
      <c r="D17" s="2">
        <v>350</v>
      </c>
      <c r="E17" s="12">
        <v>3.6600000000000001E-2</v>
      </c>
      <c r="F17" s="20">
        <f t="shared" si="3"/>
        <v>308.904</v>
      </c>
      <c r="G17" s="2">
        <f>269.52+60.48</f>
        <v>330</v>
      </c>
      <c r="H17" s="20">
        <f t="shared" si="4"/>
        <v>-21.095999999999997</v>
      </c>
      <c r="I17" s="2">
        <v>39.384</v>
      </c>
      <c r="J17" s="9">
        <v>43314</v>
      </c>
      <c r="K17" s="2">
        <v>360</v>
      </c>
      <c r="L17" s="2">
        <f>T17+X17</f>
        <v>375.45237068965542</v>
      </c>
      <c r="M17" s="2">
        <f>R17+V17</f>
        <v>27</v>
      </c>
      <c r="P17" s="2">
        <f t="shared" si="10"/>
        <v>696</v>
      </c>
      <c r="Q17" s="2">
        <v>223.18999999999974</v>
      </c>
      <c r="R17" s="2">
        <v>4</v>
      </c>
      <c r="S17" s="62">
        <f>R17/P17</f>
        <v>5.7471264367816091E-3</v>
      </c>
      <c r="T17" s="2">
        <f>Q17*(1+S17)</f>
        <v>224.47270114942503</v>
      </c>
      <c r="U17" s="2">
        <v>146.15000000000046</v>
      </c>
      <c r="V17" s="2">
        <v>23</v>
      </c>
      <c r="W17" s="62">
        <f>V17/P17</f>
        <v>3.3045977011494254E-2</v>
      </c>
      <c r="X17" s="2">
        <f>U17*(1+W17)</f>
        <v>150.97966954023039</v>
      </c>
      <c r="Y17" s="2">
        <f>T17+X17</f>
        <v>375.45237068965542</v>
      </c>
      <c r="Z17" s="2">
        <f>K17/Y17</f>
        <v>0.95884332635516056</v>
      </c>
    </row>
    <row r="18" spans="1:26" x14ac:dyDescent="0.25">
      <c r="A18" s="8">
        <v>43313</v>
      </c>
      <c r="B18" s="9">
        <v>43284</v>
      </c>
      <c r="C18" s="9">
        <v>43314</v>
      </c>
      <c r="D18" s="2">
        <v>350</v>
      </c>
      <c r="E18" s="12">
        <v>3.6600000000000001E-2</v>
      </c>
      <c r="F18" s="20">
        <f t="shared" si="3"/>
        <v>361.608</v>
      </c>
      <c r="G18" s="2">
        <f>298.616+39.384</f>
        <v>338</v>
      </c>
      <c r="H18" s="20">
        <f t="shared" si="4"/>
        <v>23.607999999999997</v>
      </c>
      <c r="I18" s="2">
        <v>62.991999999999997</v>
      </c>
      <c r="J18" s="9">
        <v>43346</v>
      </c>
      <c r="K18" s="2">
        <v>368</v>
      </c>
      <c r="L18" s="2">
        <f>Y18</f>
        <v>380.21086111111003</v>
      </c>
      <c r="M18" s="2">
        <f>V18</f>
        <v>41</v>
      </c>
      <c r="O18" s="2">
        <f>IF(C18&gt;VLOOKUP(A18,'4001950116'!$A$11:$N$200,3,FALSE),VLOOKUP(A18,'4001950116'!$A$11:$N$200,11,FALSE),VLOOKUP(A17,'4001950116'!$A$11:$N$200,11,FALSE))*E18</f>
        <v>361.608</v>
      </c>
      <c r="P18" s="2">
        <f t="shared" si="10"/>
        <v>720</v>
      </c>
      <c r="Q18" s="2">
        <v>241.72999999999905</v>
      </c>
      <c r="R18" s="2">
        <v>0</v>
      </c>
      <c r="S18" s="62">
        <f>R18/P18</f>
        <v>0</v>
      </c>
      <c r="T18" s="2">
        <f>Q18*(1+S18)</f>
        <v>241.72999999999905</v>
      </c>
      <c r="U18" s="2">
        <v>131.0199999999999</v>
      </c>
      <c r="V18" s="2">
        <v>41</v>
      </c>
      <c r="W18" s="62">
        <f>V18/P18</f>
        <v>5.6944444444444443E-2</v>
      </c>
      <c r="X18" s="2">
        <f>U18*(1+W18)</f>
        <v>138.48086111111101</v>
      </c>
      <c r="Y18" s="2">
        <f>T18+X18</f>
        <v>380.21086111111003</v>
      </c>
      <c r="Z18" s="2">
        <f>K18/Y18</f>
        <v>0.96788397607731247</v>
      </c>
    </row>
    <row r="19" spans="1:26" x14ac:dyDescent="0.25">
      <c r="A19" s="108">
        <v>43344</v>
      </c>
      <c r="B19" s="9">
        <v>43314</v>
      </c>
      <c r="C19" s="9">
        <v>43346</v>
      </c>
      <c r="D19" s="2">
        <v>350</v>
      </c>
      <c r="E19" s="12">
        <v>3.6799999999999999E-2</v>
      </c>
      <c r="F19" s="20">
        <f t="shared" si="3"/>
        <v>315.00799999999998</v>
      </c>
      <c r="G19" s="2">
        <f>306.008+62.992</f>
        <v>369</v>
      </c>
      <c r="H19" s="20">
        <f t="shared" si="4"/>
        <v>-53.991999999999997</v>
      </c>
      <c r="I19" s="2">
        <v>9</v>
      </c>
      <c r="J19" s="9">
        <v>43376</v>
      </c>
      <c r="K19" s="2">
        <v>399</v>
      </c>
      <c r="O19" s="2">
        <f>IF(C19&gt;VLOOKUP(A18,'4001950116'!$A$11:$N$200,3,FALSE),VLOOKUP(A18,'4001950116'!$A$11:$N$200,11,FALSE),VLOOKUP(A18,'4001950116'!$A$11:$N$200,11,FALSE))*E19</f>
        <v>315.00799999999998</v>
      </c>
      <c r="P19" s="2">
        <f t="shared" si="10"/>
        <v>768</v>
      </c>
    </row>
    <row r="20" spans="1:26" x14ac:dyDescent="0.25">
      <c r="B20" s="9"/>
      <c r="C20" s="9"/>
      <c r="J20" s="9"/>
    </row>
    <row r="21" spans="1:26" x14ac:dyDescent="0.25">
      <c r="B21" s="9"/>
      <c r="C21" s="9"/>
      <c r="J21" s="9"/>
    </row>
    <row r="22" spans="1:26" x14ac:dyDescent="0.25">
      <c r="B22" s="9"/>
      <c r="C22" s="9"/>
      <c r="J22" s="9"/>
    </row>
    <row r="23" spans="1:26" x14ac:dyDescent="0.25">
      <c r="B23" s="9"/>
      <c r="C23" s="9"/>
      <c r="J23" s="9"/>
    </row>
    <row r="24" spans="1:26" x14ac:dyDescent="0.25">
      <c r="B24" s="9"/>
      <c r="C24" s="9"/>
      <c r="J24" s="9"/>
    </row>
    <row r="25" spans="1:26" x14ac:dyDescent="0.25">
      <c r="B25" s="9"/>
      <c r="C25" s="9"/>
      <c r="J25" s="9"/>
    </row>
    <row r="26" spans="1:26" x14ac:dyDescent="0.25">
      <c r="B26" s="9"/>
      <c r="C26" s="9"/>
      <c r="J26" s="9"/>
    </row>
    <row r="27" spans="1:26" x14ac:dyDescent="0.25">
      <c r="B27" s="9"/>
      <c r="C27" s="9"/>
      <c r="J27" s="9"/>
    </row>
    <row r="28" spans="1:26" x14ac:dyDescent="0.25">
      <c r="B28" s="9"/>
      <c r="C28" s="9"/>
      <c r="J28" s="9"/>
    </row>
    <row r="29" spans="1:26" x14ac:dyDescent="0.25">
      <c r="B29" s="9"/>
      <c r="C29" s="9"/>
      <c r="J29" s="9"/>
    </row>
    <row r="30" spans="1:26" x14ac:dyDescent="0.25">
      <c r="B30" s="9"/>
      <c r="C30" s="9"/>
      <c r="J30" s="9"/>
    </row>
    <row r="31" spans="1:26" x14ac:dyDescent="0.25">
      <c r="B31" s="9"/>
      <c r="C31" s="9"/>
      <c r="J31" s="9"/>
    </row>
    <row r="32" spans="1:26" x14ac:dyDescent="0.25">
      <c r="B32" s="9"/>
      <c r="C32" s="9"/>
      <c r="J32" s="9"/>
    </row>
    <row r="33" spans="2:10" x14ac:dyDescent="0.25">
      <c r="B33" s="9"/>
      <c r="C33" s="9"/>
      <c r="J33" s="9"/>
    </row>
    <row r="34" spans="2:10" x14ac:dyDescent="0.25">
      <c r="B34" s="9"/>
      <c r="C34" s="9"/>
      <c r="J34" s="9"/>
    </row>
    <row r="35" spans="2:10" x14ac:dyDescent="0.25">
      <c r="B35" s="9"/>
      <c r="C35" s="9"/>
      <c r="J35" s="9"/>
    </row>
    <row r="36" spans="2:10" x14ac:dyDescent="0.25">
      <c r="B36" s="61"/>
    </row>
    <row r="37" spans="2:10" x14ac:dyDescent="0.25">
      <c r="B37" s="61"/>
    </row>
    <row r="38" spans="2:10" x14ac:dyDescent="0.25">
      <c r="B38" s="61"/>
    </row>
    <row r="39" spans="2:10" x14ac:dyDescent="0.25">
      <c r="B39" s="61"/>
    </row>
    <row r="40" spans="2:10" x14ac:dyDescent="0.25">
      <c r="B40" s="61"/>
    </row>
    <row r="41" spans="2:10" x14ac:dyDescent="0.25">
      <c r="B41" s="61"/>
    </row>
    <row r="42" spans="2:10" x14ac:dyDescent="0.25">
      <c r="B42" s="61"/>
    </row>
    <row r="43" spans="2:10" x14ac:dyDescent="0.25">
      <c r="B43" s="61"/>
    </row>
    <row r="44" spans="2:10" x14ac:dyDescent="0.25">
      <c r="B44" s="61"/>
    </row>
    <row r="45" spans="2:10" x14ac:dyDescent="0.25">
      <c r="B45" s="61"/>
    </row>
    <row r="46" spans="2:10" x14ac:dyDescent="0.25">
      <c r="B46" s="61"/>
    </row>
    <row r="47" spans="2:10" x14ac:dyDescent="0.25">
      <c r="B47" s="61"/>
    </row>
    <row r="48" spans="2:10" x14ac:dyDescent="0.25">
      <c r="B48" s="6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F52B-25C8-42BA-829A-178EE9A306D7}">
  <dimension ref="A1:S31"/>
  <sheetViews>
    <sheetView workbookViewId="0">
      <selection activeCell="O16" sqref="O16:O17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5" width="13.88671875" style="2" bestFit="1" customWidth="1"/>
    <col min="16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77</v>
      </c>
      <c r="F1" s="2">
        <v>10720</v>
      </c>
      <c r="G1" s="2">
        <f>F1*E12</f>
        <v>670</v>
      </c>
    </row>
    <row r="2" spans="1:19" x14ac:dyDescent="0.25">
      <c r="A2" s="2" t="s">
        <v>5</v>
      </c>
      <c r="B2" s="5" t="s">
        <v>78</v>
      </c>
      <c r="F2" s="2">
        <v>8800</v>
      </c>
      <c r="G2" s="2">
        <f>F2*E13</f>
        <v>550</v>
      </c>
    </row>
    <row r="3" spans="1:19" x14ac:dyDescent="0.25">
      <c r="A3" s="2" t="s">
        <v>6</v>
      </c>
      <c r="B3" s="10">
        <v>2024636746</v>
      </c>
      <c r="F3" s="2">
        <v>9160</v>
      </c>
      <c r="G3" s="2">
        <f>F3*E14</f>
        <v>572.5</v>
      </c>
    </row>
    <row r="4" spans="1:19" x14ac:dyDescent="0.25">
      <c r="A4" s="2" t="s">
        <v>7</v>
      </c>
      <c r="B4" s="9">
        <v>43132</v>
      </c>
      <c r="C4" s="9"/>
      <c r="F4" s="2">
        <v>8440</v>
      </c>
      <c r="G4" s="2">
        <f>F4*E15</f>
        <v>1237.3040000000001</v>
      </c>
    </row>
    <row r="5" spans="1:19" x14ac:dyDescent="0.25">
      <c r="A5" s="1" t="s">
        <v>18</v>
      </c>
      <c r="B5" s="28">
        <f>SUM(F11:F200)</f>
        <v>6334.9559999999992</v>
      </c>
      <c r="F5" s="2">
        <v>9880</v>
      </c>
      <c r="G5" s="2">
        <f>F5*E16</f>
        <v>1448.4080000000001</v>
      </c>
    </row>
    <row r="6" spans="1:19" x14ac:dyDescent="0.25">
      <c r="A6" s="1" t="s">
        <v>103</v>
      </c>
      <c r="B6" s="65">
        <f>B5-B7</f>
        <v>134.95599999999922</v>
      </c>
    </row>
    <row r="7" spans="1:19" x14ac:dyDescent="0.25">
      <c r="A7" s="1" t="s">
        <v>108</v>
      </c>
      <c r="B7" s="65">
        <f>SUM(D11:D200)</f>
        <v>6200</v>
      </c>
      <c r="F7" s="2">
        <f>COUNTIF(F11:F200,"&gt;0")</f>
        <v>7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43301</v>
      </c>
      <c r="C8" s="14">
        <f t="shared" ca="1" si="0"/>
        <v>43332</v>
      </c>
      <c r="D8" s="15">
        <f t="shared" ca="1" si="0"/>
        <v>1400</v>
      </c>
      <c r="E8" s="16">
        <f t="shared" ca="1" si="0"/>
        <v>0.1474</v>
      </c>
      <c r="F8" s="15">
        <f t="shared" ca="1" si="0"/>
        <v>1261.7439999999999</v>
      </c>
      <c r="G8" s="15">
        <f t="shared" ca="1" si="0"/>
        <v>1348</v>
      </c>
      <c r="H8" s="15">
        <f t="shared" ca="1" si="0"/>
        <v>-86.256000000000029</v>
      </c>
      <c r="I8" s="15">
        <f t="shared" ca="1" si="0"/>
        <v>208.15199999999999</v>
      </c>
      <c r="J8" s="14">
        <f t="shared" ca="1" si="0"/>
        <v>43363</v>
      </c>
      <c r="K8" s="31">
        <f t="shared" ca="1" si="0"/>
        <v>1448</v>
      </c>
      <c r="L8" s="30">
        <f t="shared" ca="1" si="0"/>
        <v>405.78000000000037</v>
      </c>
      <c r="M8" s="30">
        <f t="shared" ca="1" si="0"/>
        <v>329</v>
      </c>
      <c r="N8" s="36" t="str">
        <f ca="1">OFFSET(N10,N9,0)</f>
        <v>21/5 liberar faturamento com venvt para 30/5</v>
      </c>
    </row>
    <row r="9" spans="1:19" x14ac:dyDescent="0.25">
      <c r="A9" s="1">
        <f>COUNTA(A11:A200)</f>
        <v>7</v>
      </c>
      <c r="B9" s="1">
        <f t="shared" ref="B9:M9" si="1">COUNTA(B11:B200)</f>
        <v>7</v>
      </c>
      <c r="C9" s="1">
        <f t="shared" si="1"/>
        <v>7</v>
      </c>
      <c r="D9" s="1">
        <f t="shared" si="1"/>
        <v>7</v>
      </c>
      <c r="E9" s="1">
        <f t="shared" si="1"/>
        <v>7</v>
      </c>
      <c r="F9" s="1">
        <f t="shared" si="1"/>
        <v>7</v>
      </c>
      <c r="G9" s="1">
        <f t="shared" si="1"/>
        <v>7</v>
      </c>
      <c r="H9" s="1">
        <f t="shared" si="1"/>
        <v>7</v>
      </c>
      <c r="I9" s="1">
        <f t="shared" si="1"/>
        <v>7</v>
      </c>
      <c r="J9" s="1">
        <f t="shared" si="1"/>
        <v>7</v>
      </c>
      <c r="K9" s="1">
        <f t="shared" si="1"/>
        <v>7</v>
      </c>
      <c r="L9" s="1">
        <f t="shared" si="1"/>
        <v>4</v>
      </c>
      <c r="M9" s="1">
        <f t="shared" si="1"/>
        <v>4</v>
      </c>
      <c r="N9" s="1">
        <f>COUNTA(N11:N200)</f>
        <v>3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43132</v>
      </c>
      <c r="B11" s="9">
        <v>43119</v>
      </c>
      <c r="C11" s="9">
        <v>43151</v>
      </c>
      <c r="D11" s="21">
        <v>500</v>
      </c>
      <c r="E11" s="51">
        <v>6.25E-2</v>
      </c>
      <c r="F11" s="27">
        <v>595</v>
      </c>
      <c r="G11" s="27">
        <v>595</v>
      </c>
      <c r="H11" s="27">
        <v>0</v>
      </c>
      <c r="I11" s="27">
        <v>0</v>
      </c>
      <c r="J11" s="9">
        <v>43180</v>
      </c>
      <c r="K11" s="52">
        <v>1310</v>
      </c>
      <c r="L11" s="8" t="s">
        <v>70</v>
      </c>
      <c r="M11" s="8" t="s">
        <v>70</v>
      </c>
      <c r="N11" s="8" t="s">
        <v>100</v>
      </c>
      <c r="P11" s="2">
        <f>(C11-B11)</f>
        <v>32</v>
      </c>
      <c r="Q11" s="67">
        <f>K11/P11*28</f>
        <v>1146.25</v>
      </c>
    </row>
    <row r="12" spans="1:19" x14ac:dyDescent="0.25">
      <c r="A12" s="8">
        <v>43160</v>
      </c>
      <c r="B12" s="9">
        <v>43151</v>
      </c>
      <c r="C12" s="9">
        <v>43180</v>
      </c>
      <c r="D12" s="2">
        <v>500</v>
      </c>
      <c r="E12" s="51">
        <v>6.25E-2</v>
      </c>
      <c r="F12" s="28">
        <f t="shared" ref="F12:F17" si="2">G12+H12</f>
        <v>670</v>
      </c>
      <c r="G12" s="2">
        <v>670</v>
      </c>
      <c r="H12" s="28">
        <f t="shared" ref="H12:H17" si="3">I12-I11</f>
        <v>0</v>
      </c>
      <c r="I12" s="2">
        <v>0</v>
      </c>
      <c r="J12" s="9">
        <v>43209</v>
      </c>
      <c r="K12" s="2">
        <v>2018</v>
      </c>
      <c r="N12" s="8" t="s">
        <v>105</v>
      </c>
      <c r="P12" s="2">
        <f>(C12-B12)</f>
        <v>29</v>
      </c>
      <c r="Q12" s="2">
        <f>K12/P12*31</f>
        <v>2157.1724137931037</v>
      </c>
    </row>
    <row r="13" spans="1:19" ht="14.4" x14ac:dyDescent="0.3">
      <c r="A13" s="8">
        <v>43191</v>
      </c>
      <c r="B13" s="9">
        <v>43180</v>
      </c>
      <c r="C13" s="9">
        <v>43209</v>
      </c>
      <c r="D13" s="2">
        <v>500</v>
      </c>
      <c r="E13" s="51">
        <v>6.25E-2</v>
      </c>
      <c r="F13" s="28">
        <f t="shared" si="2"/>
        <v>550</v>
      </c>
      <c r="G13" s="2">
        <v>550</v>
      </c>
      <c r="H13" s="28">
        <f t="shared" si="3"/>
        <v>0</v>
      </c>
      <c r="I13" s="2">
        <v>0</v>
      </c>
      <c r="J13" s="9">
        <v>43241</v>
      </c>
      <c r="K13" s="2">
        <v>1919</v>
      </c>
      <c r="L13" s="53">
        <v>1338.8699999999988</v>
      </c>
      <c r="M13" s="53">
        <v>59</v>
      </c>
      <c r="N13" s="8" t="s">
        <v>111</v>
      </c>
      <c r="Q13" s="59"/>
      <c r="S13" s="62"/>
    </row>
    <row r="14" spans="1:19" x14ac:dyDescent="0.25">
      <c r="A14" s="8">
        <v>43221</v>
      </c>
      <c r="B14" s="9">
        <v>43209</v>
      </c>
      <c r="C14" s="9">
        <v>43241</v>
      </c>
      <c r="D14" s="2">
        <v>500</v>
      </c>
      <c r="E14" s="51">
        <v>6.25E-2</v>
      </c>
      <c r="F14" s="28">
        <f t="shared" si="2"/>
        <v>572.5</v>
      </c>
      <c r="G14" s="2">
        <v>572.5</v>
      </c>
      <c r="H14" s="28">
        <f t="shared" si="3"/>
        <v>0</v>
      </c>
      <c r="I14" s="2">
        <v>0</v>
      </c>
      <c r="J14" s="9">
        <v>43271</v>
      </c>
      <c r="K14" s="2">
        <v>1939</v>
      </c>
      <c r="L14" s="2">
        <v>405.78000000000037</v>
      </c>
      <c r="M14" s="2">
        <v>329</v>
      </c>
      <c r="Q14" s="59"/>
      <c r="S14" s="62"/>
    </row>
    <row r="15" spans="1:19" x14ac:dyDescent="0.25">
      <c r="A15" s="8">
        <v>43252</v>
      </c>
      <c r="B15" s="9">
        <v>43241</v>
      </c>
      <c r="C15" s="9">
        <v>43271</v>
      </c>
      <c r="D15" s="2">
        <v>1400</v>
      </c>
      <c r="E15" s="12">
        <v>0.14660000000000001</v>
      </c>
      <c r="F15" s="28">
        <f t="shared" si="2"/>
        <v>1237.3040000000001</v>
      </c>
      <c r="G15" s="2">
        <v>1237.3040000000001</v>
      </c>
      <c r="H15" s="28">
        <f t="shared" si="3"/>
        <v>0</v>
      </c>
      <c r="I15" s="2">
        <v>0</v>
      </c>
      <c r="J15" s="9">
        <v>43301</v>
      </c>
      <c r="K15" s="2">
        <v>1593</v>
      </c>
      <c r="L15" s="2">
        <v>193.62</v>
      </c>
      <c r="M15" s="2">
        <v>529</v>
      </c>
      <c r="P15" s="2">
        <f t="shared" ref="P15" si="4">(C15-B15)*24</f>
        <v>720</v>
      </c>
      <c r="Q15" s="59">
        <f t="shared" ref="Q15" si="5">M15/P15</f>
        <v>0.73472222222222228</v>
      </c>
      <c r="R15" s="2">
        <f t="shared" ref="R15" si="6">L15*(1+Q15)</f>
        <v>335.87691666666666</v>
      </c>
      <c r="S15" s="62">
        <f t="shared" ref="S15" si="7">K15/R15</f>
        <v>4.7428088116604226</v>
      </c>
    </row>
    <row r="16" spans="1:19" x14ac:dyDescent="0.25">
      <c r="A16" s="8">
        <v>43282</v>
      </c>
      <c r="B16" s="9">
        <v>43271</v>
      </c>
      <c r="C16" s="9">
        <v>43301</v>
      </c>
      <c r="D16" s="2">
        <v>1400</v>
      </c>
      <c r="E16" s="12">
        <v>0.14660000000000001</v>
      </c>
      <c r="F16" s="28">
        <f t="shared" si="2"/>
        <v>1448.4079999999999</v>
      </c>
      <c r="G16" s="2">
        <v>1154</v>
      </c>
      <c r="H16" s="28">
        <f t="shared" si="3"/>
        <v>294.40800000000002</v>
      </c>
      <c r="I16" s="2">
        <v>294.40800000000002</v>
      </c>
      <c r="J16" s="9">
        <v>43332</v>
      </c>
      <c r="K16" s="2">
        <v>1154</v>
      </c>
      <c r="O16" s="66">
        <f>IF(C16&gt;VLOOKUP(A16,'4001950116'!$A$11:$N$200,3,FALSE),VLOOKUP(A16,'4001950116'!$A$11:$N$200,11,FALSE),VLOOKUP(A15,'4001950116'!$A$11:$N$200,11,FALSE))*E16</f>
        <v>1448.4080000000001</v>
      </c>
    </row>
    <row r="17" spans="1:15" x14ac:dyDescent="0.25">
      <c r="A17" s="8">
        <v>43313</v>
      </c>
      <c r="B17" s="9">
        <v>43301</v>
      </c>
      <c r="C17" s="9">
        <v>43332</v>
      </c>
      <c r="D17" s="2">
        <v>1400</v>
      </c>
      <c r="E17" s="12">
        <v>0.1474</v>
      </c>
      <c r="F17" s="28">
        <f t="shared" si="2"/>
        <v>1261.7439999999999</v>
      </c>
      <c r="G17" s="2">
        <f>1261.744+86.256</f>
        <v>1348</v>
      </c>
      <c r="H17" s="28">
        <f t="shared" si="3"/>
        <v>-86.256000000000029</v>
      </c>
      <c r="I17" s="2">
        <v>208.15199999999999</v>
      </c>
      <c r="J17" s="9">
        <v>43363</v>
      </c>
      <c r="K17" s="2">
        <v>1448</v>
      </c>
      <c r="O17" s="66">
        <f>IF(C17&gt;VLOOKUP(A17,'4001950116'!$A$11:$N$200,3,FALSE),VLOOKUP(A17,'4001950116'!$A$11:$N$200,11,FALSE),VLOOKUP(A16,'4001950116'!$A$11:$N$200,11,FALSE))*E17</f>
        <v>1261.7439999999999</v>
      </c>
    </row>
    <row r="18" spans="1:15" x14ac:dyDescent="0.25">
      <c r="B18" s="9"/>
      <c r="C18" s="9"/>
      <c r="J18" s="9"/>
    </row>
    <row r="19" spans="1:15" x14ac:dyDescent="0.25">
      <c r="B19" s="9"/>
      <c r="C19" s="9"/>
      <c r="J19" s="9"/>
    </row>
    <row r="20" spans="1:15" x14ac:dyDescent="0.25">
      <c r="B20" s="9"/>
      <c r="C20" s="9"/>
      <c r="J20" s="9"/>
    </row>
    <row r="21" spans="1:15" x14ac:dyDescent="0.25">
      <c r="B21" s="9"/>
      <c r="C21" s="9"/>
      <c r="J21" s="9"/>
    </row>
    <row r="22" spans="1:15" x14ac:dyDescent="0.25">
      <c r="B22" s="9"/>
      <c r="C22" s="9"/>
      <c r="J22" s="9"/>
    </row>
    <row r="23" spans="1:15" x14ac:dyDescent="0.25">
      <c r="B23" s="9"/>
      <c r="C23" s="9"/>
      <c r="J23" s="9"/>
    </row>
    <row r="24" spans="1:15" x14ac:dyDescent="0.25">
      <c r="B24" s="9"/>
      <c r="C24" s="9"/>
      <c r="J24" s="9"/>
    </row>
    <row r="25" spans="1:15" x14ac:dyDescent="0.25">
      <c r="B25" s="9"/>
      <c r="C25" s="9"/>
      <c r="J25" s="9"/>
    </row>
    <row r="26" spans="1:15" x14ac:dyDescent="0.25">
      <c r="B26" s="9"/>
      <c r="C26" s="9"/>
      <c r="J26" s="9"/>
    </row>
    <row r="27" spans="1:15" x14ac:dyDescent="0.25">
      <c r="B27" s="9"/>
      <c r="C27" s="9"/>
      <c r="J27" s="9"/>
    </row>
    <row r="28" spans="1:15" x14ac:dyDescent="0.25">
      <c r="B28" s="9"/>
      <c r="C28" s="9"/>
      <c r="J28" s="9"/>
    </row>
    <row r="29" spans="1:15" x14ac:dyDescent="0.25">
      <c r="B29" s="9"/>
      <c r="C29" s="9"/>
      <c r="J29" s="9"/>
    </row>
    <row r="30" spans="1:15" x14ac:dyDescent="0.25">
      <c r="B30" s="9"/>
      <c r="C30" s="9"/>
      <c r="J30" s="9"/>
    </row>
    <row r="31" spans="1:15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4D9E-12A0-48AD-9916-EB2DB6E6E87B}">
  <sheetPr codeName="Planilha1">
    <pageSetUpPr fitToPage="1"/>
  </sheetPr>
  <dimension ref="A1:W61"/>
  <sheetViews>
    <sheetView showGridLines="0" tabSelected="1" zoomScaleNormal="100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N17" sqref="N17:N20"/>
    </sheetView>
  </sheetViews>
  <sheetFormatPr defaultColWidth="8.88671875" defaultRowHeight="12" x14ac:dyDescent="0.3"/>
  <cols>
    <col min="1" max="1" width="15.33203125" style="17" customWidth="1"/>
    <col min="2" max="2" width="31" style="17" customWidth="1"/>
    <col min="3" max="3" width="19.5546875" style="17" customWidth="1"/>
    <col min="4" max="4" width="13.6640625" style="17" customWidth="1"/>
    <col min="5" max="6" width="8.6640625" style="17" customWidth="1"/>
    <col min="7" max="7" width="12.33203125" style="17" customWidth="1"/>
    <col min="8" max="8" width="13.5546875" style="17" customWidth="1"/>
    <col min="9" max="9" width="10.33203125" style="17" customWidth="1"/>
    <col min="10" max="10" width="10.44140625" style="17" customWidth="1"/>
    <col min="11" max="11" width="13.44140625" style="17" customWidth="1"/>
    <col min="12" max="12" width="13.33203125" style="17" customWidth="1"/>
    <col min="13" max="13" width="9.6640625" style="17" customWidth="1"/>
    <col min="14" max="14" width="14.44140625" style="17" customWidth="1"/>
    <col min="15" max="15" width="13.33203125" style="17" customWidth="1"/>
    <col min="16" max="16" width="17.44140625" style="17" customWidth="1"/>
    <col min="17" max="17" width="13.33203125" style="17" customWidth="1"/>
    <col min="18" max="19" width="12.33203125" style="17" customWidth="1"/>
    <col min="20" max="20" width="14" style="17" customWidth="1"/>
    <col min="21" max="21" width="11.88671875" style="17" customWidth="1"/>
    <col min="22" max="22" width="39.44140625" style="17" customWidth="1"/>
    <col min="23" max="23" width="13.44140625" style="17" customWidth="1"/>
    <col min="24" max="16384" width="8.88671875" style="17"/>
  </cols>
  <sheetData>
    <row r="1" spans="1:23" ht="12" customHeight="1" x14ac:dyDescent="0.3">
      <c r="A1" s="109" t="s">
        <v>53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96"/>
    </row>
    <row r="2" spans="1:23" ht="12" customHeigh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96"/>
    </row>
    <row r="3" spans="1:23" ht="12" customHeight="1" x14ac:dyDescent="0.3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96"/>
    </row>
    <row r="4" spans="1:23" ht="12" customHeight="1" x14ac:dyDescent="0.3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96"/>
      <c r="T4" s="17">
        <f>22.16+67.29</f>
        <v>89.45</v>
      </c>
    </row>
    <row r="5" spans="1:23" ht="12" customHeight="1" x14ac:dyDescent="0.3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96"/>
    </row>
    <row r="8" spans="1:23" x14ac:dyDescent="0.3">
      <c r="B8" s="17" t="s">
        <v>54</v>
      </c>
      <c r="D8" s="19">
        <v>43119</v>
      </c>
      <c r="P8" s="17">
        <f ca="1">SUM(P16:P24,P26:P32)</f>
        <v>114005.22000000002</v>
      </c>
      <c r="Q8" s="71"/>
    </row>
    <row r="9" spans="1:23" x14ac:dyDescent="0.3">
      <c r="B9" s="17" t="s">
        <v>55</v>
      </c>
      <c r="D9" s="17">
        <f>COUNTA(A16:A211)</f>
        <v>46</v>
      </c>
    </row>
    <row r="10" spans="1:23" hidden="1" x14ac:dyDescent="0.3"/>
    <row r="11" spans="1:23" hidden="1" x14ac:dyDescent="0.3"/>
    <row r="12" spans="1:23" hidden="1" x14ac:dyDescent="0.3"/>
    <row r="13" spans="1:23" hidden="1" x14ac:dyDescent="0.3"/>
    <row r="14" spans="1:23" x14ac:dyDescent="0.3">
      <c r="J14" s="22"/>
    </row>
    <row r="15" spans="1:23" s="6" customFormat="1" ht="41.4" x14ac:dyDescent="0.3">
      <c r="A15" s="6" t="s">
        <v>6</v>
      </c>
      <c r="B15" s="6" t="s">
        <v>4</v>
      </c>
      <c r="C15" s="6" t="s">
        <v>5</v>
      </c>
      <c r="D15" s="6" t="s">
        <v>7</v>
      </c>
      <c r="E15" s="6" t="s">
        <v>16</v>
      </c>
      <c r="F15" s="6" t="s">
        <v>8</v>
      </c>
      <c r="G15" s="6" t="s">
        <v>9</v>
      </c>
      <c r="H15" s="6" t="s">
        <v>10</v>
      </c>
      <c r="I15" s="6" t="s">
        <v>1</v>
      </c>
      <c r="J15" s="6" t="s">
        <v>19</v>
      </c>
      <c r="K15" s="6" t="s">
        <v>20</v>
      </c>
      <c r="L15" s="6" t="s">
        <v>21</v>
      </c>
      <c r="M15" s="6" t="s">
        <v>0</v>
      </c>
      <c r="N15" s="6" t="s">
        <v>14</v>
      </c>
      <c r="O15" s="6" t="s">
        <v>17</v>
      </c>
      <c r="P15" s="63" t="s">
        <v>22</v>
      </c>
      <c r="Q15" s="6" t="s">
        <v>75</v>
      </c>
      <c r="R15" s="6" t="s">
        <v>23</v>
      </c>
      <c r="S15" s="6" t="s">
        <v>65</v>
      </c>
      <c r="T15" s="6" t="s">
        <v>67</v>
      </c>
      <c r="U15" s="6" t="s">
        <v>66</v>
      </c>
      <c r="V15" s="6" t="s">
        <v>73</v>
      </c>
      <c r="W15" s="6" t="s">
        <v>104</v>
      </c>
    </row>
    <row r="16" spans="1:23" ht="36" x14ac:dyDescent="0.25">
      <c r="A16" s="17">
        <v>4000016164</v>
      </c>
      <c r="B16" s="17" t="str">
        <f ca="1">INDIRECT(A16&amp;"!b1")</f>
        <v>Enilda Cesar e Silva</v>
      </c>
      <c r="C16" s="17" t="str">
        <f ca="1">INDIRECT(A16&amp;"!b2")</f>
        <v>093.015.028-79</v>
      </c>
      <c r="D16" s="19">
        <f ca="1">INDIRECT(A16&amp;"!b4")</f>
        <v>43117</v>
      </c>
      <c r="E16" s="17">
        <v>1</v>
      </c>
      <c r="F16" s="23">
        <f ca="1">INDIRECT(A16&amp;"!a8")</f>
        <v>43282</v>
      </c>
      <c r="G16" s="24">
        <f ca="1">INDIRECT(A16&amp;"!b8")</f>
        <v>43273</v>
      </c>
      <c r="H16" s="24">
        <f ca="1">INDIRECT(A16&amp;"!c8")</f>
        <v>43305</v>
      </c>
      <c r="I16" s="25">
        <f ca="1">INDIRECT(A16&amp;"!d8")</f>
        <v>300</v>
      </c>
      <c r="J16" s="26">
        <f ca="1">INDIRECT(A16&amp;"!e8")</f>
        <v>3.1399999999999997E-2</v>
      </c>
      <c r="K16" s="25">
        <f ca="1">INDIRECT(A16&amp;"!f8")</f>
        <v>310.23199999999997</v>
      </c>
      <c r="L16" s="25">
        <f ca="1">INDIRECT(A16&amp;"!g8")</f>
        <v>290</v>
      </c>
      <c r="M16" s="25">
        <f ca="1">INDIRECT(A16&amp;"!i8")</f>
        <v>28.248000000000001</v>
      </c>
      <c r="N16" s="24">
        <f ca="1">INDIRECT(A16&amp;"!j8")</f>
        <v>43334</v>
      </c>
      <c r="O16" s="17">
        <f ca="1">E16*I16</f>
        <v>300</v>
      </c>
      <c r="P16" s="64">
        <f ca="1">INDIRECT(A16&amp;"!b5")</f>
        <v>2622.748</v>
      </c>
      <c r="Q16" s="17">
        <f ca="1">INDIRECT(A16&amp;"!f7")</f>
        <v>8</v>
      </c>
      <c r="R16" s="17">
        <f ca="1">P16-O16</f>
        <v>2322.748</v>
      </c>
      <c r="S16" s="17">
        <f ca="1">INDIRECT(A16&amp;"!k8")</f>
        <v>290</v>
      </c>
      <c r="T16" s="33">
        <f ca="1">1-ABS((INDIRECT(A16&amp;"!l8")-INDIRECT(A16&amp;"!k8"))/INDIRECT(A16&amp;"!k8"))</f>
        <v>0.90634482758620472</v>
      </c>
      <c r="U16" s="17">
        <f ca="1">INDIRECT(A16&amp;"!m8")</f>
        <v>0</v>
      </c>
      <c r="V16" s="19">
        <f ca="1">INDIRECT(A16&amp;"!n8")</f>
        <v>43238</v>
      </c>
      <c r="W16" s="60">
        <f ca="1">INDIRECT(A16&amp;"!b6")</f>
        <v>522.74800000000005</v>
      </c>
    </row>
    <row r="17" spans="1:23" ht="24" x14ac:dyDescent="0.25">
      <c r="A17" s="17">
        <v>2021510989</v>
      </c>
      <c r="B17" s="17" t="str">
        <f ca="1">INDIRECT(A17&amp;"!b1")</f>
        <v>Aline Faure Cabreira</v>
      </c>
      <c r="C17" s="17" t="str">
        <f ca="1">INDIRECT(A17&amp;"!b2")</f>
        <v>095.252.356-61</v>
      </c>
      <c r="D17" s="19">
        <f ca="1">INDIRECT(A17&amp;"!b4")</f>
        <v>43108</v>
      </c>
      <c r="E17" s="17">
        <v>1</v>
      </c>
      <c r="F17" s="23">
        <f ca="1">INDIRECT(A17&amp;"!a8")</f>
        <v>43313</v>
      </c>
      <c r="G17" s="24">
        <f ca="1">INDIRECT(A17&amp;"!b8")</f>
        <v>43293</v>
      </c>
      <c r="H17" s="24">
        <f ca="1">INDIRECT(A17&amp;"!c8")</f>
        <v>43322</v>
      </c>
      <c r="I17" s="25">
        <f ca="1">INDIRECT(A17&amp;"!d8")</f>
        <v>50</v>
      </c>
      <c r="J17" s="26">
        <f ca="1">INDIRECT(A17&amp;"!e8")</f>
        <v>5.3E-3</v>
      </c>
      <c r="K17" s="25">
        <f ca="1">INDIRECT(A17&amp;"!f8")</f>
        <v>51.375999999999998</v>
      </c>
      <c r="L17" s="25">
        <f ca="1">INDIRECT(A17&amp;"!g8")</f>
        <v>51.375999999999998</v>
      </c>
      <c r="M17" s="25">
        <f ca="1">INDIRECT(A17&amp;"!i8")</f>
        <v>0</v>
      </c>
      <c r="N17" s="24">
        <f ca="1">INDIRECT(A17&amp;"!j8")</f>
        <v>43355</v>
      </c>
      <c r="O17" s="17">
        <f ca="1">E17*I17</f>
        <v>50</v>
      </c>
      <c r="P17" s="64">
        <f ca="1">INDIRECT(A17&amp;"!b5")</f>
        <v>439.84399999999999</v>
      </c>
      <c r="Q17" s="17">
        <f ca="1">INDIRECT(A17&amp;"!f7")</f>
        <v>9</v>
      </c>
      <c r="R17" s="17">
        <f ca="1">P17-O17</f>
        <v>389.84399999999999</v>
      </c>
      <c r="S17" s="17">
        <f ca="1">INDIRECT(A17&amp;"!k8")</f>
        <v>142</v>
      </c>
      <c r="T17" s="33">
        <f ca="1">1-ABS((INDIRECT(A17&amp;"!l8")-INDIRECT(A17&amp;"!k8"))/INDIRECT(A17&amp;"!k8"))</f>
        <v>0.40049295774647886</v>
      </c>
      <c r="U17" s="17">
        <f ca="1">INDIRECT(A17&amp;"!m8")</f>
        <v>401</v>
      </c>
      <c r="V17" s="19">
        <f ca="1">INDIRECT(A17&amp;"!n8")</f>
        <v>43259</v>
      </c>
      <c r="W17" s="60">
        <f ca="1">INDIRECT(A17&amp;"!b6")</f>
        <v>39.843999999999994</v>
      </c>
    </row>
    <row r="18" spans="1:23" x14ac:dyDescent="0.25">
      <c r="A18" s="17">
        <v>2076499308</v>
      </c>
      <c r="B18" s="17" t="str">
        <f ca="1">INDIRECT(A18&amp;"!b1")</f>
        <v>Adilson Bronze</v>
      </c>
      <c r="C18" s="17" t="str">
        <f ca="1">INDIRECT(A18&amp;"!b2")</f>
        <v>112.832.238-21</v>
      </c>
      <c r="D18" s="19">
        <f ca="1">INDIRECT(A18&amp;"!b4")</f>
        <v>43071</v>
      </c>
      <c r="E18" s="17">
        <v>2</v>
      </c>
      <c r="F18" s="23">
        <f ca="1">INDIRECT(A18&amp;"!a8")</f>
        <v>43313</v>
      </c>
      <c r="G18" s="24">
        <f ca="1">INDIRECT(A18&amp;"!b8")</f>
        <v>43297</v>
      </c>
      <c r="H18" s="24">
        <f ca="1">INDIRECT(A18&amp;"!c8")</f>
        <v>43326</v>
      </c>
      <c r="I18" s="25">
        <f ca="1">INDIRECT(A18&amp;"!d8")</f>
        <v>50</v>
      </c>
      <c r="J18" s="26">
        <f ca="1">INDIRECT(A18&amp;"!e8")</f>
        <v>5.3E-3</v>
      </c>
      <c r="K18" s="25">
        <f ca="1">INDIRECT(A18&amp;"!f8")</f>
        <v>51.375999999999998</v>
      </c>
      <c r="L18" s="25">
        <f ca="1">INDIRECT(A18&amp;"!g8")</f>
        <v>51</v>
      </c>
      <c r="M18" s="25">
        <f ca="1">INDIRECT(A18&amp;"!i8")</f>
        <v>0.376</v>
      </c>
      <c r="N18" s="24">
        <f ca="1">INDIRECT(A18&amp;"!j8")</f>
        <v>43357</v>
      </c>
      <c r="O18" s="17">
        <f ca="1">E18*I18</f>
        <v>100</v>
      </c>
      <c r="P18" s="64">
        <f ca="1">INDIRECT(A18&amp;"!b5")</f>
        <v>469.24399999999997</v>
      </c>
      <c r="Q18" s="17">
        <f ca="1">INDIRECT(A18&amp;"!f7")</f>
        <v>8</v>
      </c>
      <c r="R18" s="17">
        <f ca="1">P18-O18</f>
        <v>369.24399999999997</v>
      </c>
      <c r="S18" s="17">
        <f ca="1">INDIRECT(A18&amp;"!k8")</f>
        <v>81</v>
      </c>
      <c r="T18" s="33">
        <f ca="1">1-ABS((INDIRECT(A18&amp;"!l8")-INDIRECT(A18&amp;"!k8"))/INDIRECT(A18&amp;"!k8"))</f>
        <v>0</v>
      </c>
      <c r="U18" s="17">
        <f ca="1">INDIRECT(A18&amp;"!m8")</f>
        <v>0</v>
      </c>
      <c r="V18" s="19">
        <f ca="1">INDIRECT(A18&amp;"!n8")</f>
        <v>43253</v>
      </c>
      <c r="W18" s="60">
        <f ca="1">INDIRECT(A18&amp;"!b6")</f>
        <v>69.243999999999971</v>
      </c>
    </row>
    <row r="19" spans="1:23" x14ac:dyDescent="0.25">
      <c r="A19" s="17">
        <v>2094430918</v>
      </c>
      <c r="B19" s="17" t="str">
        <f ca="1">INDIRECT(A19&amp;"!b1")</f>
        <v>Aurea Maria Daniela Hidalgo Goncalez Franco De Carvalho</v>
      </c>
      <c r="C19" s="17" t="str">
        <f ca="1">INDIRECT(A19&amp;"!b2")</f>
        <v>035.126.466-38</v>
      </c>
      <c r="D19" s="19">
        <f ca="1">INDIRECT(A19&amp;"!b4")</f>
        <v>43117</v>
      </c>
      <c r="E19" s="17">
        <f ca="1">IF((YEAR($D$8)-YEAR(D19))*12+MONTH($D$8)-MONTH(D19)&lt;0,0,(YEAR($D$8)-YEAR(D19))*12+MONTH($D$8)-MONTH(D19))</f>
        <v>0</v>
      </c>
      <c r="F19" s="23">
        <f ca="1">INDIRECT(A19&amp;"!a8")</f>
        <v>43313</v>
      </c>
      <c r="G19" s="24">
        <f ca="1">INDIRECT(A19&amp;"!b8")</f>
        <v>43297</v>
      </c>
      <c r="H19" s="24">
        <f ca="1">INDIRECT(A19&amp;"!c8")</f>
        <v>43326</v>
      </c>
      <c r="I19" s="25">
        <f ca="1">INDIRECT(A19&amp;"!d8")</f>
        <v>150</v>
      </c>
      <c r="J19" s="26">
        <f ca="1">INDIRECT(A19&amp;"!e8")</f>
        <v>1.5699999999999999E-2</v>
      </c>
      <c r="K19" s="25">
        <f ca="1">INDIRECT(A19&amp;"!f8")</f>
        <v>155.11600000000001</v>
      </c>
      <c r="L19" s="25">
        <f ca="1">INDIRECT(A19&amp;"!g8")</f>
        <v>155.11600000000001</v>
      </c>
      <c r="M19" s="25">
        <f ca="1">INDIRECT(A19&amp;"!i8")</f>
        <v>0</v>
      </c>
      <c r="N19" s="24">
        <f ca="1">INDIRECT(A19&amp;"!j8")</f>
        <v>43357</v>
      </c>
      <c r="P19" s="64">
        <f ca="1">INDIRECT(A19&amp;"!b5")</f>
        <v>1314.104</v>
      </c>
      <c r="Q19" s="17">
        <f ca="1">INDIRECT(A19&amp;"!f7")</f>
        <v>8</v>
      </c>
      <c r="R19" s="17">
        <f ca="1">P19-O19</f>
        <v>1314.104</v>
      </c>
      <c r="S19" s="17">
        <f ca="1">INDIRECT(A19&amp;"!k8")</f>
        <v>265</v>
      </c>
      <c r="T19" s="33">
        <f ca="1">1-ABS((INDIRECT(A19&amp;"!l8")-INDIRECT(A19&amp;"!k8"))/INDIRECT(A19&amp;"!k8"))</f>
        <v>0.89777358490566128</v>
      </c>
      <c r="U19" s="17">
        <f ca="1">INDIRECT(A19&amp;"!m8")</f>
        <v>1</v>
      </c>
      <c r="V19" s="19">
        <f ca="1">INDIRECT(A19&amp;"!n8")</f>
        <v>43238</v>
      </c>
      <c r="W19" s="60">
        <f ca="1">INDIRECT(A19&amp;"!b6")</f>
        <v>264.10400000000004</v>
      </c>
    </row>
    <row r="20" spans="1:23" ht="24" x14ac:dyDescent="0.25">
      <c r="A20" s="17">
        <v>2021874891</v>
      </c>
      <c r="B20" s="17" t="str">
        <f ca="1">INDIRECT(A20&amp;"!b1")</f>
        <v>Umberto Venturini Filho</v>
      </c>
      <c r="C20" s="17" t="str">
        <f ca="1">INDIRECT(A20&amp;"!b2")</f>
        <v>080.572.628-42</v>
      </c>
      <c r="D20" s="19">
        <f ca="1">INDIRECT(A20&amp;"!b4")</f>
        <v>43120</v>
      </c>
      <c r="E20" s="17">
        <f ca="1">IF((YEAR($D$8)-YEAR(D20))*12+MONTH($D$8)-MONTH(D20)&lt;0,0,(YEAR($D$8)-YEAR(D20))*12+MONTH($D$8)-MONTH(D20))</f>
        <v>0</v>
      </c>
      <c r="F20" s="23">
        <f ca="1">INDIRECT(A20&amp;"!a8")</f>
        <v>43313</v>
      </c>
      <c r="G20" s="24">
        <f ca="1">INDIRECT(A20&amp;"!b8")</f>
        <v>43297</v>
      </c>
      <c r="H20" s="24">
        <f ca="1">INDIRECT(A20&amp;"!c8")</f>
        <v>43326</v>
      </c>
      <c r="I20" s="25">
        <f ca="1">INDIRECT(A20&amp;"!d8")</f>
        <v>450</v>
      </c>
      <c r="J20" s="26">
        <f ca="1">INDIRECT(A20&amp;"!e8")</f>
        <v>4.7100000000000003E-2</v>
      </c>
      <c r="K20" s="25">
        <f ca="1">INDIRECT(A20&amp;"!f8")</f>
        <v>465.34800000000001</v>
      </c>
      <c r="L20" s="25">
        <f ca="1">INDIRECT(A20&amp;"!g8")</f>
        <v>415</v>
      </c>
      <c r="M20" s="25">
        <f ca="1">INDIRECT(A20&amp;"!i8")</f>
        <v>195.55600000000001</v>
      </c>
      <c r="N20" s="24">
        <f ca="1">INDIRECT(A20&amp;"!j8")</f>
        <v>43357</v>
      </c>
      <c r="O20" s="17">
        <f ca="1">E20*I20</f>
        <v>0</v>
      </c>
      <c r="P20" s="64">
        <f ca="1">INDIRECT(A20&amp;"!b5")</f>
        <v>3936.8519999999999</v>
      </c>
      <c r="Q20" s="17">
        <f ca="1">INDIRECT(A20&amp;"!f7")</f>
        <v>8</v>
      </c>
      <c r="R20" s="17">
        <f ca="1">P20-O20</f>
        <v>3936.8519999999999</v>
      </c>
      <c r="S20" s="17">
        <f ca="1">INDIRECT(A20&amp;"!k8")</f>
        <v>515</v>
      </c>
      <c r="T20" s="33">
        <f ca="1">1-ABS((INDIRECT(A20&amp;"!l8")-INDIRECT(A20&amp;"!k8"))/INDIRECT(A20&amp;"!k8"))</f>
        <v>0.92978640776699062</v>
      </c>
      <c r="U20" s="17">
        <f ca="1">INDIRECT(A20&amp;"!m8")</f>
        <v>330</v>
      </c>
      <c r="V20" s="19">
        <f ca="1">INDIRECT(A20&amp;"!n8")</f>
        <v>43241</v>
      </c>
      <c r="W20" s="60">
        <f ca="1">INDIRECT(A20&amp;"!b6")</f>
        <v>786.85199999999986</v>
      </c>
    </row>
    <row r="21" spans="1:23" ht="36" x14ac:dyDescent="0.25">
      <c r="A21" s="41">
        <v>4001950116</v>
      </c>
      <c r="B21" s="41" t="str">
        <f ca="1">INDIRECT(A21&amp;"!b1")</f>
        <v>COMPARTSOL COOPERATIVA DE GERACAO COMPARTILHADA</v>
      </c>
      <c r="C21" s="42" t="str">
        <f ca="1">INDIRECT(A21&amp;"!b2")</f>
        <v>28.470.676/0001-68</v>
      </c>
      <c r="D21" s="43">
        <f ca="1">INDIRECT(A21&amp;"!b4")</f>
        <v>0</v>
      </c>
      <c r="E21" s="41">
        <f ca="1">IF((YEAR($D$8)-YEAR(D21))*12+MONTH($D$8)-MONTH(D21)&lt;0,0,(YEAR($D$8)-YEAR(D21))*12+MONTH($D$8)-MONTH(D21))</f>
        <v>1416</v>
      </c>
      <c r="F21" s="44">
        <f ca="1">INDIRECT(A21&amp;"!a8")</f>
        <v>43313</v>
      </c>
      <c r="G21" s="45">
        <f ca="1">INDIRECT(A21&amp;"!b8")</f>
        <v>43299</v>
      </c>
      <c r="H21" s="45">
        <f ca="1">INDIRECT(A21&amp;"!c8")</f>
        <v>43328</v>
      </c>
      <c r="I21" s="46" t="str">
        <f ca="1">INDIRECT(A21&amp;"!d8")</f>
        <v>na</v>
      </c>
      <c r="J21" s="47" t="str">
        <f ca="1">INDIRECT(A21&amp;"!e8")</f>
        <v>na</v>
      </c>
      <c r="K21" s="46" t="str">
        <f ca="1">INDIRECT(A21&amp;"!f8")</f>
        <v>na</v>
      </c>
      <c r="L21" s="46" t="str">
        <f ca="1">INDIRECT(A21&amp;"!g8")</f>
        <v>na</v>
      </c>
      <c r="M21" s="46" t="str">
        <f ca="1">INDIRECT(A21&amp;"!i8")</f>
        <v>na</v>
      </c>
      <c r="N21" s="45">
        <f ca="1">INDIRECT(A21&amp;"!j8")</f>
        <v>43361</v>
      </c>
      <c r="O21" s="41"/>
      <c r="P21" s="64">
        <f ca="1">INDIRECT(A21&amp;"!b5")</f>
        <v>85760</v>
      </c>
      <c r="Q21" s="42">
        <f ca="1">INDIRECT(A21&amp;"!f7")</f>
        <v>0</v>
      </c>
      <c r="R21" s="41">
        <f ca="1">P21-O21</f>
        <v>85760</v>
      </c>
      <c r="S21" s="41">
        <f ca="1">INDIRECT(A21&amp;"!k8")</f>
        <v>8560</v>
      </c>
      <c r="T21" s="48"/>
      <c r="U21" s="42" t="str">
        <f ca="1">INDIRECT(A21&amp;"!m8")</f>
        <v>na</v>
      </c>
      <c r="V21" s="43" t="str">
        <f ca="1">INDIRECT(A21&amp;"!n8")</f>
        <v>na</v>
      </c>
      <c r="W21" s="60">
        <f ca="1">INDIRECT(A21&amp;"!b6")</f>
        <v>0</v>
      </c>
    </row>
    <row r="22" spans="1:23" ht="24" customHeight="1" x14ac:dyDescent="0.25">
      <c r="A22" s="17">
        <v>2096000791</v>
      </c>
      <c r="B22" s="17" t="str">
        <f ca="1">INDIRECT(A22&amp;"!b1")</f>
        <v>Mario Augusto Lima e Silva</v>
      </c>
      <c r="C22" s="17" t="str">
        <f ca="1">INDIRECT(A22&amp;"!b2")</f>
        <v>013.904.528-75</v>
      </c>
      <c r="D22" s="19">
        <f ca="1">INDIRECT(A22&amp;"!b4")</f>
        <v>43057</v>
      </c>
      <c r="E22" s="17">
        <v>3</v>
      </c>
      <c r="F22" s="23">
        <f ca="1">INDIRECT(A22&amp;"!a8")</f>
        <v>43313</v>
      </c>
      <c r="G22" s="24">
        <f ca="1">INDIRECT(A22&amp;"!b8")</f>
        <v>43299</v>
      </c>
      <c r="H22" s="24">
        <f ca="1">INDIRECT(A22&amp;"!c8")</f>
        <v>43328</v>
      </c>
      <c r="I22" s="25">
        <f ca="1">INDIRECT(A22&amp;"!d8")</f>
        <v>300</v>
      </c>
      <c r="J22" s="26">
        <f ca="1">INDIRECT(A22&amp;"!e8")</f>
        <v>0</v>
      </c>
      <c r="K22" s="25">
        <f ca="1">INDIRECT(A22&amp;"!f8")</f>
        <v>0</v>
      </c>
      <c r="L22" s="25">
        <f ca="1">INDIRECT(A22&amp;"!g8")</f>
        <v>0</v>
      </c>
      <c r="M22" s="25">
        <f ca="1">INDIRECT(A22&amp;"!i8")</f>
        <v>0</v>
      </c>
      <c r="N22" s="24">
        <f ca="1">INDIRECT(A22&amp;"!j8")</f>
        <v>43361</v>
      </c>
      <c r="O22" s="17">
        <f ca="1">E22*I22</f>
        <v>900</v>
      </c>
      <c r="P22" s="64">
        <f ca="1">INDIRECT(A22&amp;"!b5")</f>
        <v>3994.1800000000003</v>
      </c>
      <c r="Q22" s="17">
        <f ca="1">INDIRECT(A22&amp;"!f7")</f>
        <v>7</v>
      </c>
      <c r="R22" s="17">
        <f ca="1">P22-O22</f>
        <v>3094.1800000000003</v>
      </c>
      <c r="S22" s="17">
        <f ca="1">INDIRECT(A22&amp;"!k8")</f>
        <v>1007</v>
      </c>
      <c r="T22" s="33">
        <f ca="1">1-ABS((INDIRECT(A22&amp;"!l8")-INDIRECT(A22&amp;"!k8"))/INDIRECT(A22&amp;"!k8"))</f>
        <v>0.35352532274081383</v>
      </c>
      <c r="U22" s="17">
        <f ca="1">INDIRECT(A22&amp;"!m8")</f>
        <v>375</v>
      </c>
      <c r="V22" s="19">
        <f ca="1">INDIRECT(A22&amp;"!n8")</f>
        <v>43230</v>
      </c>
      <c r="W22" s="60">
        <f ca="1">INDIRECT(A22&amp;"!b6")</f>
        <v>-405.81999999999971</v>
      </c>
    </row>
    <row r="23" spans="1:23" ht="24" x14ac:dyDescent="0.25">
      <c r="A23" s="17">
        <v>4000322911</v>
      </c>
      <c r="B23" s="17" t="str">
        <f ca="1">INDIRECT(A23&amp;"!b1")</f>
        <v>RODRIGO MARIANO FAGUNDES DA SILVA</v>
      </c>
      <c r="C23" s="39" t="str">
        <f ca="1">INDIRECT(A23&amp;"!b2")</f>
        <v>218.696.618-26</v>
      </c>
      <c r="D23" s="19">
        <f ca="1">INDIRECT(A23&amp;"!b4")</f>
        <v>43344</v>
      </c>
      <c r="E23" s="17">
        <f ca="1">IF((YEAR($D$8)-YEAR(D23))*12+MONTH($D$8)-MONTH(D23)&lt;0,0,(YEAR($D$8)-YEAR(D23))*12+MONTH($D$8)-MONTH(D23))</f>
        <v>0</v>
      </c>
      <c r="F23" s="23">
        <f ca="1">INDIRECT(A23&amp;"!a8")</f>
        <v>43313</v>
      </c>
      <c r="G23" s="24">
        <f ca="1">INDIRECT(A23&amp;"!b8")</f>
        <v>43299</v>
      </c>
      <c r="H23" s="24">
        <f ca="1">INDIRECT(A23&amp;"!c8")</f>
        <v>43328</v>
      </c>
      <c r="I23" s="25">
        <f ca="1">INDIRECT(A23&amp;"!d8")</f>
        <v>200</v>
      </c>
      <c r="J23" s="26">
        <f ca="1">INDIRECT(A23&amp;"!e8")</f>
        <v>2.1100000000000001E-2</v>
      </c>
      <c r="K23" s="25">
        <f ca="1">INDIRECT(A23&amp;"!f8")</f>
        <v>0</v>
      </c>
      <c r="L23" s="25">
        <f ca="1">INDIRECT(A23&amp;"!g8")</f>
        <v>0</v>
      </c>
      <c r="M23" s="25">
        <f ca="1">INDIRECT(A23&amp;"!i8")</f>
        <v>0</v>
      </c>
      <c r="N23" s="24">
        <f ca="1">INDIRECT(A23&amp;"!j8")</f>
        <v>43361</v>
      </c>
      <c r="O23" s="17">
        <f ca="1">E23*I23</f>
        <v>0</v>
      </c>
      <c r="P23" s="64">
        <f ca="1">INDIRECT(A23&amp;"!b5")</f>
        <v>0</v>
      </c>
      <c r="Q23" s="39">
        <f ca="1">INDIRECT(A23&amp;"!f7")</f>
        <v>0</v>
      </c>
      <c r="R23" s="17">
        <f ca="1">P23-O23</f>
        <v>0</v>
      </c>
      <c r="S23" s="39">
        <f ca="1">INDIRECT(A23&amp;"!k8")</f>
        <v>156</v>
      </c>
      <c r="T23" s="97" t="e">
        <f ca="1">1-ABS((INDIRECT(A23&amp;"!l8")-INDIRECT(A23&amp;"!k8"))/INDIRECT(A23&amp;"!k8"))</f>
        <v>#VALUE!</v>
      </c>
      <c r="U23" s="39" t="str">
        <f ca="1">INDIRECT(A23&amp;"!m8")</f>
        <v>horas faltantes Efergy</v>
      </c>
      <c r="V23" s="19" t="str">
        <f ca="1">INDIRECT(A23&amp;"!n8")</f>
        <v>Liberação pag seguro</v>
      </c>
      <c r="W23" s="19">
        <f ca="1">INDIRECT(A23&amp;"!b6")</f>
        <v>0</v>
      </c>
    </row>
    <row r="24" spans="1:23" ht="12" customHeight="1" x14ac:dyDescent="0.3">
      <c r="A24" s="17">
        <v>2081906269</v>
      </c>
      <c r="B24" s="17" t="str">
        <f ca="1">INDIRECT(A24&amp;"!b1")</f>
        <v>ERICA CAROLINE MARTINHO ORTIZ</v>
      </c>
      <c r="C24" s="39" t="str">
        <f ca="1">INDIRECT(A24&amp;"!b2")</f>
        <v>339.975.758-19</v>
      </c>
      <c r="D24" s="19">
        <f ca="1">INDIRECT(A24&amp;"!b4")</f>
        <v>43344</v>
      </c>
      <c r="E24" s="17">
        <f ca="1">IF((YEAR($D$8)-YEAR(D24))*12+MONTH($D$8)-MONTH(D24)&lt;0,0,(YEAR($D$8)-YEAR(D24))*12+MONTH($D$8)-MONTH(D24))</f>
        <v>0</v>
      </c>
      <c r="F24" s="100">
        <f ca="1">INDIRECT(A24&amp;"!a8")</f>
        <v>43313</v>
      </c>
      <c r="G24" s="19">
        <f ca="1">INDIRECT(A24&amp;"!b8")</f>
        <v>43300</v>
      </c>
      <c r="H24" s="19">
        <f ca="1">INDIRECT(A24&amp;"!c8")</f>
        <v>43329</v>
      </c>
      <c r="I24" s="17">
        <f ca="1">INDIRECT(A24&amp;"!d8")</f>
        <v>150</v>
      </c>
      <c r="J24" s="101">
        <f ca="1">INDIRECT(A24&amp;"!e8")</f>
        <v>1.5800000000000002E-2</v>
      </c>
      <c r="K24" s="17">
        <f ca="1">INDIRECT(A24&amp;"!f8")</f>
        <v>135.24799999999999</v>
      </c>
      <c r="L24" s="17">
        <f ca="1">INDIRECT(A24&amp;"!g8")</f>
        <v>135.24799999999999</v>
      </c>
      <c r="M24" s="17">
        <f ca="1">INDIRECT(A24&amp;"!i8")</f>
        <v>0</v>
      </c>
      <c r="N24" s="19">
        <f ca="1">INDIRECT(A24&amp;"!j8")</f>
        <v>43362</v>
      </c>
      <c r="O24" s="17">
        <f ca="1">E24*I24</f>
        <v>0</v>
      </c>
      <c r="P24" s="64">
        <f ca="1">INDIRECT(A24&amp;"!b5")</f>
        <v>135.24799999999999</v>
      </c>
      <c r="Q24" s="39">
        <f ca="1">INDIRECT(A24&amp;"!f7")</f>
        <v>1</v>
      </c>
      <c r="R24" s="17">
        <f ca="1">P24-O24</f>
        <v>135.24799999999999</v>
      </c>
      <c r="S24" s="39">
        <f ca="1">INDIRECT(A24&amp;"!k8")</f>
        <v>239</v>
      </c>
      <c r="T24" s="97" t="e">
        <f ca="1">1-ABS((INDIRECT(A24&amp;"!l8")-INDIRECT(A24&amp;"!k8"))/INDIRECT(A24&amp;"!k8"))</f>
        <v>#VALUE!</v>
      </c>
      <c r="U24" s="39" t="str">
        <f ca="1">INDIRECT(A24&amp;"!m8")</f>
        <v>horas faltantes Efergy</v>
      </c>
      <c r="V24" s="19" t="str">
        <f ca="1">INDIRECT(A24&amp;"!n8")</f>
        <v>Liberação pag seguro</v>
      </c>
      <c r="W24" s="19">
        <f ca="1">INDIRECT(A24&amp;"!b6")</f>
        <v>135.24799999999999</v>
      </c>
    </row>
    <row r="25" spans="1:23" ht="24" x14ac:dyDescent="0.25">
      <c r="A25" s="17">
        <v>4001739070</v>
      </c>
      <c r="B25" s="17" t="str">
        <f ca="1">INDIRECT(A25&amp;"!b1")</f>
        <v>LUIZ FERNANDO VIEIRA</v>
      </c>
      <c r="C25" s="39" t="str">
        <f ca="1">INDIRECT(A25&amp;"!b2")</f>
        <v>355.608.668-90</v>
      </c>
      <c r="D25" s="19">
        <f ca="1">INDIRECT(A25&amp;"!b4")</f>
        <v>43344</v>
      </c>
      <c r="E25" s="17">
        <f ca="1">IF((YEAR($D$8)-YEAR(D25))*12+MONTH($D$8)-MONTH(D25)&lt;0,0,(YEAR($D$8)-YEAR(D25))*12+MONTH($D$8)-MONTH(D25))</f>
        <v>0</v>
      </c>
      <c r="F25" s="23">
        <f ca="1">INDIRECT(A25&amp;"!a8")</f>
        <v>43313</v>
      </c>
      <c r="G25" s="19">
        <f ca="1">INDIRECT(A25&amp;"!b8")</f>
        <v>43300</v>
      </c>
      <c r="H25" s="24">
        <f ca="1">INDIRECT(A25&amp;"!c8")</f>
        <v>43329</v>
      </c>
      <c r="I25" s="25">
        <f ca="1">INDIRECT(A25&amp;"!d8")</f>
        <v>50</v>
      </c>
      <c r="J25" s="26">
        <f ca="1">INDIRECT(A25&amp;"!e8")</f>
        <v>5.3E-3</v>
      </c>
      <c r="K25" s="25">
        <f ca="1">INDIRECT(A25&amp;"!f8")</f>
        <v>0</v>
      </c>
      <c r="L25" s="25">
        <f ca="1">INDIRECT(A25&amp;"!g8")</f>
        <v>0</v>
      </c>
      <c r="M25" s="25">
        <f ca="1">INDIRECT(A25&amp;"!i8")</f>
        <v>0</v>
      </c>
      <c r="N25" s="24">
        <f ca="1">INDIRECT(A25&amp;"!j8")</f>
        <v>43362</v>
      </c>
      <c r="O25" s="17">
        <f ca="1">E25*I25</f>
        <v>0</v>
      </c>
      <c r="P25" s="64">
        <f ca="1">INDIRECT(A25&amp;"!b5")</f>
        <v>0</v>
      </c>
      <c r="Q25" s="39">
        <f ca="1">INDIRECT(A25&amp;"!f7")</f>
        <v>0</v>
      </c>
      <c r="R25" s="17">
        <f ca="1">P25-O25</f>
        <v>0</v>
      </c>
      <c r="S25" s="39">
        <f ca="1">INDIRECT(A25&amp;"!k8")</f>
        <v>107</v>
      </c>
      <c r="T25" s="97" t="e">
        <f ca="1">1-ABS((INDIRECT(A25&amp;"!l8")-INDIRECT(A25&amp;"!k8"))/INDIRECT(A25&amp;"!k8"))</f>
        <v>#VALUE!</v>
      </c>
      <c r="U25" s="39" t="str">
        <f ca="1">INDIRECT(A25&amp;"!m8")</f>
        <v>horas faltantes Efergy</v>
      </c>
      <c r="V25" s="19" t="str">
        <f ca="1">INDIRECT(A25&amp;"!n8")</f>
        <v>Liberação pag seguro</v>
      </c>
      <c r="W25" s="19">
        <f ca="1">INDIRECT(A25&amp;"!b6")</f>
        <v>0</v>
      </c>
    </row>
    <row r="26" spans="1:23" ht="36" x14ac:dyDescent="0.25">
      <c r="A26" s="17">
        <v>2082483477</v>
      </c>
      <c r="B26" s="17" t="str">
        <f ca="1">INDIRECT(A26&amp;"!b1")</f>
        <v>Arlindo Salgueiro</v>
      </c>
      <c r="C26" s="17" t="str">
        <f ca="1">INDIRECT(A26&amp;"!b2")</f>
        <v>016.802.938-34</v>
      </c>
      <c r="D26" s="19">
        <f ca="1">INDIRECT(A26&amp;"!b4")</f>
        <v>43111</v>
      </c>
      <c r="E26" s="17">
        <v>1</v>
      </c>
      <c r="F26" s="23">
        <f ca="1">INDIRECT(A26&amp;"!a8")</f>
        <v>43313</v>
      </c>
      <c r="G26" s="24">
        <f ca="1">INDIRECT(A26&amp;"!b8")</f>
        <v>43301</v>
      </c>
      <c r="H26" s="24">
        <f ca="1">INDIRECT(A26&amp;"!c8")</f>
        <v>43332</v>
      </c>
      <c r="I26" s="25">
        <f ca="1">INDIRECT(A26&amp;"!d8")</f>
        <v>150</v>
      </c>
      <c r="J26" s="26">
        <f ca="1">INDIRECT(A26&amp;"!e8")</f>
        <v>1.5699999999999999E-2</v>
      </c>
      <c r="K26" s="25">
        <f ca="1">INDIRECT(A26&amp;"!f8")</f>
        <v>135.24799999999999</v>
      </c>
      <c r="L26" s="25">
        <f ca="1">INDIRECT(A26&amp;"!g8")</f>
        <v>135.24799999999999</v>
      </c>
      <c r="M26" s="25">
        <f ca="1">INDIRECT(A26&amp;"!i8")</f>
        <v>0</v>
      </c>
      <c r="N26" s="24">
        <f ca="1">INDIRECT(A26&amp;"!j8")</f>
        <v>43363</v>
      </c>
      <c r="O26" s="17">
        <f ca="1">E26*I26</f>
        <v>150</v>
      </c>
      <c r="P26" s="64">
        <f ca="1">INDIRECT(A26&amp;"!b5")</f>
        <v>1706.1520000000003</v>
      </c>
      <c r="Q26" s="17">
        <f ca="1">INDIRECT(A26&amp;"!f7")</f>
        <v>10</v>
      </c>
      <c r="R26" s="17">
        <f ca="1">P26-O26</f>
        <v>1556.1520000000003</v>
      </c>
      <c r="S26" s="17">
        <f ca="1">INDIRECT(A26&amp;"!k8")</f>
        <v>229</v>
      </c>
      <c r="T26" s="33">
        <f ca="1">1-ABS((INDIRECT(A26&amp;"!l8")-INDIRECT(A26&amp;"!k8"))/INDIRECT(A26&amp;"!k8"))</f>
        <v>0.67017467248908247</v>
      </c>
      <c r="U26" s="17">
        <f ca="1">INDIRECT(A26&amp;"!m8")</f>
        <v>9</v>
      </c>
      <c r="V26" s="19">
        <f ca="1">INDIRECT(A26&amp;"!n8")</f>
        <v>43232</v>
      </c>
      <c r="W26" s="60">
        <f ca="1">INDIRECT(A26&amp;"!b6")</f>
        <v>506.15200000000027</v>
      </c>
    </row>
    <row r="27" spans="1:23" ht="36" x14ac:dyDescent="0.25">
      <c r="A27" s="17">
        <v>2095645349</v>
      </c>
      <c r="B27" s="17" t="str">
        <f ca="1">INDIRECT(A27&amp;"!b1")</f>
        <v>ERIC CARVALHO MOREIRA</v>
      </c>
      <c r="C27" s="39" t="str">
        <f ca="1">INDIRECT(A27&amp;"!b2")</f>
        <v>277.209.648-37</v>
      </c>
      <c r="D27" s="19">
        <f ca="1">INDIRECT(A27&amp;"!b4")</f>
        <v>43344</v>
      </c>
      <c r="E27" s="17">
        <f ca="1">IF((YEAR($D$8)-YEAR(D27))*12+MONTH($D$8)-MONTH(D27)&lt;0,0,(YEAR($D$8)-YEAR(D27))*12+MONTH($D$8)-MONTH(D27))</f>
        <v>0</v>
      </c>
      <c r="F27" s="23">
        <f ca="1">INDIRECT(A27&amp;"!a8")</f>
        <v>43313</v>
      </c>
      <c r="G27" s="24">
        <f ca="1">INDIRECT(A27&amp;"!b8")</f>
        <v>43301</v>
      </c>
      <c r="H27" s="24">
        <f ca="1">INDIRECT(A27&amp;"!c8")</f>
        <v>43332</v>
      </c>
      <c r="I27" s="25">
        <f ca="1">INDIRECT(A27&amp;"!d8")</f>
        <v>200</v>
      </c>
      <c r="J27" s="26">
        <f ca="1">INDIRECT(A27&amp;"!e8")</f>
        <v>2.1100000000000001E-2</v>
      </c>
      <c r="K27" s="25">
        <f ca="1">INDIRECT(A27&amp;"!f8")</f>
        <v>180.61600000000001</v>
      </c>
      <c r="L27" s="25">
        <f ca="1">INDIRECT(A27&amp;"!g8")</f>
        <v>180.61600000000001</v>
      </c>
      <c r="M27" s="25">
        <f ca="1">INDIRECT(A27&amp;"!i8")</f>
        <v>0</v>
      </c>
      <c r="N27" s="24">
        <f ca="1">INDIRECT(A27&amp;"!j8")</f>
        <v>43363</v>
      </c>
      <c r="O27" s="17">
        <f ca="1">E27*I27</f>
        <v>0</v>
      </c>
      <c r="P27" s="64">
        <f ca="1">INDIRECT(A27&amp;"!b5")</f>
        <v>180.61600000000001</v>
      </c>
      <c r="Q27" s="39">
        <f ca="1">INDIRECT(A27&amp;"!f7")</f>
        <v>1</v>
      </c>
      <c r="R27" s="17">
        <f ca="1">P27-O27</f>
        <v>180.61600000000001</v>
      </c>
      <c r="S27" s="39">
        <f ca="1">INDIRECT(A27&amp;"!k8")</f>
        <v>343</v>
      </c>
      <c r="T27" s="97" t="e">
        <f ca="1">1-ABS((INDIRECT(A27&amp;"!l8")-INDIRECT(A27&amp;"!k8"))/INDIRECT(A27&amp;"!k8"))</f>
        <v>#VALUE!</v>
      </c>
      <c r="U27" s="39" t="str">
        <f ca="1">INDIRECT(A27&amp;"!m8")</f>
        <v>horas faltantes Efergy</v>
      </c>
      <c r="V27" s="19" t="str">
        <f ca="1">INDIRECT(A27&amp;"!n8")</f>
        <v>Liberação pag seguro</v>
      </c>
      <c r="W27" s="19">
        <f ca="1">INDIRECT(A27&amp;"!b6")</f>
        <v>180.61600000000001</v>
      </c>
    </row>
    <row r="28" spans="1:23" ht="36" x14ac:dyDescent="0.25">
      <c r="A28" s="17">
        <v>2022806598</v>
      </c>
      <c r="B28" s="17" t="str">
        <f ca="1">INDIRECT(A28&amp;"!b1")</f>
        <v>Glauco Marchioni</v>
      </c>
      <c r="C28" s="17" t="str">
        <f ca="1">INDIRECT(A28&amp;"!b2")</f>
        <v>296.700.628-96</v>
      </c>
      <c r="D28" s="19">
        <f ca="1">INDIRECT(A28&amp;"!b4")</f>
        <v>43058</v>
      </c>
      <c r="E28" s="17">
        <v>3</v>
      </c>
      <c r="F28" s="23">
        <f ca="1">INDIRECT(A28&amp;"!a8")</f>
        <v>43313</v>
      </c>
      <c r="G28" s="24">
        <f ca="1">INDIRECT(A28&amp;"!b8")</f>
        <v>43301</v>
      </c>
      <c r="H28" s="24">
        <f ca="1">INDIRECT(A28&amp;"!c8")</f>
        <v>43332</v>
      </c>
      <c r="I28" s="25">
        <f ca="1">INDIRECT(A28&amp;"!d8")</f>
        <v>200</v>
      </c>
      <c r="J28" s="26">
        <f ca="1">INDIRECT(A28&amp;"!e8")</f>
        <v>2.1100000000000001E-2</v>
      </c>
      <c r="K28" s="25">
        <f ca="1">INDIRECT(A28&amp;"!f8")</f>
        <v>180.61599999999999</v>
      </c>
      <c r="L28" s="25">
        <f ca="1">INDIRECT(A28&amp;"!g8")</f>
        <v>220</v>
      </c>
      <c r="M28" s="25">
        <f ca="1">INDIRECT(A28&amp;"!i8")</f>
        <v>28.411999999999999</v>
      </c>
      <c r="N28" s="24">
        <f ca="1">INDIRECT(A28&amp;"!j8")</f>
        <v>43363</v>
      </c>
      <c r="O28" s="17">
        <f ca="1">E28*I28</f>
        <v>600</v>
      </c>
      <c r="P28" s="64">
        <f ca="1">INDIRECT(A28&amp;"!b5")</f>
        <v>2270.5039999999999</v>
      </c>
      <c r="Q28" s="17">
        <f ca="1">INDIRECT(A28&amp;"!f7")</f>
        <v>10</v>
      </c>
      <c r="R28" s="17">
        <f ca="1">P28-O28</f>
        <v>1670.5039999999999</v>
      </c>
      <c r="S28" s="17">
        <f ca="1">INDIRECT(A28&amp;"!k8")</f>
        <v>250</v>
      </c>
      <c r="T28" s="33">
        <f ca="1">1-ABS((INDIRECT(A28&amp;"!l8")-INDIRECT(A28&amp;"!k8"))/INDIRECT(A28&amp;"!k8"))</f>
        <v>0.35375999999999996</v>
      </c>
      <c r="U28" s="17">
        <f ca="1">INDIRECT(A28&amp;"!m8")</f>
        <v>440</v>
      </c>
      <c r="V28" s="19">
        <f ca="1">INDIRECT(A28&amp;"!n8")</f>
        <v>43258</v>
      </c>
      <c r="W28" s="60">
        <f ca="1">INDIRECT(A28&amp;"!b6")</f>
        <v>270.50399999999991</v>
      </c>
    </row>
    <row r="29" spans="1:23" ht="36" customHeight="1" x14ac:dyDescent="0.25">
      <c r="A29" s="17">
        <v>2096377569</v>
      </c>
      <c r="B29" s="17" t="str">
        <f ca="1">INDIRECT(A29&amp;"!b1")</f>
        <v>JOAO PEDRO LUIZ MARMO</v>
      </c>
      <c r="C29" s="39" t="str">
        <f ca="1">INDIRECT(A29&amp;"!b2")</f>
        <v>859.746.418-68</v>
      </c>
      <c r="D29" s="19">
        <f ca="1">INDIRECT(A29&amp;"!b4")</f>
        <v>43282</v>
      </c>
      <c r="E29" s="17">
        <f ca="1">IF((YEAR($D$8)-YEAR(D29))*12+MONTH($D$8)-MONTH(D29)&lt;0,0,(YEAR($D$8)-YEAR(D29))*12+MONTH($D$8)-MONTH(D29))</f>
        <v>0</v>
      </c>
      <c r="F29" s="23">
        <f ca="1">INDIRECT(A29&amp;"!a8")</f>
        <v>43313</v>
      </c>
      <c r="G29" s="24">
        <f ca="1">INDIRECT(A29&amp;"!b8")</f>
        <v>43301</v>
      </c>
      <c r="H29" s="24">
        <f ca="1">INDIRECT(A29&amp;"!c8")</f>
        <v>43332</v>
      </c>
      <c r="I29" s="25">
        <f ca="1">INDIRECT(A29&amp;"!d8")</f>
        <v>100</v>
      </c>
      <c r="J29" s="26">
        <f ca="1">INDIRECT(A29&amp;"!e8")</f>
        <v>1.0500000000000001E-2</v>
      </c>
      <c r="K29" s="25">
        <f ca="1">INDIRECT(A29&amp;"!f8")</f>
        <v>89.88</v>
      </c>
      <c r="L29" s="25">
        <f ca="1">INDIRECT(A29&amp;"!g8")</f>
        <v>89.88</v>
      </c>
      <c r="M29" s="25">
        <f ca="1">INDIRECT(A29&amp;"!i8")</f>
        <v>0</v>
      </c>
      <c r="N29" s="24">
        <f ca="1">INDIRECT(A29&amp;"!j8")</f>
        <v>43363</v>
      </c>
      <c r="O29" s="17">
        <f ca="1">E29*I29</f>
        <v>0</v>
      </c>
      <c r="P29" s="64">
        <f ca="1">INDIRECT(A29&amp;"!b5")</f>
        <v>282.24</v>
      </c>
      <c r="Q29" s="39">
        <f ca="1">INDIRECT(A29&amp;"!f7")</f>
        <v>3</v>
      </c>
      <c r="R29" s="17">
        <f ca="1">P29-O29</f>
        <v>282.24</v>
      </c>
      <c r="S29" s="17">
        <f ca="1">INDIRECT(A29&amp;"!k8")</f>
        <v>179</v>
      </c>
      <c r="T29" s="72" t="e">
        <f ca="1">1-ABS((INDIRECT(A29&amp;"!l8")-INDIRECT(A29&amp;"!k8"))/INDIRECT(A29&amp;"!k8"))</f>
        <v>#VALUE!</v>
      </c>
      <c r="U29" s="39" t="str">
        <f ca="1">INDIRECT(A29&amp;"!m8")</f>
        <v>horas faltantes Efergy</v>
      </c>
      <c r="V29" s="19" t="str">
        <f ca="1">INDIRECT(A29&amp;"!n8")</f>
        <v>Liberação pag seguro</v>
      </c>
      <c r="W29" s="19">
        <f ca="1">INDIRECT(A29&amp;"!b6")</f>
        <v>-17.759999999999991</v>
      </c>
    </row>
    <row r="30" spans="1:23" ht="36" customHeight="1" x14ac:dyDescent="0.25">
      <c r="A30" s="17">
        <v>2002764784</v>
      </c>
      <c r="B30" s="17" t="str">
        <f ca="1">INDIRECT(A30&amp;"!b1")</f>
        <v>Rui Sergio Guerra</v>
      </c>
      <c r="C30" s="17" t="str">
        <f ca="1">INDIRECT(A30&amp;"!b2")</f>
        <v>937.216.338-49</v>
      </c>
      <c r="D30" s="19">
        <f ca="1">INDIRECT(A30&amp;"!b4")</f>
        <v>43088</v>
      </c>
      <c r="E30" s="17">
        <v>2</v>
      </c>
      <c r="F30" s="23">
        <f ca="1">INDIRECT(A30&amp;"!a8")</f>
        <v>43313</v>
      </c>
      <c r="G30" s="24">
        <f ca="1">INDIRECT(A30&amp;"!b8")</f>
        <v>43301</v>
      </c>
      <c r="H30" s="24">
        <f ca="1">INDIRECT(A30&amp;"!c8")</f>
        <v>43332</v>
      </c>
      <c r="I30" s="25">
        <f ca="1">INDIRECT(A30&amp;"!d8")</f>
        <v>0</v>
      </c>
      <c r="J30" s="26">
        <f ca="1">INDIRECT(A30&amp;"!e8")</f>
        <v>0</v>
      </c>
      <c r="K30" s="25">
        <f ca="1">INDIRECT(A30&amp;"!f8")</f>
        <v>0</v>
      </c>
      <c r="L30" s="25">
        <f ca="1">INDIRECT(A30&amp;"!g8")</f>
        <v>0</v>
      </c>
      <c r="M30" s="25">
        <f ca="1">INDIRECT(A30&amp;"!i8")</f>
        <v>0</v>
      </c>
      <c r="N30" s="24">
        <f ca="1">INDIRECT(A30&amp;"!j8")</f>
        <v>43363</v>
      </c>
      <c r="O30" s="17">
        <f ca="1">E30*I30</f>
        <v>0</v>
      </c>
      <c r="P30" s="64">
        <f ca="1">INDIRECT(A30&amp;"!b5")</f>
        <v>4017.5400000000004</v>
      </c>
      <c r="Q30" s="17">
        <f ca="1">INDIRECT(A30&amp;"!f7")</f>
        <v>7</v>
      </c>
      <c r="R30" s="17">
        <f ca="1">P30-O30</f>
        <v>4017.5400000000004</v>
      </c>
      <c r="S30" s="17">
        <f ca="1">INDIRECT(A30&amp;"!k8")</f>
        <v>1026</v>
      </c>
      <c r="T30" s="33">
        <f ca="1">1-ABS((INDIRECT(A30&amp;"!l8")-INDIRECT(A30&amp;"!k8"))/INDIRECT(A30&amp;"!k8"))</f>
        <v>0.56489278752436634</v>
      </c>
      <c r="U30" s="17">
        <f ca="1">INDIRECT(A30&amp;"!m8")</f>
        <v>270</v>
      </c>
      <c r="V30" s="19" t="str">
        <f ca="1">INDIRECT(A30&amp;"!n8")</f>
        <v>faturamento dia 8/5 p/ 15/5</v>
      </c>
      <c r="W30" s="60">
        <f ca="1">INDIRECT(A30&amp;"!b6")</f>
        <v>267.54000000000042</v>
      </c>
    </row>
    <row r="31" spans="1:23" ht="12" customHeight="1" x14ac:dyDescent="0.25">
      <c r="A31" s="17">
        <v>2024636746</v>
      </c>
      <c r="B31" s="17" t="str">
        <f ca="1">INDIRECT(A31&amp;"!b1")</f>
        <v>SOCIEDADE DE CULTURA ITUPEVA LT EPP</v>
      </c>
      <c r="C31" s="39" t="str">
        <f ca="1">INDIRECT(A31&amp;"!b2")</f>
        <v>05.889.302/0001-86</v>
      </c>
      <c r="D31" s="19">
        <f ca="1">INDIRECT(A31&amp;"!b4")</f>
        <v>43132</v>
      </c>
      <c r="E31" s="17">
        <f ca="1">IF((YEAR($D$8)-YEAR(D31))*12+MONTH($D$8)-MONTH(D31)&lt;0,0,(YEAR($D$8)-YEAR(D31))*12+MONTH($D$8)-MONTH(D31))</f>
        <v>0</v>
      </c>
      <c r="F31" s="23">
        <f ca="1">INDIRECT(A31&amp;"!a8")</f>
        <v>43313</v>
      </c>
      <c r="G31" s="24">
        <f ca="1">INDIRECT(A31&amp;"!b8")</f>
        <v>43301</v>
      </c>
      <c r="H31" s="24">
        <f ca="1">INDIRECT(A31&amp;"!c8")</f>
        <v>43332</v>
      </c>
      <c r="I31" s="25">
        <f ca="1">INDIRECT(A31&amp;"!d8")</f>
        <v>1400</v>
      </c>
      <c r="J31" s="26">
        <f ca="1">INDIRECT(A31&amp;"!e8")</f>
        <v>0.1474</v>
      </c>
      <c r="K31" s="25">
        <f ca="1">INDIRECT(A31&amp;"!f8")</f>
        <v>1261.7439999999999</v>
      </c>
      <c r="L31" s="25">
        <f ca="1">INDIRECT(A31&amp;"!g8")</f>
        <v>1348</v>
      </c>
      <c r="M31" s="25">
        <f ca="1">INDIRECT(A31&amp;"!i8")</f>
        <v>208.15199999999999</v>
      </c>
      <c r="N31" s="24">
        <f ca="1">INDIRECT(A31&amp;"!j8")</f>
        <v>43363</v>
      </c>
      <c r="O31" s="17">
        <v>0</v>
      </c>
      <c r="P31" s="64">
        <f ca="1">INDIRECT(A31&amp;"!b5")</f>
        <v>6334.9559999999992</v>
      </c>
      <c r="Q31" s="39">
        <f ca="1">INDIRECT(A31&amp;"!f7")</f>
        <v>7</v>
      </c>
      <c r="R31" s="17">
        <f ca="1">P31-O31</f>
        <v>6334.9559999999992</v>
      </c>
      <c r="S31" s="17">
        <f ca="1">INDIRECT(A31&amp;"!k8")</f>
        <v>1448</v>
      </c>
      <c r="T31" s="40">
        <f ca="1">1-ABS((INDIRECT(A31&amp;"!l8")-INDIRECT(A31&amp;"!k8"))/INDIRECT(A31&amp;"!k8"))</f>
        <v>0.28023480662983458</v>
      </c>
      <c r="U31" s="39">
        <f ca="1">INDIRECT(A31&amp;"!m8")</f>
        <v>329</v>
      </c>
      <c r="V31" s="19" t="str">
        <f ca="1">INDIRECT(A31&amp;"!n8")</f>
        <v>21/5 liberar faturamento com venvt para 30/5</v>
      </c>
      <c r="W31" s="60">
        <f ca="1">INDIRECT(A31&amp;"!b6")</f>
        <v>134.95599999999922</v>
      </c>
    </row>
    <row r="32" spans="1:23" ht="24" customHeight="1" x14ac:dyDescent="0.3">
      <c r="A32" s="17">
        <v>2022489622</v>
      </c>
      <c r="B32" s="17" t="str">
        <f ca="1">INDIRECT(A32&amp;"!b1")</f>
        <v>ROBERTO SOARES DA SILVA</v>
      </c>
      <c r="C32" s="39" t="str">
        <f ca="1">INDIRECT(A32&amp;"!b2")</f>
        <v>018.464.088-14</v>
      </c>
      <c r="D32" s="19">
        <f ca="1">INDIRECT(A32&amp;"!b4")</f>
        <v>43313</v>
      </c>
      <c r="E32" s="17">
        <f ca="1">IF((YEAR($D$8)-YEAR(D32))*12+MONTH($D$8)-MONTH(D32)&lt;0,0,(YEAR($D$8)-YEAR(D32))*12+MONTH($D$8)-MONTH(D32))</f>
        <v>0</v>
      </c>
      <c r="F32" s="100">
        <f ca="1">INDIRECT(A32&amp;"!a8")</f>
        <v>43313</v>
      </c>
      <c r="G32" s="19">
        <f ca="1">INDIRECT(A32&amp;"!b8")</f>
        <v>43304</v>
      </c>
      <c r="H32" s="19">
        <f ca="1">INDIRECT(A32&amp;"!c8")</f>
        <v>43333</v>
      </c>
      <c r="I32" s="17">
        <f ca="1">INDIRECT(A32&amp;"!d8")</f>
        <v>600</v>
      </c>
      <c r="J32" s="101">
        <f ca="1">INDIRECT(A32&amp;"!e8")</f>
        <v>6.3200000000000006E-2</v>
      </c>
      <c r="K32" s="17">
        <f ca="1">INDIRECT(A32&amp;"!f8")</f>
        <v>540.99199999999996</v>
      </c>
      <c r="L32" s="17">
        <f ca="1">INDIRECT(A32&amp;"!g8")</f>
        <v>296</v>
      </c>
      <c r="M32" s="17">
        <f ca="1">INDIRECT(A32&amp;"!i8")</f>
        <v>244.99199999999999</v>
      </c>
      <c r="N32" s="19">
        <f ca="1">INDIRECT(A32&amp;"!j8")</f>
        <v>43364</v>
      </c>
      <c r="O32" s="17">
        <f ca="1">E32*I32</f>
        <v>0</v>
      </c>
      <c r="P32" s="64">
        <f ca="1">INDIRECT(A32&amp;"!b5")</f>
        <v>540.99199999999996</v>
      </c>
      <c r="Q32" s="39">
        <f ca="1">INDIRECT(A32&amp;"!f7")</f>
        <v>1</v>
      </c>
      <c r="R32" s="17">
        <f ca="1">P32-O32</f>
        <v>540.99199999999996</v>
      </c>
      <c r="S32" s="39">
        <f ca="1">INDIRECT(A32&amp;"!k8")</f>
        <v>296</v>
      </c>
      <c r="T32" s="97">
        <f ca="1">1-ABS((INDIRECT(A32&amp;"!l8")-INDIRECT(A32&amp;"!k8"))/INDIRECT(A32&amp;"!k8"))</f>
        <v>0.39618243243243267</v>
      </c>
      <c r="U32" s="39">
        <f ca="1">INDIRECT(A32&amp;"!m8")</f>
        <v>422</v>
      </c>
      <c r="V32" s="19" t="str">
        <f ca="1">INDIRECT(A32&amp;"!n8")</f>
        <v>Liberação pag seguro</v>
      </c>
      <c r="W32" s="19">
        <f ca="1">INDIRECT(A32&amp;"!b6")</f>
        <v>-59.008000000000038</v>
      </c>
    </row>
    <row r="33" spans="1:23" ht="36" customHeight="1" x14ac:dyDescent="0.3">
      <c r="A33" s="17">
        <v>2027542238</v>
      </c>
      <c r="B33" s="17" t="str">
        <f ca="1">INDIRECT(A33&amp;"!b1")</f>
        <v>ADALBERTO NASCIMENTO</v>
      </c>
      <c r="C33" s="39" t="str">
        <f ca="1">INDIRECT(A33&amp;"!b2")</f>
        <v>587.169.398-91</v>
      </c>
      <c r="D33" s="19">
        <f ca="1">INDIRECT(A33&amp;"!b4")</f>
        <v>43374</v>
      </c>
      <c r="E33" s="17">
        <f ca="1">IF((YEAR($D$8)-YEAR(D33))*12+MONTH($D$8)-MONTH(D33)&lt;0,0,(YEAR($D$8)-YEAR(D33))*12+MONTH($D$8)-MONTH(D33))</f>
        <v>0</v>
      </c>
      <c r="F33" s="100">
        <f ca="1">INDIRECT(A33&amp;"!a8")</f>
        <v>43313</v>
      </c>
      <c r="G33" s="19">
        <f ca="1">INDIRECT(A33&amp;"!b8")</f>
        <v>43305</v>
      </c>
      <c r="H33" s="19">
        <f ca="1">INDIRECT(A33&amp;"!c8")</f>
        <v>43334</v>
      </c>
      <c r="I33" s="17">
        <f ca="1">INDIRECT(A33&amp;"!d8")</f>
        <v>350</v>
      </c>
      <c r="J33" s="101">
        <f ca="1">INDIRECT(A33&amp;"!e8")</f>
        <v>0</v>
      </c>
      <c r="K33" s="17">
        <f ca="1">INDIRECT(A33&amp;"!f8")</f>
        <v>0</v>
      </c>
      <c r="L33" s="17">
        <f ca="1">INDIRECT(A33&amp;"!g8")</f>
        <v>0</v>
      </c>
      <c r="M33" s="17">
        <f ca="1">INDIRECT(A33&amp;"!i8")</f>
        <v>0</v>
      </c>
      <c r="N33" s="19">
        <f ca="1">INDIRECT(A33&amp;"!j8")</f>
        <v>43367</v>
      </c>
      <c r="O33" s="17">
        <f ca="1">E33*I33</f>
        <v>0</v>
      </c>
      <c r="P33" s="64">
        <f ca="1">INDIRECT(A33&amp;"!b5")</f>
        <v>0</v>
      </c>
      <c r="Q33" s="39">
        <f ca="1">INDIRECT(A33&amp;"!f7")</f>
        <v>0</v>
      </c>
      <c r="R33" s="17">
        <f ca="1">P33-O33</f>
        <v>0</v>
      </c>
      <c r="S33" s="39">
        <f ca="1">INDIRECT(A33&amp;"!k8")</f>
        <v>335</v>
      </c>
      <c r="T33" s="97" t="e">
        <f ca="1">1-ABS((INDIRECT(A33&amp;"!l8")-INDIRECT(A33&amp;"!k8"))/INDIRECT(A33&amp;"!k8"))</f>
        <v>#VALUE!</v>
      </c>
      <c r="U33" s="39" t="str">
        <f ca="1">INDIRECT(A33&amp;"!m8")</f>
        <v>horas faltantes Efergy</v>
      </c>
      <c r="V33" s="19" t="str">
        <f ca="1">INDIRECT(A33&amp;"!n8")</f>
        <v>Liberação pag seguro</v>
      </c>
      <c r="W33" s="19">
        <f ca="1">INDIRECT(A33&amp;"!b6")</f>
        <v>0</v>
      </c>
    </row>
    <row r="34" spans="1:23" ht="36" customHeight="1" x14ac:dyDescent="0.3">
      <c r="A34" s="17">
        <v>2092281541</v>
      </c>
      <c r="B34" s="17" t="str">
        <f ca="1">INDIRECT(A34&amp;"!b1")</f>
        <v>APARECIDO PERES FERNANDES</v>
      </c>
      <c r="C34" s="39" t="str">
        <f ca="1">INDIRECT(A34&amp;"!b2")</f>
        <v>032.203.568-69</v>
      </c>
      <c r="D34" s="19">
        <f ca="1">INDIRECT(A34&amp;"!b4")</f>
        <v>43374</v>
      </c>
      <c r="E34" s="17">
        <f ca="1">IF((YEAR($D$8)-YEAR(D34))*12+MONTH($D$8)-MONTH(D34)&lt;0,0,(YEAR($D$8)-YEAR(D34))*12+MONTH($D$8)-MONTH(D34))</f>
        <v>0</v>
      </c>
      <c r="F34" s="100">
        <f ca="1">INDIRECT(A34&amp;"!a8")</f>
        <v>43313</v>
      </c>
      <c r="G34" s="19">
        <f ca="1">INDIRECT(A34&amp;"!b8")</f>
        <v>43305</v>
      </c>
      <c r="H34" s="19">
        <f ca="1">INDIRECT(A34&amp;"!c8")</f>
        <v>43334</v>
      </c>
      <c r="I34" s="17">
        <f ca="1">INDIRECT(A34&amp;"!d8")</f>
        <v>150</v>
      </c>
      <c r="J34" s="101">
        <f ca="1">INDIRECT(A34&amp;"!e8")</f>
        <v>0</v>
      </c>
      <c r="K34" s="17">
        <f ca="1">INDIRECT(A34&amp;"!f8")</f>
        <v>0</v>
      </c>
      <c r="L34" s="17">
        <f ca="1">INDIRECT(A34&amp;"!g8")</f>
        <v>0</v>
      </c>
      <c r="M34" s="17">
        <f ca="1">INDIRECT(A34&amp;"!i8")</f>
        <v>0</v>
      </c>
      <c r="N34" s="19">
        <f ca="1">INDIRECT(A34&amp;"!j8")</f>
        <v>43367</v>
      </c>
      <c r="O34" s="17">
        <f ca="1">E34*I34</f>
        <v>0</v>
      </c>
      <c r="P34" s="64">
        <f ca="1">INDIRECT(A34&amp;"!b5")</f>
        <v>0</v>
      </c>
      <c r="Q34" s="39">
        <f ca="1">INDIRECT(A34&amp;"!f7")</f>
        <v>0</v>
      </c>
      <c r="R34" s="17">
        <f ca="1">P34-O34</f>
        <v>0</v>
      </c>
      <c r="S34" s="39">
        <f ca="1">INDIRECT(A34&amp;"!k8")</f>
        <v>179</v>
      </c>
      <c r="T34" s="97" t="e">
        <f ca="1">1-ABS((INDIRECT(A34&amp;"!l8")-INDIRECT(A34&amp;"!k8"))/INDIRECT(A34&amp;"!k8"))</f>
        <v>#VALUE!</v>
      </c>
      <c r="U34" s="39" t="str">
        <f ca="1">INDIRECT(A34&amp;"!m8")</f>
        <v>horas faltantes Efergy</v>
      </c>
      <c r="V34" s="19" t="str">
        <f ca="1">INDIRECT(A34&amp;"!n8")</f>
        <v>Liberação pag seguro</v>
      </c>
      <c r="W34" s="19">
        <f ca="1">INDIRECT(A34&amp;"!b6")</f>
        <v>0</v>
      </c>
    </row>
    <row r="35" spans="1:23" ht="24" customHeight="1" x14ac:dyDescent="0.25">
      <c r="A35" s="17">
        <v>4000744926</v>
      </c>
      <c r="B35" s="17" t="str">
        <f ca="1">INDIRECT(A35&amp;"!b1")</f>
        <v>DIOGO JOSE DE CAMPOS</v>
      </c>
      <c r="C35" s="39" t="str">
        <f ca="1">INDIRECT(A35&amp;"!b2")</f>
        <v>263.995.108-48</v>
      </c>
      <c r="D35" s="19">
        <f ca="1">INDIRECT(A35&amp;"!b4")</f>
        <v>43313</v>
      </c>
      <c r="E35" s="17">
        <f ca="1">IF((YEAR($D$8)-YEAR(D35))*12+MONTH($D$8)-MONTH(D35)&lt;0,0,(YEAR($D$8)-YEAR(D35))*12+MONTH($D$8)-MONTH(D35))</f>
        <v>0</v>
      </c>
      <c r="F35" s="23">
        <f ca="1">INDIRECT(A35&amp;"!a8")</f>
        <v>43313</v>
      </c>
      <c r="G35" s="24">
        <f ca="1">INDIRECT(A35&amp;"!b8")</f>
        <v>43306</v>
      </c>
      <c r="H35" s="24">
        <f ca="1">INDIRECT(A35&amp;"!c8")</f>
        <v>43335</v>
      </c>
      <c r="I35" s="25">
        <f ca="1">INDIRECT(A35&amp;"!d8")</f>
        <v>50</v>
      </c>
      <c r="J35" s="26">
        <f ca="1">INDIRECT(A35&amp;"!e8")</f>
        <v>5.3E-3</v>
      </c>
      <c r="K35" s="25">
        <f ca="1">INDIRECT(A35&amp;"!f8")</f>
        <v>45.368000000000002</v>
      </c>
      <c r="L35" s="25">
        <f ca="1">INDIRECT(A35&amp;"!g8")</f>
        <v>45.368000000000002</v>
      </c>
      <c r="M35" s="25">
        <f ca="1">INDIRECT(A35&amp;"!i8")</f>
        <v>0</v>
      </c>
      <c r="N35" s="24">
        <f ca="1">INDIRECT(A35&amp;"!j8")</f>
        <v>43368</v>
      </c>
      <c r="O35" s="17">
        <f ca="1">E35*I35</f>
        <v>0</v>
      </c>
      <c r="P35" s="64">
        <f ca="1">INDIRECT(A35&amp;"!b5")</f>
        <v>45.368000000000002</v>
      </c>
      <c r="Q35" s="39">
        <f ca="1">INDIRECT(A35&amp;"!f7")</f>
        <v>1</v>
      </c>
      <c r="R35" s="17">
        <f ca="1">P35-O35</f>
        <v>45.368000000000002</v>
      </c>
      <c r="S35" s="39">
        <f ca="1">INDIRECT(A35&amp;"!k8")</f>
        <v>140</v>
      </c>
      <c r="T35" s="97" t="e">
        <f ca="1">1-ABS((INDIRECT(A35&amp;"!l8")-INDIRECT(A35&amp;"!k8"))/INDIRECT(A35&amp;"!k8"))</f>
        <v>#VALUE!</v>
      </c>
      <c r="U35" s="39" t="str">
        <f ca="1">INDIRECT(A35&amp;"!m8")</f>
        <v>horas faltantes Efergy</v>
      </c>
      <c r="V35" s="19" t="str">
        <f ca="1">INDIRECT(A35&amp;"!n8")</f>
        <v>Liberação pag seguro</v>
      </c>
      <c r="W35" s="19">
        <f ca="1">INDIRECT(A35&amp;"!b6")</f>
        <v>-4.6319999999999979</v>
      </c>
    </row>
    <row r="36" spans="1:23" ht="24" x14ac:dyDescent="0.25">
      <c r="A36" s="17">
        <v>2023301279</v>
      </c>
      <c r="B36" s="17" t="str">
        <f ca="1">INDIRECT(A36&amp;"!b1")</f>
        <v>MICHELLE LAPA CORTEGIANO MOLARINO</v>
      </c>
      <c r="C36" s="39" t="str">
        <f ca="1">INDIRECT(A36&amp;"!b2")</f>
        <v>257.080.168-25</v>
      </c>
      <c r="D36" s="19">
        <f ca="1">INDIRECT(A36&amp;"!b4")</f>
        <v>43282</v>
      </c>
      <c r="E36" s="17">
        <f ca="1">IF((YEAR($D$8)-YEAR(D36))*12+MONTH($D$8)-MONTH(D36)&lt;0,0,(YEAR($D$8)-YEAR(D36))*12+MONTH($D$8)-MONTH(D36))</f>
        <v>0</v>
      </c>
      <c r="F36" s="23">
        <f ca="1">INDIRECT(A36&amp;"!a8")</f>
        <v>43313</v>
      </c>
      <c r="G36" s="24">
        <f ca="1">INDIRECT(A36&amp;"!b8")</f>
        <v>43306</v>
      </c>
      <c r="H36" s="24">
        <f ca="1">INDIRECT(A36&amp;"!c8")</f>
        <v>43335</v>
      </c>
      <c r="I36" s="25">
        <f ca="1">INDIRECT(A36&amp;"!d8")</f>
        <v>950</v>
      </c>
      <c r="J36" s="26">
        <f ca="1">INDIRECT(A36&amp;"!e8")</f>
        <v>0.1</v>
      </c>
      <c r="K36" s="25">
        <f ca="1">INDIRECT(A36&amp;"!f8")</f>
        <v>856</v>
      </c>
      <c r="L36" s="25">
        <f ca="1">INDIRECT(A36&amp;"!g8")</f>
        <v>483</v>
      </c>
      <c r="M36" s="25">
        <f ca="1">INDIRECT(A36&amp;"!i8")</f>
        <v>771.84</v>
      </c>
      <c r="N36" s="24">
        <f ca="1">INDIRECT(A36&amp;"!j8")</f>
        <v>43368</v>
      </c>
      <c r="O36" s="17">
        <f ca="1">E36*I36</f>
        <v>0</v>
      </c>
      <c r="P36" s="64">
        <f ca="1">INDIRECT(A36&amp;"!b5")</f>
        <v>2678.84</v>
      </c>
      <c r="Q36" s="39">
        <f ca="1">INDIRECT(A36&amp;"!f7")</f>
        <v>3</v>
      </c>
      <c r="R36" s="17">
        <f ca="1">P36-O36</f>
        <v>2678.84</v>
      </c>
      <c r="S36" s="17">
        <f ca="1">INDIRECT(A36&amp;"!k8")</f>
        <v>483</v>
      </c>
      <c r="T36" s="95">
        <f ca="1">1-ABS((INDIRECT(A36&amp;"!l8")-INDIRECT(A36&amp;"!k8"))/INDIRECT(A36&amp;"!k8"))</f>
        <v>0.61076604554865532</v>
      </c>
      <c r="U36" s="39">
        <f ca="1">INDIRECT(A36&amp;"!m8")</f>
        <v>0</v>
      </c>
      <c r="V36" s="19" t="str">
        <f ca="1">INDIRECT(A36&amp;"!n8")</f>
        <v>Liberação pag seguro</v>
      </c>
      <c r="W36" s="19">
        <f ca="1">INDIRECT(A36&amp;"!b6")</f>
        <v>-171.15999999999985</v>
      </c>
    </row>
    <row r="37" spans="1:23" ht="36" customHeight="1" x14ac:dyDescent="0.25">
      <c r="A37" s="17">
        <v>4000332114</v>
      </c>
      <c r="B37" s="17" t="str">
        <f ca="1">INDIRECT(A37&amp;"!b1")</f>
        <v>Milton Donizeti Rezende Moreira</v>
      </c>
      <c r="C37" s="17" t="str">
        <f ca="1">INDIRECT(A37&amp;"!b2")</f>
        <v>154.389.268-08</v>
      </c>
      <c r="D37" s="19">
        <f ca="1">INDIRECT(A37&amp;"!b4")</f>
        <v>43103</v>
      </c>
      <c r="E37" s="17">
        <v>1</v>
      </c>
      <c r="F37" s="23">
        <f ca="1">INDIRECT(A37&amp;"!a8")</f>
        <v>43313</v>
      </c>
      <c r="G37" s="24">
        <f ca="1">INDIRECT(A37&amp;"!b8")</f>
        <v>43306</v>
      </c>
      <c r="H37" s="24">
        <f ca="1">INDIRECT(A37&amp;"!c8")</f>
        <v>43335</v>
      </c>
      <c r="I37" s="25">
        <f ca="1">INDIRECT(A37&amp;"!d8")</f>
        <v>100</v>
      </c>
      <c r="J37" s="26">
        <f ca="1">INDIRECT(A37&amp;"!e8")</f>
        <v>1.0500000000000001E-2</v>
      </c>
      <c r="K37" s="25">
        <f ca="1">INDIRECT(A37&amp;"!f8")</f>
        <v>89.88</v>
      </c>
      <c r="L37" s="25">
        <f ca="1">INDIRECT(A37&amp;"!g8")</f>
        <v>89.88</v>
      </c>
      <c r="M37" s="25">
        <f ca="1">INDIRECT(A37&amp;"!i8")</f>
        <v>0</v>
      </c>
      <c r="N37" s="24">
        <f ca="1">INDIRECT(A37&amp;"!j8")</f>
        <v>43368</v>
      </c>
      <c r="O37" s="17">
        <f ca="1">E37*I37</f>
        <v>100</v>
      </c>
      <c r="P37" s="64">
        <f ca="1">INDIRECT(A37&amp;"!b5")</f>
        <v>1135.94</v>
      </c>
      <c r="Q37" s="17">
        <f ca="1">INDIRECT(A37&amp;"!f7")</f>
        <v>10</v>
      </c>
      <c r="R37" s="17">
        <f ca="1">P37-O37</f>
        <v>1035.94</v>
      </c>
      <c r="S37" s="17">
        <f ca="1">INDIRECT(A37&amp;"!k8")</f>
        <v>164</v>
      </c>
      <c r="T37" s="33">
        <f ca="1">1-ABS((INDIRECT(A37&amp;"!l8")-INDIRECT(A37&amp;"!k8"))/INDIRECT(A37&amp;"!k8"))</f>
        <v>0.62804878048780433</v>
      </c>
      <c r="U37" s="17">
        <f ca="1">INDIRECT(A37&amp;"!m8")</f>
        <v>474</v>
      </c>
      <c r="V37" s="19" t="str">
        <f ca="1">INDIRECT(A37&amp;"!n8")</f>
        <v>dia 1/6 enviar novo pagseguro - libera 1/6</v>
      </c>
      <c r="W37" s="60">
        <f ca="1">INDIRECT(A37&amp;"!b6")</f>
        <v>335.94000000000005</v>
      </c>
    </row>
    <row r="38" spans="1:23" ht="36" customHeight="1" x14ac:dyDescent="0.3">
      <c r="A38" s="17">
        <v>4000166813</v>
      </c>
      <c r="B38" s="17" t="str">
        <f ca="1">INDIRECT(A38&amp;"!b1")</f>
        <v>ERIK TADEU DA SILVA</v>
      </c>
      <c r="C38" s="39" t="str">
        <f ca="1">INDIRECT(A38&amp;"!b2")</f>
        <v>214.436.868-67</v>
      </c>
      <c r="D38" s="19">
        <f ca="1">INDIRECT(A38&amp;"!b4")</f>
        <v>43374</v>
      </c>
      <c r="E38" s="17">
        <f ca="1">IF((YEAR($D$8)-YEAR(D38))*12+MONTH($D$8)-MONTH(D38)&lt;0,0,(YEAR($D$8)-YEAR(D38))*12+MONTH($D$8)-MONTH(D38))</f>
        <v>0</v>
      </c>
      <c r="F38" s="100">
        <f ca="1">INDIRECT(A38&amp;"!a8")</f>
        <v>43313</v>
      </c>
      <c r="G38" s="19">
        <f ca="1">INDIRECT(A38&amp;"!b8")</f>
        <v>43306</v>
      </c>
      <c r="H38" s="19">
        <f ca="1">INDIRECT(A38&amp;"!c8")</f>
        <v>43335</v>
      </c>
      <c r="I38" s="17">
        <f ca="1">INDIRECT(A38&amp;"!d8")</f>
        <v>200</v>
      </c>
      <c r="J38" s="101">
        <f ca="1">INDIRECT(A38&amp;"!e8")</f>
        <v>0</v>
      </c>
      <c r="K38" s="17">
        <f ca="1">INDIRECT(A38&amp;"!f8")</f>
        <v>0</v>
      </c>
      <c r="L38" s="17">
        <f ca="1">INDIRECT(A38&amp;"!g8")</f>
        <v>0</v>
      </c>
      <c r="M38" s="17">
        <f ca="1">INDIRECT(A38&amp;"!i8")</f>
        <v>0</v>
      </c>
      <c r="N38" s="19">
        <f ca="1">INDIRECT(A38&amp;"!j8")</f>
        <v>43368</v>
      </c>
      <c r="O38" s="17">
        <f ca="1">E38*I38</f>
        <v>0</v>
      </c>
      <c r="P38" s="64">
        <f ca="1">INDIRECT(A38&amp;"!b5")</f>
        <v>0</v>
      </c>
      <c r="Q38" s="39">
        <f ca="1">INDIRECT(A38&amp;"!f7")</f>
        <v>0</v>
      </c>
      <c r="R38" s="17">
        <f ca="1">P38-O38</f>
        <v>0</v>
      </c>
      <c r="S38" s="39">
        <f ca="1">INDIRECT(A38&amp;"!k8")</f>
        <v>206</v>
      </c>
      <c r="T38" s="97" t="e">
        <f ca="1">1-ABS((INDIRECT(A38&amp;"!l8")-INDIRECT(A38&amp;"!k8"))/INDIRECT(A38&amp;"!k8"))</f>
        <v>#VALUE!</v>
      </c>
      <c r="U38" s="39" t="str">
        <f ca="1">INDIRECT(A38&amp;"!m8")</f>
        <v>horas faltantes Efergy</v>
      </c>
      <c r="V38" s="19" t="str">
        <f ca="1">INDIRECT(A38&amp;"!n8")</f>
        <v>Liberação pag seguro</v>
      </c>
      <c r="W38" s="19">
        <f ca="1">INDIRECT(A38&amp;"!b6")</f>
        <v>0</v>
      </c>
    </row>
    <row r="39" spans="1:23" ht="24" customHeight="1" x14ac:dyDescent="0.3">
      <c r="A39" s="17">
        <v>2023733187</v>
      </c>
      <c r="B39" s="17" t="str">
        <f ca="1">INDIRECT(A39&amp;"!b1")</f>
        <v>PRISCILLA LEVISKI DA CONCEICAO ALVES</v>
      </c>
      <c r="C39" s="39" t="str">
        <f ca="1">INDIRECT(A39&amp;"!b2")</f>
        <v>354.279.098-26</v>
      </c>
      <c r="D39" s="19">
        <f ca="1">INDIRECT(A39&amp;"!b4")</f>
        <v>43374</v>
      </c>
      <c r="E39" s="17">
        <f ca="1">IF((YEAR($D$8)-YEAR(D39))*12+MONTH($D$8)-MONTH(D39)&lt;0,0,(YEAR($D$8)-YEAR(D39))*12+MONTH($D$8)-MONTH(D39))</f>
        <v>0</v>
      </c>
      <c r="F39" s="100">
        <f ca="1">INDIRECT(A39&amp;"!a8")</f>
        <v>43313</v>
      </c>
      <c r="G39" s="19">
        <f ca="1">INDIRECT(A39&amp;"!b8")</f>
        <v>43306</v>
      </c>
      <c r="H39" s="19">
        <f ca="1">INDIRECT(A39&amp;"!c8")</f>
        <v>43335</v>
      </c>
      <c r="I39" s="17">
        <f ca="1">INDIRECT(A39&amp;"!d8")</f>
        <v>50</v>
      </c>
      <c r="J39" s="101">
        <f ca="1">INDIRECT(A39&amp;"!e8")</f>
        <v>0</v>
      </c>
      <c r="K39" s="17">
        <f ca="1">INDIRECT(A39&amp;"!f8")</f>
        <v>0</v>
      </c>
      <c r="L39" s="17">
        <f ca="1">INDIRECT(A39&amp;"!g8")</f>
        <v>0</v>
      </c>
      <c r="M39" s="17">
        <f ca="1">INDIRECT(A39&amp;"!i8")</f>
        <v>0</v>
      </c>
      <c r="N39" s="19">
        <f ca="1">INDIRECT(A39&amp;"!j8")</f>
        <v>43368</v>
      </c>
      <c r="O39" s="17">
        <f ca="1">E39*I39</f>
        <v>0</v>
      </c>
      <c r="P39" s="64">
        <f ca="1">INDIRECT(A39&amp;"!b5")</f>
        <v>0</v>
      </c>
      <c r="Q39" s="39">
        <f ca="1">INDIRECT(A39&amp;"!f7")</f>
        <v>0</v>
      </c>
      <c r="R39" s="17">
        <f ca="1">P39-O39</f>
        <v>0</v>
      </c>
      <c r="S39" s="39">
        <f ca="1">INDIRECT(A39&amp;"!k8")</f>
        <v>128</v>
      </c>
      <c r="T39" s="97" t="e">
        <f ca="1">1-ABS((INDIRECT(A39&amp;"!l8")-INDIRECT(A39&amp;"!k8"))/INDIRECT(A39&amp;"!k8"))</f>
        <v>#VALUE!</v>
      </c>
      <c r="U39" s="39" t="str">
        <f ca="1">INDIRECT(A39&amp;"!m8")</f>
        <v>horas faltantes Efergy</v>
      </c>
      <c r="V39" s="19" t="str">
        <f ca="1">INDIRECT(A39&amp;"!n8")</f>
        <v>Liberação pag seguro</v>
      </c>
      <c r="W39" s="19">
        <f ca="1">INDIRECT(A39&amp;"!b6")</f>
        <v>0</v>
      </c>
    </row>
    <row r="40" spans="1:23" ht="24" customHeight="1" x14ac:dyDescent="0.25">
      <c r="A40" s="17">
        <v>2094715921</v>
      </c>
      <c r="B40" s="17" t="str">
        <f ca="1">INDIRECT(A40&amp;"!b1")</f>
        <v>Carlos Eduardo Martins Fontes</v>
      </c>
      <c r="C40" s="39" t="str">
        <f ca="1">INDIRECT(A40&amp;"!b2")</f>
        <v>047.287.278-82</v>
      </c>
      <c r="D40" s="19">
        <f ca="1">INDIRECT(A40&amp;"!b4")</f>
        <v>43313</v>
      </c>
      <c r="E40" s="17">
        <f ca="1">IF((YEAR($D$8)-YEAR(D40))*12+MONTH($D$8)-MONTH(D40)&lt;0,0,(YEAR($D$8)-YEAR(D40))*12+MONTH($D$8)-MONTH(D40))</f>
        <v>0</v>
      </c>
      <c r="F40" s="23">
        <f ca="1">INDIRECT(A40&amp;"!a8")</f>
        <v>43313</v>
      </c>
      <c r="G40" s="24">
        <f ca="1">INDIRECT(A40&amp;"!b8")</f>
        <v>43307</v>
      </c>
      <c r="H40" s="24">
        <f ca="1">INDIRECT(A40&amp;"!c8")</f>
        <v>43336</v>
      </c>
      <c r="I40" s="25">
        <f ca="1">INDIRECT(A40&amp;"!d8")</f>
        <v>0</v>
      </c>
      <c r="J40" s="26">
        <f ca="1">INDIRECT(A40&amp;"!e8")</f>
        <v>0</v>
      </c>
      <c r="K40" s="25">
        <f ca="1">INDIRECT(A40&amp;"!f8")</f>
        <v>0</v>
      </c>
      <c r="L40" s="25">
        <f ca="1">INDIRECT(A40&amp;"!g8")</f>
        <v>0</v>
      </c>
      <c r="M40" s="25">
        <f ca="1">INDIRECT(A40&amp;"!i8")</f>
        <v>0</v>
      </c>
      <c r="N40" s="24">
        <f ca="1">INDIRECT(A40&amp;"!j8")</f>
        <v>43369</v>
      </c>
      <c r="O40" s="17">
        <f ca="1">E40*I40</f>
        <v>0</v>
      </c>
      <c r="P40" s="64">
        <f ca="1">INDIRECT(A40&amp;"!b5")</f>
        <v>0</v>
      </c>
      <c r="Q40" s="39">
        <f ca="1">INDIRECT(A40&amp;"!f7")</f>
        <v>0</v>
      </c>
      <c r="R40" s="17">
        <f ca="1">P40-O40</f>
        <v>0</v>
      </c>
      <c r="S40" s="17">
        <f ca="1">INDIRECT(A40&amp;"!k8")</f>
        <v>630</v>
      </c>
      <c r="T40" s="95">
        <f ca="1">1-ABS((INDIRECT(A40&amp;"!l8")-INDIRECT(A40&amp;"!k8"))/INDIRECT(A40&amp;"!k8"))</f>
        <v>0.63103174603174628</v>
      </c>
      <c r="U40" s="39">
        <f ca="1">INDIRECT(A40&amp;"!m8")</f>
        <v>2</v>
      </c>
      <c r="V40" s="19" t="str">
        <f ca="1">INDIRECT(A40&amp;"!n8")</f>
        <v>Liberação pag seguro</v>
      </c>
      <c r="W40" s="19">
        <f ca="1">INDIRECT(A40&amp;"!b6")</f>
        <v>0</v>
      </c>
    </row>
    <row r="41" spans="1:23" ht="24" x14ac:dyDescent="0.25">
      <c r="A41" s="17">
        <v>2083993169</v>
      </c>
      <c r="B41" s="17" t="str">
        <f ca="1">INDIRECT(A41&amp;"!b1")</f>
        <v>Teixeira Contabilidade ME</v>
      </c>
      <c r="C41" s="17" t="str">
        <f ca="1">INDIRECT(A41&amp;"!b2")</f>
        <v>07.179.573/0001-73</v>
      </c>
      <c r="D41" s="19">
        <f ca="1">INDIRECT(A41&amp;"!b4")</f>
        <v>43100</v>
      </c>
      <c r="E41" s="17">
        <f ca="1">IF((YEAR($D$8)-YEAR(D41))*12+MONTH($D$8)-MONTH(D41)&lt;0,0,(YEAR($D$8)-YEAR(D41))*12+MONTH($D$8)-MONTH(D41))</f>
        <v>1</v>
      </c>
      <c r="F41" s="23">
        <f ca="1">INDIRECT(A41&amp;"!a8")</f>
        <v>43313</v>
      </c>
      <c r="G41" s="24">
        <f ca="1">INDIRECT(A41&amp;"!b8")</f>
        <v>43307</v>
      </c>
      <c r="H41" s="24">
        <f ca="1">INDIRECT(A41&amp;"!c8")</f>
        <v>43336</v>
      </c>
      <c r="I41" s="25">
        <f ca="1">INDIRECT(A41&amp;"!d8")</f>
        <v>1000</v>
      </c>
      <c r="J41" s="26">
        <f ca="1">INDIRECT(A41&amp;"!e8")</f>
        <v>0.1053</v>
      </c>
      <c r="K41" s="25">
        <f ca="1">INDIRECT(A41&amp;"!f8")</f>
        <v>901.36800000000005</v>
      </c>
      <c r="L41" s="25">
        <f ca="1">INDIRECT(A41&amp;"!g8")</f>
        <v>901.36800000000005</v>
      </c>
      <c r="M41" s="25">
        <f ca="1">INDIRECT(A41&amp;"!i8")</f>
        <v>0</v>
      </c>
      <c r="N41" s="24">
        <f ca="1">INDIRECT(A41&amp;"!j8")</f>
        <v>43369</v>
      </c>
      <c r="O41" s="17">
        <f ca="1">E41*I41</f>
        <v>1000</v>
      </c>
      <c r="P41" s="64">
        <f ca="1">INDIRECT(A41&amp;"!b5")</f>
        <v>9644.4719999999998</v>
      </c>
      <c r="Q41" s="17">
        <f ca="1">INDIRECT(A41&amp;"!f7")</f>
        <v>9</v>
      </c>
      <c r="R41" s="17">
        <f ca="1">P41-O41</f>
        <v>8644.4719999999998</v>
      </c>
      <c r="S41" s="17">
        <f ca="1">INDIRECT(A41&amp;"!k8")</f>
        <v>1172</v>
      </c>
      <c r="T41" s="33">
        <f ca="1">1-ABS((INDIRECT(A41&amp;"!l8")-INDIRECT(A41&amp;"!k8"))/INDIRECT(A41&amp;"!k8"))</f>
        <v>0.42713310580204733</v>
      </c>
      <c r="U41" s="17">
        <f ca="1">INDIRECT(A41&amp;"!m8")</f>
        <v>0</v>
      </c>
      <c r="V41" s="19" t="str">
        <f ca="1">INDIRECT(A41&amp;"!n8")</f>
        <v>21/5 emitir faturamento para 30/5</v>
      </c>
      <c r="W41" s="60">
        <f ca="1">INDIRECT(A41&amp;"!b6")</f>
        <v>1644.4719999999998</v>
      </c>
    </row>
    <row r="42" spans="1:23" ht="12" customHeight="1" x14ac:dyDescent="0.3">
      <c r="A42" s="17">
        <v>2023788763</v>
      </c>
      <c r="B42" s="17" t="str">
        <f ca="1">INDIRECT(A42&amp;"!b1")</f>
        <v>DAVID BUENO GONCALVES</v>
      </c>
      <c r="C42" s="39" t="str">
        <f ca="1">INDIRECT(A42&amp;"!b2")</f>
        <v>097.802.258-03</v>
      </c>
      <c r="D42" s="19">
        <f ca="1">INDIRECT(A42&amp;"!b4")</f>
        <v>43374</v>
      </c>
      <c r="E42" s="17">
        <f ca="1">IF((YEAR($D$8)-YEAR(D42))*12+MONTH($D$8)-MONTH(D42)&lt;0,0,(YEAR($D$8)-YEAR(D42))*12+MONTH($D$8)-MONTH(D42))</f>
        <v>0</v>
      </c>
      <c r="F42" s="100">
        <f ca="1">INDIRECT(A42&amp;"!a8")</f>
        <v>43313</v>
      </c>
      <c r="G42" s="19">
        <f ca="1">INDIRECT(A42&amp;"!b8")</f>
        <v>43308</v>
      </c>
      <c r="H42" s="19">
        <f ca="1">INDIRECT(A42&amp;"!c8")</f>
        <v>43339</v>
      </c>
      <c r="I42" s="17">
        <f ca="1">INDIRECT(A42&amp;"!d8")</f>
        <v>400</v>
      </c>
      <c r="J42" s="101">
        <f ca="1">INDIRECT(A42&amp;"!e8")</f>
        <v>0</v>
      </c>
      <c r="K42" s="17">
        <f ca="1">INDIRECT(A42&amp;"!f8")</f>
        <v>0</v>
      </c>
      <c r="L42" s="17">
        <f ca="1">INDIRECT(A42&amp;"!g8")</f>
        <v>0</v>
      </c>
      <c r="M42" s="17">
        <f ca="1">INDIRECT(A42&amp;"!i8")</f>
        <v>0</v>
      </c>
      <c r="N42" s="19">
        <f ca="1">INDIRECT(A42&amp;"!j8")</f>
        <v>43370</v>
      </c>
      <c r="O42" s="17">
        <f ca="1">E42*I42</f>
        <v>0</v>
      </c>
      <c r="P42" s="64">
        <f ca="1">INDIRECT(A42&amp;"!b5")</f>
        <v>0</v>
      </c>
      <c r="Q42" s="39">
        <f ca="1">INDIRECT(A42&amp;"!f7")</f>
        <v>0</v>
      </c>
      <c r="R42" s="17">
        <f ca="1">P42-O42</f>
        <v>0</v>
      </c>
      <c r="S42" s="39">
        <f ca="1">INDIRECT(A42&amp;"!k8")</f>
        <v>413</v>
      </c>
      <c r="T42" s="97" t="e">
        <f ca="1">1-ABS((INDIRECT(A42&amp;"!l8")-INDIRECT(A42&amp;"!k8"))/INDIRECT(A42&amp;"!k8"))</f>
        <v>#VALUE!</v>
      </c>
      <c r="U42" s="39" t="str">
        <f ca="1">INDIRECT(A42&amp;"!m8")</f>
        <v>horas faltantes Efergy</v>
      </c>
      <c r="V42" s="19" t="str">
        <f ca="1">INDIRECT(A42&amp;"!n8")</f>
        <v>Liberação pag seguro</v>
      </c>
      <c r="W42" s="19">
        <f ca="1">INDIRECT(A42&amp;"!b6")</f>
        <v>0</v>
      </c>
    </row>
    <row r="43" spans="1:23" ht="36" customHeight="1" x14ac:dyDescent="0.25">
      <c r="A43" s="17">
        <v>2002369052</v>
      </c>
      <c r="B43" s="17" t="str">
        <f ca="1">INDIRECT(A43&amp;"!b1")</f>
        <v>Monica Markunas</v>
      </c>
      <c r="C43" s="17" t="str">
        <f ca="1">INDIRECT(A43&amp;"!b2")</f>
        <v>059.461.998-03</v>
      </c>
      <c r="D43" s="19">
        <f ca="1">INDIRECT(A43&amp;"!b4")</f>
        <v>43135</v>
      </c>
      <c r="E43" s="17">
        <f ca="1">IF((YEAR($D$8)-YEAR(D43))*12+MONTH($D$8)-MONTH(D43)&lt;0,0,(YEAR($D$8)-YEAR(D43))*12+MONTH($D$8)-MONTH(D43))</f>
        <v>0</v>
      </c>
      <c r="F43" s="23">
        <f ca="1">INDIRECT(A43&amp;"!a8")</f>
        <v>43344</v>
      </c>
      <c r="G43" s="24">
        <f ca="1">INDIRECT(A43&amp;"!b8")</f>
        <v>43314</v>
      </c>
      <c r="H43" s="24">
        <f ca="1">INDIRECT(A43&amp;"!c8")</f>
        <v>43346</v>
      </c>
      <c r="I43" s="25">
        <f ca="1">INDIRECT(A43&amp;"!d8")</f>
        <v>350</v>
      </c>
      <c r="J43" s="26">
        <f ca="1">INDIRECT(A43&amp;"!e8")</f>
        <v>3.6799999999999999E-2</v>
      </c>
      <c r="K43" s="25">
        <f ca="1">INDIRECT(A43&amp;"!f8")</f>
        <v>315.00799999999998</v>
      </c>
      <c r="L43" s="25">
        <f ca="1">INDIRECT(A43&amp;"!g8")</f>
        <v>369</v>
      </c>
      <c r="M43" s="25">
        <f ca="1">INDIRECT(A43&amp;"!i8")</f>
        <v>9</v>
      </c>
      <c r="N43" s="24">
        <f ca="1">INDIRECT(A43&amp;"!j8")</f>
        <v>43376</v>
      </c>
      <c r="O43" s="17">
        <f ca="1">E43*I43</f>
        <v>0</v>
      </c>
      <c r="P43" s="64">
        <f ca="1">INDIRECT(A43&amp;"!b5")</f>
        <v>3377</v>
      </c>
      <c r="Q43" s="17">
        <f ca="1">INDIRECT(A43&amp;"!f7")</f>
        <v>9</v>
      </c>
      <c r="R43" s="17">
        <f ca="1">P43-O43</f>
        <v>3377</v>
      </c>
      <c r="S43" s="17">
        <f ca="1">INDIRECT(A43&amp;"!k8")</f>
        <v>399</v>
      </c>
      <c r="T43" s="33">
        <f ca="1">1-ABS((INDIRECT(A43&amp;"!l8")-INDIRECT(A43&amp;"!k8"))/INDIRECT(A43&amp;"!k8"))</f>
        <v>0.94098338518710634</v>
      </c>
      <c r="U43" s="17">
        <f ca="1">INDIRECT(A43&amp;"!m8")</f>
        <v>27</v>
      </c>
      <c r="V43" s="19">
        <f ca="1">INDIRECT(A43&amp;"!n8")</f>
        <v>43254</v>
      </c>
      <c r="W43" s="60">
        <f ca="1">INDIRECT(A43&amp;"!b6")</f>
        <v>927</v>
      </c>
    </row>
    <row r="44" spans="1:23" ht="36" customHeight="1" x14ac:dyDescent="0.3">
      <c r="A44" s="17">
        <v>4001162864</v>
      </c>
      <c r="B44" s="17" t="str">
        <f ca="1">INDIRECT(A44&amp;"!b1")</f>
        <v>DBMCARGO LOGÍSTICA E TRANSPORTES LTDA</v>
      </c>
      <c r="C44" s="39" t="str">
        <f ca="1">INDIRECT(A44&amp;"!b2")</f>
        <v>10.467.440/0001-07</v>
      </c>
      <c r="D44" s="19">
        <f ca="1">INDIRECT(A44&amp;"!b4")</f>
        <v>43374</v>
      </c>
      <c r="E44" s="17">
        <f ca="1">IF((YEAR($D$8)-YEAR(D44))*12+MONTH($D$8)-MONTH(D44)&lt;0,0,(YEAR($D$8)-YEAR(D44))*12+MONTH($D$8)-MONTH(D44))</f>
        <v>0</v>
      </c>
      <c r="F44" s="100">
        <f ca="1">INDIRECT(A44&amp;"!a8")</f>
        <v>43344</v>
      </c>
      <c r="G44" s="19">
        <f ca="1">INDIRECT(A44&amp;"!b8")</f>
        <v>43315</v>
      </c>
      <c r="H44" s="19">
        <f ca="1">INDIRECT(A44&amp;"!c8")</f>
        <v>43346</v>
      </c>
      <c r="I44" s="17">
        <f ca="1">INDIRECT(A44&amp;"!d8")</f>
        <v>300</v>
      </c>
      <c r="J44" s="101">
        <f ca="1">INDIRECT(A44&amp;"!e8")</f>
        <v>0</v>
      </c>
      <c r="K44" s="17">
        <f ca="1">INDIRECT(A44&amp;"!f8")</f>
        <v>0</v>
      </c>
      <c r="L44" s="17">
        <f ca="1">INDIRECT(A44&amp;"!g8")</f>
        <v>0</v>
      </c>
      <c r="M44" s="17">
        <f ca="1">INDIRECT(A44&amp;"!i8")</f>
        <v>0</v>
      </c>
      <c r="N44" s="19">
        <f ca="1">INDIRECT(A44&amp;"!j8")</f>
        <v>43376</v>
      </c>
      <c r="O44" s="17">
        <f ca="1">E44*I44</f>
        <v>0</v>
      </c>
      <c r="P44" s="64">
        <f ca="1">INDIRECT(A44&amp;"!b5")</f>
        <v>0</v>
      </c>
      <c r="Q44" s="39">
        <f ca="1">INDIRECT(A44&amp;"!f7")</f>
        <v>0</v>
      </c>
      <c r="R44" s="17">
        <f ca="1">P44-O44</f>
        <v>0</v>
      </c>
      <c r="S44" s="39">
        <f ca="1">INDIRECT(A44&amp;"!k8")</f>
        <v>238</v>
      </c>
      <c r="T44" s="97" t="e">
        <f ca="1">1-ABS((INDIRECT(A44&amp;"!l8")-INDIRECT(A44&amp;"!k8"))/INDIRECT(A44&amp;"!k8"))</f>
        <v>#VALUE!</v>
      </c>
      <c r="U44" s="39" t="str">
        <f ca="1">INDIRECT(A44&amp;"!m8")</f>
        <v>horas faltantes Efergy</v>
      </c>
      <c r="V44" s="19" t="str">
        <f ca="1">INDIRECT(A44&amp;"!n8")</f>
        <v>Liberação pag seguro</v>
      </c>
      <c r="W44" s="19">
        <f ca="1">INDIRECT(A44&amp;"!b6")</f>
        <v>0</v>
      </c>
    </row>
    <row r="45" spans="1:23" x14ac:dyDescent="0.25">
      <c r="A45" s="17">
        <v>2020565925</v>
      </c>
      <c r="B45" s="17" t="str">
        <f ca="1">INDIRECT(A45&amp;"!b1")</f>
        <v>ANDRE LUIZ COLLACIO LETTIERI</v>
      </c>
      <c r="C45" s="39" t="str">
        <f ca="1">INDIRECT(A45&amp;"!b2")</f>
        <v>063.020.728-32</v>
      </c>
      <c r="D45" s="19">
        <f ca="1">INDIRECT(A45&amp;"!b4")</f>
        <v>43313</v>
      </c>
      <c r="E45" s="17">
        <f ca="1">IF((YEAR($D$8)-YEAR(D45))*12+MONTH($D$8)-MONTH(D45)&lt;0,0,(YEAR($D$8)-YEAR(D45))*12+MONTH($D$8)-MONTH(D45))</f>
        <v>0</v>
      </c>
      <c r="F45" s="23">
        <f ca="1">INDIRECT(A45&amp;"!a8")</f>
        <v>43344</v>
      </c>
      <c r="G45" s="24">
        <f ca="1">INDIRECT(A45&amp;"!b8")</f>
        <v>43315</v>
      </c>
      <c r="H45" s="24">
        <f ca="1">INDIRECT(A45&amp;"!c8")</f>
        <v>43347</v>
      </c>
      <c r="I45" s="25">
        <f ca="1">INDIRECT(A45&amp;"!d8")</f>
        <v>0</v>
      </c>
      <c r="J45" s="26">
        <f ca="1">INDIRECT(A45&amp;"!e8")</f>
        <v>0</v>
      </c>
      <c r="K45" s="25">
        <f ca="1">INDIRECT(A45&amp;"!f8")</f>
        <v>0</v>
      </c>
      <c r="L45" s="25">
        <f ca="1">INDIRECT(A45&amp;"!g8")</f>
        <v>0</v>
      </c>
      <c r="M45" s="25">
        <f ca="1">INDIRECT(A45&amp;"!i8")</f>
        <v>0</v>
      </c>
      <c r="N45" s="24">
        <f ca="1">INDIRECT(A45&amp;"!j8")</f>
        <v>43377</v>
      </c>
      <c r="O45" s="17">
        <f ca="1">E45*I45</f>
        <v>0</v>
      </c>
      <c r="P45" s="64">
        <f ca="1">INDIRECT(A45&amp;"!b5")</f>
        <v>0</v>
      </c>
      <c r="Q45" s="39">
        <f ca="1">INDIRECT(A45&amp;"!f7")</f>
        <v>0</v>
      </c>
      <c r="R45" s="17">
        <f ca="1">P45-O45</f>
        <v>0</v>
      </c>
      <c r="S45" s="17">
        <f ca="1">INDIRECT(A45&amp;"!k8")</f>
        <v>306</v>
      </c>
      <c r="T45" s="95">
        <f ca="1">1-ABS((INDIRECT(A45&amp;"!l8")-INDIRECT(A45&amp;"!k8"))/INDIRECT(A45&amp;"!k8"))</f>
        <v>0.79003267973856184</v>
      </c>
      <c r="U45" s="39">
        <f ca="1">INDIRECT(A45&amp;"!m8")</f>
        <v>33</v>
      </c>
      <c r="V45" s="19" t="str">
        <f ca="1">INDIRECT(A45&amp;"!n8")</f>
        <v>Liberação pag seguro</v>
      </c>
      <c r="W45" s="19">
        <f ca="1">INDIRECT(A45&amp;"!b6")</f>
        <v>0</v>
      </c>
    </row>
    <row r="46" spans="1:23" ht="12" customHeight="1" x14ac:dyDescent="0.25">
      <c r="A46" s="17">
        <v>2020565933</v>
      </c>
      <c r="B46" s="17" t="str">
        <f ca="1">INDIRECT(A46&amp;"!b1")</f>
        <v>ANDRE LUIZ COLLACIO LETTIERI</v>
      </c>
      <c r="C46" s="39" t="str">
        <f ca="1">INDIRECT(A46&amp;"!b2")</f>
        <v>063.020.728-32</v>
      </c>
      <c r="D46" s="19">
        <f ca="1">INDIRECT(A46&amp;"!b4")</f>
        <v>43313</v>
      </c>
      <c r="E46" s="17">
        <f ca="1">IF((YEAR($D$8)-YEAR(D46))*12+MONTH($D$8)-MONTH(D46)&lt;0,0,(YEAR($D$8)-YEAR(D46))*12+MONTH($D$8)-MONTH(D46))</f>
        <v>0</v>
      </c>
      <c r="F46" s="23">
        <f ca="1">INDIRECT(A46&amp;"!a8")</f>
        <v>43344</v>
      </c>
      <c r="G46" s="24">
        <f ca="1">INDIRECT(A46&amp;"!b8")</f>
        <v>43315</v>
      </c>
      <c r="H46" s="24">
        <f ca="1">INDIRECT(A46&amp;"!c8")</f>
        <v>43347</v>
      </c>
      <c r="I46" s="25">
        <f ca="1">INDIRECT(A46&amp;"!d8")</f>
        <v>0</v>
      </c>
      <c r="J46" s="26">
        <f ca="1">INDIRECT(A46&amp;"!e8")</f>
        <v>0</v>
      </c>
      <c r="K46" s="25">
        <f ca="1">INDIRECT(A46&amp;"!f8")</f>
        <v>0</v>
      </c>
      <c r="L46" s="25">
        <f ca="1">INDIRECT(A46&amp;"!g8")</f>
        <v>0</v>
      </c>
      <c r="M46" s="25">
        <f ca="1">INDIRECT(A46&amp;"!i8")</f>
        <v>0</v>
      </c>
      <c r="N46" s="24">
        <f ca="1">INDIRECT(A46&amp;"!j8")</f>
        <v>43377</v>
      </c>
      <c r="O46" s="17">
        <f ca="1">E46*I46</f>
        <v>0</v>
      </c>
      <c r="P46" s="64">
        <f ca="1">INDIRECT(A46&amp;"!b5")</f>
        <v>0</v>
      </c>
      <c r="Q46" s="39">
        <f ca="1">INDIRECT(A46&amp;"!f7")</f>
        <v>0</v>
      </c>
      <c r="R46" s="17">
        <f ca="1">P46-O46</f>
        <v>0</v>
      </c>
      <c r="S46" s="17">
        <f ca="1">INDIRECT(A46&amp;"!k8")</f>
        <v>153</v>
      </c>
      <c r="T46" s="95" t="e">
        <f ca="1">1-ABS((INDIRECT(A46&amp;"!l8")-INDIRECT(A46&amp;"!k8"))/INDIRECT(A46&amp;"!k8"))</f>
        <v>#VALUE!</v>
      </c>
      <c r="U46" s="39" t="str">
        <f ca="1">INDIRECT(A46&amp;"!m8")</f>
        <v>horas faltantes Efergy</v>
      </c>
      <c r="V46" s="19" t="str">
        <f ca="1">INDIRECT(A46&amp;"!n8")</f>
        <v>Liberação pag seguro</v>
      </c>
      <c r="W46" s="19">
        <f ca="1">INDIRECT(A46&amp;"!b6")</f>
        <v>0</v>
      </c>
    </row>
    <row r="47" spans="1:23" ht="12" customHeight="1" x14ac:dyDescent="0.25">
      <c r="A47" s="17">
        <v>2023657588</v>
      </c>
      <c r="B47" s="17" t="str">
        <f ca="1">INDIRECT(A47&amp;"!b1")</f>
        <v>EDISON RIBEIRO SANTOS</v>
      </c>
      <c r="C47" s="39" t="str">
        <f ca="1">INDIRECT(A47&amp;"!b2")</f>
        <v>162.340.178-00</v>
      </c>
      <c r="D47" s="19">
        <f ca="1">INDIRECT(A47&amp;"!b4")</f>
        <v>43344</v>
      </c>
      <c r="E47" s="17">
        <f ca="1">IF((YEAR($D$8)-YEAR(D47))*12+MONTH($D$8)-MONTH(D47)&lt;0,0,(YEAR($D$8)-YEAR(D47))*12+MONTH($D$8)-MONTH(D47))</f>
        <v>0</v>
      </c>
      <c r="F47" s="23">
        <f ca="1">INDIRECT(A47&amp;"!a8")</f>
        <v>43344</v>
      </c>
      <c r="G47" s="24">
        <f ca="1">INDIRECT(A47&amp;"!b8")</f>
        <v>43315</v>
      </c>
      <c r="H47" s="24">
        <f ca="1">INDIRECT(A47&amp;"!c8")</f>
        <v>43347</v>
      </c>
      <c r="I47" s="25">
        <f ca="1">INDIRECT(A47&amp;"!d8")</f>
        <v>0</v>
      </c>
      <c r="J47" s="26">
        <f ca="1">INDIRECT(A47&amp;"!e8")</f>
        <v>2.1100000000000001E-2</v>
      </c>
      <c r="K47" s="25">
        <f ca="1">INDIRECT(A47&amp;"!f8")</f>
        <v>180.61600000000001</v>
      </c>
      <c r="L47" s="25">
        <f ca="1">INDIRECT(A47&amp;"!g8")</f>
        <v>180.61600000000001</v>
      </c>
      <c r="M47" s="25">
        <f ca="1">INDIRECT(A47&amp;"!i8")</f>
        <v>0</v>
      </c>
      <c r="N47" s="24">
        <f ca="1">INDIRECT(A47&amp;"!j8")</f>
        <v>43377</v>
      </c>
      <c r="O47" s="17">
        <f ca="1">E47*I47</f>
        <v>0</v>
      </c>
      <c r="P47" s="64">
        <f ca="1">INDIRECT(A47&amp;"!b5")</f>
        <v>180.61600000000001</v>
      </c>
      <c r="Q47" s="39">
        <f ca="1">INDIRECT(A47&amp;"!f7")</f>
        <v>1</v>
      </c>
      <c r="R47" s="17">
        <f ca="1">P47-O47</f>
        <v>180.61600000000001</v>
      </c>
      <c r="S47" s="39">
        <f ca="1">INDIRECT(A47&amp;"!k8")</f>
        <v>242</v>
      </c>
      <c r="T47" s="97" t="e">
        <f ca="1">1-ABS((INDIRECT(A47&amp;"!l8")-INDIRECT(A47&amp;"!k8"))/INDIRECT(A47&amp;"!k8"))</f>
        <v>#VALUE!</v>
      </c>
      <c r="U47" s="39" t="str">
        <f ca="1">INDIRECT(A47&amp;"!m8")</f>
        <v>horas faltantes Efergy</v>
      </c>
      <c r="V47" s="19" t="str">
        <f ca="1">INDIRECT(A47&amp;"!n8")</f>
        <v>Liberação pag seguro</v>
      </c>
      <c r="W47" s="19">
        <f ca="1">INDIRECT(A47&amp;"!b6")</f>
        <v>-19.383999999999986</v>
      </c>
    </row>
    <row r="48" spans="1:23" ht="36" customHeight="1" x14ac:dyDescent="0.25">
      <c r="A48" s="17">
        <v>2020707291</v>
      </c>
      <c r="B48" s="17" t="str">
        <f ca="1">INDIRECT(A48&amp;"!b1")</f>
        <v>Igreja Batista Peniel</v>
      </c>
      <c r="C48" s="17" t="str">
        <f ca="1">INDIRECT(A48&amp;"!b2")</f>
        <v>47.787.049/0001-08</v>
      </c>
      <c r="D48" s="19">
        <f ca="1">INDIRECT(A48&amp;"!b4")</f>
        <v>43117</v>
      </c>
      <c r="E48" s="17">
        <f ca="1">IF((YEAR($D$8)-YEAR(D48))*12+MONTH($D$8)-MONTH(D48)&lt;0,0,(YEAR($D$8)-YEAR(D48))*12+MONTH($D$8)-MONTH(D48))</f>
        <v>0</v>
      </c>
      <c r="F48" s="23">
        <f ca="1">INDIRECT(A48&amp;"!a8")</f>
        <v>43344</v>
      </c>
      <c r="G48" s="24">
        <f ca="1">INDIRECT(A48&amp;"!b8")</f>
        <v>43318</v>
      </c>
      <c r="H48" s="24">
        <f ca="1">INDIRECT(A48&amp;"!c8")</f>
        <v>43348</v>
      </c>
      <c r="I48" s="25">
        <f ca="1">INDIRECT(A48&amp;"!d8")</f>
        <v>2000</v>
      </c>
      <c r="J48" s="26">
        <f ca="1">INDIRECT(A48&amp;"!e8")</f>
        <v>0.2094</v>
      </c>
      <c r="K48" s="25">
        <f ca="1">INDIRECT(A48&amp;"!f8")</f>
        <v>1801.88</v>
      </c>
      <c r="L48" s="25">
        <f ca="1">INDIRECT(A48&amp;"!g8")</f>
        <v>982</v>
      </c>
      <c r="M48" s="25">
        <f ca="1">INDIRECT(A48&amp;"!i8")</f>
        <v>3452.0880000000002</v>
      </c>
      <c r="N48" s="24">
        <f ca="1">INDIRECT(A48&amp;"!j8")</f>
        <v>43378</v>
      </c>
      <c r="O48" s="17">
        <f ca="1">E48*I48</f>
        <v>0</v>
      </c>
      <c r="P48" s="64">
        <f ca="1">INDIRECT(A48&amp;"!b5")</f>
        <v>19288.088</v>
      </c>
      <c r="Q48" s="17">
        <f ca="1">INDIRECT(A48&amp;"!f7")</f>
        <v>9</v>
      </c>
      <c r="R48" s="17">
        <f ca="1">P48-O48</f>
        <v>19288.088</v>
      </c>
      <c r="S48" s="17">
        <f ca="1">INDIRECT(A48&amp;"!k8")</f>
        <v>1082</v>
      </c>
      <c r="T48" s="33">
        <f ca="1">1-ABS((INDIRECT(A48&amp;"!l8")-INDIRECT(A48&amp;"!k8"))/INDIRECT(A48&amp;"!k8"))</f>
        <v>0.85550860674676565</v>
      </c>
      <c r="U48" s="17">
        <f ca="1">INDIRECT(A48&amp;"!m8")</f>
        <v>408</v>
      </c>
      <c r="V48" s="19">
        <f ca="1">INDIRECT(A48&amp;"!n8")</f>
        <v>43238</v>
      </c>
      <c r="W48" s="60">
        <f ca="1">INDIRECT(A48&amp;"!b6")</f>
        <v>3288.0879999999997</v>
      </c>
    </row>
    <row r="49" spans="1:23" ht="36" customHeight="1" x14ac:dyDescent="0.25">
      <c r="A49" s="17">
        <v>2095370447</v>
      </c>
      <c r="B49" s="17" t="str">
        <f ca="1">INDIRECT(A49&amp;"!b1")</f>
        <v>LEONARDO WESLEY CESAR DA SILVA</v>
      </c>
      <c r="C49" s="39" t="str">
        <f ca="1">INDIRECT(A49&amp;"!b2")</f>
        <v>400.279.628-06</v>
      </c>
      <c r="D49" s="19">
        <f ca="1">INDIRECT(A49&amp;"!b4")</f>
        <v>43313</v>
      </c>
      <c r="E49" s="17">
        <f ca="1">IF((YEAR($D$8)-YEAR(D49))*12+MONTH($D$8)-MONTH(D49)&lt;0,0,(YEAR($D$8)-YEAR(D49))*12+MONTH($D$8)-MONTH(D49))</f>
        <v>0</v>
      </c>
      <c r="F49" s="23">
        <f ca="1">INDIRECT(A49&amp;"!a8")</f>
        <v>43344</v>
      </c>
      <c r="G49" s="24">
        <f ca="1">INDIRECT(A49&amp;"!b8")</f>
        <v>43318</v>
      </c>
      <c r="H49" s="24">
        <f ca="1">INDIRECT(A49&amp;"!c8")</f>
        <v>43348</v>
      </c>
      <c r="I49" s="25">
        <f ca="1">INDIRECT(A49&amp;"!d8")</f>
        <v>100</v>
      </c>
      <c r="J49" s="26">
        <f ca="1">INDIRECT(A49&amp;"!e8")</f>
        <v>1.0500000000000001E-2</v>
      </c>
      <c r="K49" s="25">
        <f ca="1">INDIRECT(A49&amp;"!f8")</f>
        <v>89.88</v>
      </c>
      <c r="L49" s="25">
        <f ca="1">INDIRECT(A49&amp;"!g8")</f>
        <v>89.88</v>
      </c>
      <c r="M49" s="25">
        <f ca="1">INDIRECT(A49&amp;"!i8")</f>
        <v>0</v>
      </c>
      <c r="N49" s="24">
        <f ca="1">INDIRECT(A49&amp;"!j8")</f>
        <v>43378</v>
      </c>
      <c r="O49" s="17">
        <f ca="1">E49*I49</f>
        <v>0</v>
      </c>
      <c r="P49" s="64">
        <f ca="1">INDIRECT(A49&amp;"!b5")</f>
        <v>89.88</v>
      </c>
      <c r="Q49" s="39">
        <f ca="1">INDIRECT(A49&amp;"!f7")</f>
        <v>1</v>
      </c>
      <c r="R49" s="17">
        <f ca="1">P49-O49</f>
        <v>89.88</v>
      </c>
      <c r="S49" s="17">
        <f ca="1">INDIRECT(A49&amp;"!k8")</f>
        <v>354</v>
      </c>
      <c r="T49" s="95" t="e">
        <f ca="1">1-ABS((INDIRECT(A49&amp;"!l8")-INDIRECT(A49&amp;"!k8"))/INDIRECT(A49&amp;"!k8"))</f>
        <v>#VALUE!</v>
      </c>
      <c r="U49" s="39" t="str">
        <f ca="1">INDIRECT(A49&amp;"!m8")</f>
        <v>horas faltantes Efergy</v>
      </c>
      <c r="V49" s="19" t="str">
        <f ca="1">INDIRECT(A49&amp;"!n8")</f>
        <v>Liberação pag seguro</v>
      </c>
      <c r="W49" s="19">
        <f ca="1">INDIRECT(A49&amp;"!b6")</f>
        <v>-10.120000000000005</v>
      </c>
    </row>
    <row r="50" spans="1:23" ht="36" customHeight="1" x14ac:dyDescent="0.25">
      <c r="A50" s="17">
        <v>2020707304</v>
      </c>
      <c r="B50" s="17" t="str">
        <f ca="1">INDIRECT(A50&amp;"!b1")</f>
        <v>LEONARDO WESLEY CESAR DA SILVA</v>
      </c>
      <c r="C50" s="39" t="str">
        <f ca="1">INDIRECT(A50&amp;"!b2")</f>
        <v>400.279.628-06</v>
      </c>
      <c r="D50" s="19">
        <f ca="1">INDIRECT(A50&amp;"!b4")</f>
        <v>43313</v>
      </c>
      <c r="E50" s="17">
        <f ca="1">IF((YEAR($D$8)-YEAR(D50))*12+MONTH($D$8)-MONTH(D50)&lt;0,0,(YEAR($D$8)-YEAR(D50))*12+MONTH($D$8)-MONTH(D50))</f>
        <v>0</v>
      </c>
      <c r="F50" s="23">
        <f ca="1">INDIRECT(A50&amp;"!a8")</f>
        <v>43344</v>
      </c>
      <c r="G50" s="24">
        <f ca="1">INDIRECT(A50&amp;"!b8")</f>
        <v>43318</v>
      </c>
      <c r="H50" s="24">
        <f ca="1">INDIRECT(A50&amp;"!c8")</f>
        <v>43317</v>
      </c>
      <c r="I50" s="25">
        <f ca="1">INDIRECT(A50&amp;"!d8")</f>
        <v>500</v>
      </c>
      <c r="J50" s="26">
        <f ca="1">INDIRECT(A50&amp;"!e8")</f>
        <v>5.2600000000000001E-2</v>
      </c>
      <c r="K50" s="25">
        <f ca="1">INDIRECT(A50&amp;"!f8")</f>
        <v>450.25599999999997</v>
      </c>
      <c r="L50" s="25">
        <f ca="1">INDIRECT(A50&amp;"!g8")</f>
        <v>450.25599999999997</v>
      </c>
      <c r="M50" s="25">
        <f ca="1">INDIRECT(A50&amp;"!i8")</f>
        <v>0</v>
      </c>
      <c r="N50" s="24">
        <f ca="1">INDIRECT(A50&amp;"!j8")</f>
        <v>43378</v>
      </c>
      <c r="O50" s="17">
        <f ca="1">E50*I50</f>
        <v>0</v>
      </c>
      <c r="P50" s="64">
        <f ca="1">INDIRECT(A50&amp;"!b5")</f>
        <v>450.25599999999997</v>
      </c>
      <c r="Q50" s="39">
        <f ca="1">INDIRECT(A50&amp;"!f7")</f>
        <v>1</v>
      </c>
      <c r="R50" s="17">
        <f ca="1">P50-O50</f>
        <v>450.25599999999997</v>
      </c>
      <c r="S50" s="17">
        <f ca="1">INDIRECT(A50&amp;"!k8")</f>
        <v>568</v>
      </c>
      <c r="T50" s="95">
        <f ca="1">1-ABS((INDIRECT(A50&amp;"!l8")-INDIRECT(A50&amp;"!k8"))/INDIRECT(A50&amp;"!k8"))</f>
        <v>0.9039084507042261</v>
      </c>
      <c r="U50" s="39">
        <f ca="1">INDIRECT(A50&amp;"!m8")</f>
        <v>6</v>
      </c>
      <c r="V50" s="19" t="str">
        <f ca="1">INDIRECT(A50&amp;"!n8")</f>
        <v>Liberação pag seguro</v>
      </c>
      <c r="W50" s="19">
        <f ca="1">INDIRECT(A50&amp;"!b6")</f>
        <v>-49.744000000000028</v>
      </c>
    </row>
    <row r="51" spans="1:23" ht="36" customHeight="1" x14ac:dyDescent="0.3">
      <c r="A51" s="17">
        <v>2020708769</v>
      </c>
      <c r="B51" s="17" t="str">
        <f ca="1">INDIRECT(A51&amp;"!b1")</f>
        <v>CAMILA BRAZ ALVES DE MOURA</v>
      </c>
      <c r="C51" s="39" t="str">
        <f ca="1">INDIRECT(A51&amp;"!b2")</f>
        <v>297.100.218-77</v>
      </c>
      <c r="D51" s="19">
        <f ca="1">INDIRECT(A51&amp;"!b4")</f>
        <v>43374</v>
      </c>
      <c r="E51" s="17">
        <f ca="1">IF((YEAR($D$8)-YEAR(D51))*12+MONTH($D$8)-MONTH(D51)&lt;0,0,(YEAR($D$8)-YEAR(D51))*12+MONTH($D$8)-MONTH(D51))</f>
        <v>0</v>
      </c>
      <c r="F51" s="100">
        <f ca="1">INDIRECT(A51&amp;"!a8")</f>
        <v>43344</v>
      </c>
      <c r="G51" s="19">
        <f ca="1">INDIRECT(A51&amp;"!b8")</f>
        <v>43318</v>
      </c>
      <c r="H51" s="19">
        <f ca="1">INDIRECT(A51&amp;"!c8")</f>
        <v>43348</v>
      </c>
      <c r="I51" s="17">
        <f ca="1">INDIRECT(A51&amp;"!d8")</f>
        <v>200</v>
      </c>
      <c r="J51" s="101">
        <f ca="1">INDIRECT(A51&amp;"!e8")</f>
        <v>0</v>
      </c>
      <c r="K51" s="17">
        <f ca="1">INDIRECT(A51&amp;"!f8")</f>
        <v>0</v>
      </c>
      <c r="L51" s="17">
        <f ca="1">INDIRECT(A51&amp;"!g8")</f>
        <v>0</v>
      </c>
      <c r="M51" s="17">
        <f ca="1">INDIRECT(A51&amp;"!i8")</f>
        <v>0</v>
      </c>
      <c r="N51" s="19">
        <f ca="1">INDIRECT(A51&amp;"!j8")</f>
        <v>43378</v>
      </c>
      <c r="O51" s="17">
        <f ca="1">E51*I51</f>
        <v>0</v>
      </c>
      <c r="P51" s="64">
        <f ca="1">INDIRECT(A51&amp;"!b5")</f>
        <v>0</v>
      </c>
      <c r="Q51" s="39">
        <f ca="1">INDIRECT(A51&amp;"!f7")</f>
        <v>0</v>
      </c>
      <c r="R51" s="17">
        <f ca="1">P51-O51</f>
        <v>0</v>
      </c>
      <c r="S51" s="39">
        <f ca="1">INDIRECT(A51&amp;"!k8")</f>
        <v>211</v>
      </c>
      <c r="T51" s="97" t="e">
        <f ca="1">1-ABS((INDIRECT(A51&amp;"!l8")-INDIRECT(A51&amp;"!k8"))/INDIRECT(A51&amp;"!k8"))</f>
        <v>#VALUE!</v>
      </c>
      <c r="U51" s="39" t="str">
        <f ca="1">INDIRECT(A51&amp;"!m8")</f>
        <v>horas faltantes Efergy</v>
      </c>
      <c r="V51" s="19" t="str">
        <f ca="1">INDIRECT(A51&amp;"!n8")</f>
        <v>Liberação pag seguro</v>
      </c>
      <c r="W51" s="19">
        <f ca="1">INDIRECT(A51&amp;"!b6")</f>
        <v>0</v>
      </c>
    </row>
    <row r="52" spans="1:23" ht="36" customHeight="1" x14ac:dyDescent="0.25">
      <c r="A52" s="18">
        <v>4001912941</v>
      </c>
      <c r="B52" s="17" t="str">
        <f ca="1">INDIRECT(A52&amp;"!b1")</f>
        <v>Alexandra Cristina Vidal Januário Susteras</v>
      </c>
      <c r="C52" s="17" t="str">
        <f ca="1">INDIRECT(A52&amp;"!b2")</f>
        <v>220.251.828-21</v>
      </c>
      <c r="D52" s="19">
        <f ca="1">INDIRECT(A52&amp;"!b4")</f>
        <v>43101</v>
      </c>
      <c r="E52" s="17">
        <v>1</v>
      </c>
      <c r="F52" s="23">
        <f ca="1">INDIRECT(A52&amp;"!a8")</f>
        <v>43344</v>
      </c>
      <c r="G52" s="24">
        <f ca="1">INDIRECT(A52&amp;"!b8")</f>
        <v>43320</v>
      </c>
      <c r="H52" s="24">
        <f ca="1">INDIRECT(A52&amp;"!c8")</f>
        <v>43353</v>
      </c>
      <c r="I52" s="25">
        <f ca="1">INDIRECT(A52&amp;"!d8")</f>
        <v>50</v>
      </c>
      <c r="J52" s="26">
        <f ca="1">INDIRECT(A52&amp;"!e8")</f>
        <v>4.8999999999999998E-3</v>
      </c>
      <c r="K52" s="25">
        <f ca="1">INDIRECT(A52&amp;"!f8")</f>
        <v>41.944000000000017</v>
      </c>
      <c r="L52" s="25">
        <f ca="1">INDIRECT(A52&amp;"!g8")</f>
        <v>8</v>
      </c>
      <c r="M52" s="25">
        <f ca="1">INDIRECT(A52&amp;"!i8")</f>
        <v>189.02</v>
      </c>
      <c r="N52" s="24">
        <f ca="1">INDIRECT(A52&amp;"!j8")</f>
        <v>43382</v>
      </c>
      <c r="O52" s="17">
        <f ca="1">E52*I52</f>
        <v>50</v>
      </c>
      <c r="P52" s="64">
        <f ca="1">INDIRECT(A52&amp;"!b5")</f>
        <v>569.77199999999993</v>
      </c>
      <c r="Q52" s="17">
        <f ca="1">INDIRECT(A52&amp;"!f7")</f>
        <v>10</v>
      </c>
      <c r="R52" s="17">
        <f ca="1">P52-O52</f>
        <v>519.77199999999993</v>
      </c>
      <c r="S52" s="17">
        <f ca="1">INDIRECT(A52&amp;"!k8")</f>
        <v>58</v>
      </c>
      <c r="T52" s="33">
        <f ca="1">1-ABS((INDIRECT(A52&amp;"!l8")-INDIRECT(A52&amp;"!k8"))/INDIRECT(A52&amp;"!k8"))</f>
        <v>-1.4508620689655269</v>
      </c>
      <c r="U52" s="17">
        <f ca="1">INDIRECT(A52&amp;"!m8")</f>
        <v>0</v>
      </c>
      <c r="V52" s="19">
        <f ca="1">INDIRECT(A52&amp;"!n8")</f>
        <v>43252</v>
      </c>
      <c r="W52" s="60">
        <f ca="1">INDIRECT(A52&amp;"!b6")</f>
        <v>69.771999999999935</v>
      </c>
    </row>
    <row r="53" spans="1:23" ht="12" customHeight="1" x14ac:dyDescent="0.3">
      <c r="A53" s="17">
        <v>2021015171</v>
      </c>
      <c r="B53" s="17" t="str">
        <f ca="1">INDIRECT(A53&amp;"!b1")</f>
        <v>FLAVIO NOVOA ESTEVES</v>
      </c>
      <c r="C53" s="39" t="str">
        <f ca="1">INDIRECT(A53&amp;"!b2")</f>
        <v>074.692.508-59</v>
      </c>
      <c r="D53" s="19">
        <f ca="1">INDIRECT(A53&amp;"!b4")</f>
        <v>43374</v>
      </c>
      <c r="E53" s="17">
        <f ca="1">IF((YEAR($D$8)-YEAR(D53))*12+MONTH($D$8)-MONTH(D53)&lt;0,0,(YEAR($D$8)-YEAR(D53))*12+MONTH($D$8)-MONTH(D53))</f>
        <v>0</v>
      </c>
      <c r="F53" s="100">
        <f ca="1">INDIRECT(A53&amp;"!a8")</f>
        <v>43344</v>
      </c>
      <c r="G53" s="19">
        <f ca="1">INDIRECT(A53&amp;"!b8")</f>
        <v>43321</v>
      </c>
      <c r="H53" s="19">
        <f ca="1">INDIRECT(A53&amp;"!c8")</f>
        <v>43354</v>
      </c>
      <c r="I53" s="17">
        <f ca="1">INDIRECT(A53&amp;"!d8")</f>
        <v>450</v>
      </c>
      <c r="J53" s="101">
        <f ca="1">INDIRECT(A53&amp;"!e8")</f>
        <v>0</v>
      </c>
      <c r="K53" s="17">
        <f ca="1">INDIRECT(A53&amp;"!f8")</f>
        <v>0</v>
      </c>
      <c r="L53" s="17">
        <f ca="1">INDIRECT(A53&amp;"!g8")</f>
        <v>0</v>
      </c>
      <c r="M53" s="17">
        <f ca="1">INDIRECT(A53&amp;"!i8")</f>
        <v>0</v>
      </c>
      <c r="N53" s="19">
        <f ca="1">INDIRECT(A53&amp;"!j8")</f>
        <v>43383</v>
      </c>
      <c r="O53" s="17">
        <f ca="1">E53*I53</f>
        <v>0</v>
      </c>
      <c r="P53" s="64">
        <f ca="1">INDIRECT(A53&amp;"!b5")</f>
        <v>0</v>
      </c>
      <c r="Q53" s="39">
        <f ca="1">INDIRECT(A53&amp;"!f7")</f>
        <v>0</v>
      </c>
      <c r="R53" s="17">
        <f ca="1">P53-O53</f>
        <v>0</v>
      </c>
      <c r="S53" s="39">
        <f ca="1">INDIRECT(A53&amp;"!k8")</f>
        <v>502</v>
      </c>
      <c r="T53" s="97" t="e">
        <f ca="1">1-ABS((INDIRECT(A53&amp;"!l8")-INDIRECT(A53&amp;"!k8"))/INDIRECT(A53&amp;"!k8"))</f>
        <v>#VALUE!</v>
      </c>
      <c r="U53" s="39" t="str">
        <f ca="1">INDIRECT(A53&amp;"!m8")</f>
        <v>horas faltantes Efergy</v>
      </c>
      <c r="V53" s="19" t="str">
        <f ca="1">INDIRECT(A53&amp;"!n8")</f>
        <v>Liberação pag seguro</v>
      </c>
      <c r="W53" s="19">
        <f ca="1">INDIRECT(A53&amp;"!b6")</f>
        <v>0</v>
      </c>
    </row>
    <row r="54" spans="1:23" ht="36" x14ac:dyDescent="0.3">
      <c r="A54" s="17">
        <v>2021334722</v>
      </c>
      <c r="B54" s="17" t="str">
        <f ca="1">INDIRECT(A54&amp;"!b1")</f>
        <v>FRANCISCO RICARDO ALOISE FRANZESE</v>
      </c>
      <c r="C54" s="39" t="str">
        <f ca="1">INDIRECT(A54&amp;"!b2")</f>
        <v>199.341.668-44</v>
      </c>
      <c r="D54" s="19">
        <f ca="1">INDIRECT(A54&amp;"!b4")</f>
        <v>43374</v>
      </c>
      <c r="E54" s="17">
        <f ca="1">IF((YEAR($D$8)-YEAR(D54))*12+MONTH($D$8)-MONTH(D54)&lt;0,0,(YEAR($D$8)-YEAR(D54))*12+MONTH($D$8)-MONTH(D54))</f>
        <v>0</v>
      </c>
      <c r="F54" s="100">
        <f ca="1">INDIRECT(A54&amp;"!a8")</f>
        <v>43344</v>
      </c>
      <c r="G54" s="19">
        <f ca="1">INDIRECT(A54&amp;"!b8")</f>
        <v>43321</v>
      </c>
      <c r="H54" s="19">
        <f ca="1">INDIRECT(A54&amp;"!c8")</f>
        <v>43354</v>
      </c>
      <c r="I54" s="17">
        <f ca="1">INDIRECT(A54&amp;"!d8")</f>
        <v>450</v>
      </c>
      <c r="J54" s="101">
        <f ca="1">INDIRECT(A54&amp;"!e8")</f>
        <v>0</v>
      </c>
      <c r="K54" s="17">
        <f ca="1">INDIRECT(A54&amp;"!f8")</f>
        <v>0</v>
      </c>
      <c r="L54" s="17">
        <f ca="1">INDIRECT(A54&amp;"!g8")</f>
        <v>0</v>
      </c>
      <c r="M54" s="17">
        <f ca="1">INDIRECT(A54&amp;"!i8")</f>
        <v>0</v>
      </c>
      <c r="N54" s="19">
        <f ca="1">INDIRECT(A54&amp;"!j8")</f>
        <v>43383</v>
      </c>
      <c r="O54" s="17">
        <f ca="1">E54*I54</f>
        <v>0</v>
      </c>
      <c r="P54" s="64">
        <f ca="1">INDIRECT(A54&amp;"!b5")</f>
        <v>0</v>
      </c>
      <c r="Q54" s="39">
        <f ca="1">INDIRECT(A54&amp;"!f7")</f>
        <v>0</v>
      </c>
      <c r="R54" s="17">
        <f ca="1">P54-O54</f>
        <v>0</v>
      </c>
      <c r="S54" s="39">
        <f ca="1">INDIRECT(A54&amp;"!k8")</f>
        <v>446</v>
      </c>
      <c r="T54" s="97" t="e">
        <f ca="1">1-ABS((INDIRECT(A54&amp;"!l8")-INDIRECT(A54&amp;"!k8"))/INDIRECT(A54&amp;"!k8"))</f>
        <v>#VALUE!</v>
      </c>
      <c r="U54" s="39" t="str">
        <f ca="1">INDIRECT(A54&amp;"!m8")</f>
        <v>horas faltantes Efergy</v>
      </c>
      <c r="V54" s="19" t="str">
        <f ca="1">INDIRECT(A54&amp;"!n8")</f>
        <v>Liberação pag seguro</v>
      </c>
      <c r="W54" s="19">
        <f ca="1">INDIRECT(A54&amp;"!b6")</f>
        <v>0</v>
      </c>
    </row>
    <row r="55" spans="1:23" ht="12" customHeight="1" x14ac:dyDescent="0.25">
      <c r="A55" s="17">
        <v>2021507732</v>
      </c>
      <c r="B55" s="17" t="str">
        <f ca="1">INDIRECT(A55&amp;"!b1")</f>
        <v>Associação dos Engenheiros e Arquitetos de Santos</v>
      </c>
      <c r="C55" s="17" t="str">
        <f ca="1">INDIRECT(A55&amp;"!b2")</f>
        <v>58.250.903/0001-00</v>
      </c>
      <c r="D55" s="19">
        <f ca="1">INDIRECT(A55&amp;"!b4")</f>
        <v>43134</v>
      </c>
      <c r="E55" s="17">
        <f ca="1">IF((YEAR($D$8)-YEAR(D55))*12+MONTH($D$8)-MONTH(D55)&lt;0,0,(YEAR($D$8)-YEAR(D55))*12+MONTH($D$8)-MONTH(D55))</f>
        <v>0</v>
      </c>
      <c r="F55" s="23">
        <f ca="1">INDIRECT(A55&amp;"!a8")</f>
        <v>43344</v>
      </c>
      <c r="G55" s="24">
        <f ca="1">INDIRECT(A55&amp;"!b8")</f>
        <v>43322</v>
      </c>
      <c r="H55" s="24">
        <f ca="1">INDIRECT(A55&amp;"!c8")</f>
        <v>43355</v>
      </c>
      <c r="I55" s="25">
        <f ca="1">INDIRECT(A55&amp;"!d8")</f>
        <v>0</v>
      </c>
      <c r="J55" s="26">
        <f ca="1">INDIRECT(A55&amp;"!e8")</f>
        <v>0</v>
      </c>
      <c r="K55" s="25">
        <f ca="1">INDIRECT(A55&amp;"!f8")</f>
        <v>0</v>
      </c>
      <c r="L55" s="25">
        <f ca="1">INDIRECT(A55&amp;"!g8")</f>
        <v>0</v>
      </c>
      <c r="M55" s="25">
        <f ca="1">INDIRECT(A55&amp;"!i8")</f>
        <v>0</v>
      </c>
      <c r="N55" s="24">
        <f ca="1">INDIRECT(A55&amp;"!j8")</f>
        <v>43384</v>
      </c>
      <c r="O55" s="17">
        <f ca="1">E55*I55</f>
        <v>0</v>
      </c>
      <c r="P55" s="64">
        <f ca="1">INDIRECT(A55&amp;"!b5")</f>
        <v>18361.067999999999</v>
      </c>
      <c r="Q55" s="17">
        <f ca="1">INDIRECT(A55&amp;"!f7")</f>
        <v>0</v>
      </c>
      <c r="R55" s="17">
        <f ca="1">P55-O55</f>
        <v>18361.067999999999</v>
      </c>
      <c r="S55" s="17">
        <f ca="1">INDIRECT(A55&amp;"!k8")</f>
        <v>4240</v>
      </c>
      <c r="T55" s="33">
        <f ca="1">1-ABS((INDIRECT(A55&amp;"!l8")-INDIRECT(A55&amp;"!k8"))/INDIRECT(A55&amp;"!k8"))</f>
        <v>0.80025000000000035</v>
      </c>
      <c r="U55" s="17">
        <f ca="1">INDIRECT(A55&amp;"!m8")</f>
        <v>8</v>
      </c>
      <c r="V55" s="19" t="str">
        <f ca="1">INDIRECT(A55&amp;"!n8")</f>
        <v>15/6 emitir boleto venc 26/6</v>
      </c>
      <c r="W55" s="60">
        <f ca="1">INDIRECT(A55&amp;"!b6")</f>
        <v>3661.0679999999993</v>
      </c>
    </row>
    <row r="56" spans="1:23" ht="36" customHeight="1" x14ac:dyDescent="0.25">
      <c r="A56" s="17">
        <v>2021489297</v>
      </c>
      <c r="B56" s="17" t="str">
        <f ca="1">INDIRECT(A56&amp;"!b1")</f>
        <v>HENRIQUE NASCIMENTO HORA</v>
      </c>
      <c r="C56" s="39" t="str">
        <f ca="1">INDIRECT(A56&amp;"!b2")</f>
        <v>350.289.918-55</v>
      </c>
      <c r="D56" s="19">
        <f ca="1">INDIRECT(A56&amp;"!b4")</f>
        <v>43282</v>
      </c>
      <c r="E56" s="17">
        <f ca="1">IF((YEAR($D$8)-YEAR(D56))*12+MONTH($D$8)-MONTH(D56)&lt;0,0,(YEAR($D$8)-YEAR(D56))*12+MONTH($D$8)-MONTH(D56))</f>
        <v>0</v>
      </c>
      <c r="F56" s="23">
        <f ca="1">INDIRECT(A56&amp;"!a8")</f>
        <v>43344</v>
      </c>
      <c r="G56" s="24">
        <f ca="1">INDIRECT(A56&amp;"!b8")</f>
        <v>43322</v>
      </c>
      <c r="H56" s="24">
        <f ca="1">INDIRECT(A56&amp;"!c8")</f>
        <v>43355</v>
      </c>
      <c r="I56" s="25">
        <f ca="1">INDIRECT(A56&amp;"!d8")</f>
        <v>150</v>
      </c>
      <c r="J56" s="26">
        <f ca="1">INDIRECT(A56&amp;"!e8")</f>
        <v>1.5800000000000002E-2</v>
      </c>
      <c r="K56" s="25">
        <f ca="1">INDIRECT(A56&amp;"!f8")</f>
        <v>135.24800000000002</v>
      </c>
      <c r="L56" s="25">
        <f ca="1">INDIRECT(A56&amp;"!g8")</f>
        <v>87</v>
      </c>
      <c r="M56" s="25">
        <f ca="1">INDIRECT(A56&amp;"!i8")</f>
        <v>157.87200000000001</v>
      </c>
      <c r="N56" s="24">
        <f ca="1">INDIRECT(A56&amp;"!j8")</f>
        <v>43384</v>
      </c>
      <c r="O56" s="17">
        <f ca="1">E56*I56</f>
        <v>0</v>
      </c>
      <c r="P56" s="64">
        <f ca="1">INDIRECT(A56&amp;"!b5")</f>
        <v>422.87200000000007</v>
      </c>
      <c r="Q56" s="39">
        <f ca="1">INDIRECT(A56&amp;"!f7")</f>
        <v>3</v>
      </c>
      <c r="R56" s="17">
        <f ca="1">P56-O56</f>
        <v>422.87200000000007</v>
      </c>
      <c r="S56" s="39">
        <f ca="1">INDIRECT(A56&amp;"!k8")</f>
        <v>117</v>
      </c>
      <c r="T56" s="97" t="e">
        <f ca="1">1-ABS((INDIRECT(A56&amp;"!l8")-INDIRECT(A56&amp;"!k8"))/INDIRECT(A56&amp;"!k8"))</f>
        <v>#VALUE!</v>
      </c>
      <c r="U56" s="39" t="str">
        <f ca="1">INDIRECT(A56&amp;"!m8")</f>
        <v>horas faltantes Efergy</v>
      </c>
      <c r="V56" s="19" t="str">
        <f ca="1">INDIRECT(A56&amp;"!n8")</f>
        <v>Liberação pag seguro</v>
      </c>
      <c r="W56" s="19">
        <f ca="1">INDIRECT(A56&amp;"!b6")</f>
        <v>-27.127999999999929</v>
      </c>
    </row>
    <row r="57" spans="1:23" ht="36" x14ac:dyDescent="0.3">
      <c r="A57" s="17">
        <v>2091065836</v>
      </c>
      <c r="B57" s="17" t="str">
        <f ca="1">INDIRECT(A57&amp;"!b1")</f>
        <v>UNIMAR AGENCIAMENTOS MARITIMOS LTDA</v>
      </c>
      <c r="C57" s="39" t="str">
        <f ca="1">INDIRECT(A57&amp;"!b2")</f>
        <v>00.728.995/0001-01</v>
      </c>
      <c r="D57" s="19">
        <f ca="1">INDIRECT(A57&amp;"!b4")</f>
        <v>43374</v>
      </c>
      <c r="E57" s="17">
        <f ca="1">IF((YEAR($D$8)-YEAR(D57))*12+MONTH($D$8)-MONTH(D57)&lt;0,0,(YEAR($D$8)-YEAR(D57))*12+MONTH($D$8)-MONTH(D57))</f>
        <v>0</v>
      </c>
      <c r="F57" s="100">
        <f ca="1">INDIRECT(A57&amp;"!a8")</f>
        <v>43344</v>
      </c>
      <c r="G57" s="19">
        <f ca="1">INDIRECT(A57&amp;"!b8")</f>
        <v>43322</v>
      </c>
      <c r="H57" s="19">
        <f ca="1">INDIRECT(A57&amp;"!c8")</f>
        <v>43355</v>
      </c>
      <c r="I57" s="17" t="str">
        <f ca="1">INDIRECT(A57&amp;"!d8")</f>
        <v>?</v>
      </c>
      <c r="J57" s="101">
        <f ca="1">INDIRECT(A57&amp;"!e8")</f>
        <v>0</v>
      </c>
      <c r="K57" s="17">
        <f ca="1">INDIRECT(A57&amp;"!f8")</f>
        <v>0</v>
      </c>
      <c r="L57" s="17">
        <f ca="1">INDIRECT(A57&amp;"!g8")</f>
        <v>0</v>
      </c>
      <c r="M57" s="17">
        <f ca="1">INDIRECT(A57&amp;"!i8")</f>
        <v>0</v>
      </c>
      <c r="N57" s="19">
        <f ca="1">INDIRECT(A57&amp;"!j8")</f>
        <v>43384</v>
      </c>
      <c r="O57" s="17" t="e">
        <f ca="1">E57*I57</f>
        <v>#VALUE!</v>
      </c>
      <c r="P57" s="64">
        <f ca="1">INDIRECT(A57&amp;"!b5")</f>
        <v>0</v>
      </c>
      <c r="Q57" s="39">
        <f ca="1">INDIRECT(A57&amp;"!f7")</f>
        <v>0</v>
      </c>
      <c r="R57" s="17" t="e">
        <f ca="1">P57-O57</f>
        <v>#VALUE!</v>
      </c>
      <c r="S57" s="39">
        <f ca="1">INDIRECT(A57&amp;"!k8")</f>
        <v>7120</v>
      </c>
      <c r="T57" s="97" t="e">
        <f ca="1">1-ABS((INDIRECT(A57&amp;"!l8")-INDIRECT(A57&amp;"!k8"))/INDIRECT(A57&amp;"!k8"))</f>
        <v>#VALUE!</v>
      </c>
      <c r="U57" s="39" t="str">
        <f ca="1">INDIRECT(A57&amp;"!m8")</f>
        <v>horas faltantes Efergy</v>
      </c>
      <c r="V57" s="19" t="str">
        <f ca="1">INDIRECT(A57&amp;"!n8")</f>
        <v>Liberação pag seguro</v>
      </c>
      <c r="W57" s="19">
        <f ca="1">INDIRECT(A57&amp;"!b6")</f>
        <v>0</v>
      </c>
    </row>
    <row r="58" spans="1:23" ht="36" x14ac:dyDescent="0.3">
      <c r="A58" s="17">
        <v>2021226580</v>
      </c>
      <c r="B58" s="17" t="str">
        <f ca="1">INDIRECT(A58&amp;"!b1")</f>
        <v>UNIMAR AGENCIAMENTOS MARITIMOS LTDA</v>
      </c>
      <c r="C58" s="39" t="str">
        <f ca="1">INDIRECT(A58&amp;"!b2")</f>
        <v>00.728.995/0001-01</v>
      </c>
      <c r="D58" s="19">
        <f ca="1">INDIRECT(A58&amp;"!b4")</f>
        <v>43374</v>
      </c>
      <c r="E58" s="17">
        <f ca="1">IF((YEAR($D$8)-YEAR(D58))*12+MONTH($D$8)-MONTH(D58)&lt;0,0,(YEAR($D$8)-YEAR(D58))*12+MONTH($D$8)-MONTH(D58))</f>
        <v>0</v>
      </c>
      <c r="F58" s="100">
        <f ca="1">INDIRECT(A58&amp;"!a8")</f>
        <v>43344</v>
      </c>
      <c r="G58" s="19">
        <f ca="1">INDIRECT(A58&amp;"!b8")</f>
        <v>43322</v>
      </c>
      <c r="H58" s="19">
        <f ca="1">INDIRECT(A58&amp;"!c8")</f>
        <v>43355</v>
      </c>
      <c r="I58" s="17" t="str">
        <f ca="1">INDIRECT(A58&amp;"!d8")</f>
        <v>?</v>
      </c>
      <c r="J58" s="101">
        <f ca="1">INDIRECT(A58&amp;"!e8")</f>
        <v>0</v>
      </c>
      <c r="K58" s="17">
        <f ca="1">INDIRECT(A58&amp;"!f8")</f>
        <v>0</v>
      </c>
      <c r="L58" s="17">
        <f ca="1">INDIRECT(A58&amp;"!g8")</f>
        <v>0</v>
      </c>
      <c r="M58" s="17">
        <f ca="1">INDIRECT(A58&amp;"!i8")</f>
        <v>0</v>
      </c>
      <c r="N58" s="19">
        <f ca="1">INDIRECT(A58&amp;"!j8")</f>
        <v>43384</v>
      </c>
      <c r="O58" s="17" t="e">
        <f ca="1">E58*I58</f>
        <v>#VALUE!</v>
      </c>
      <c r="P58" s="64">
        <f ca="1">INDIRECT(A58&amp;"!b5")</f>
        <v>0</v>
      </c>
      <c r="Q58" s="39">
        <f ca="1">INDIRECT(A58&amp;"!f7")</f>
        <v>0</v>
      </c>
      <c r="R58" s="17" t="e">
        <f ca="1">P58-O58</f>
        <v>#VALUE!</v>
      </c>
      <c r="S58" s="39">
        <f ca="1">INDIRECT(A58&amp;"!k8")</f>
        <v>1977</v>
      </c>
      <c r="T58" s="97" t="e">
        <f ca="1">1-ABS((INDIRECT(A58&amp;"!l8")-INDIRECT(A58&amp;"!k8"))/INDIRECT(A58&amp;"!k8"))</f>
        <v>#VALUE!</v>
      </c>
      <c r="U58" s="39" t="str">
        <f ca="1">INDIRECT(A58&amp;"!m8")</f>
        <v>horas faltantes Efergy</v>
      </c>
      <c r="V58" s="19" t="str">
        <f ca="1">INDIRECT(A58&amp;"!n8")</f>
        <v>Liberação pag seguro</v>
      </c>
      <c r="W58" s="19">
        <f ca="1">INDIRECT(A58&amp;"!b6")</f>
        <v>0</v>
      </c>
    </row>
    <row r="59" spans="1:23" ht="36" x14ac:dyDescent="0.3">
      <c r="A59" s="17">
        <v>2091065828</v>
      </c>
      <c r="B59" s="17" t="str">
        <f ca="1">INDIRECT(A59&amp;"!b1")</f>
        <v>UNIMAR AGENCIAMENTOS MARITIMOS LTDA</v>
      </c>
      <c r="C59" s="39" t="str">
        <f ca="1">INDIRECT(A59&amp;"!b2")</f>
        <v>00.728.995/0001-01</v>
      </c>
      <c r="D59" s="19">
        <f ca="1">INDIRECT(A59&amp;"!b4")</f>
        <v>43374</v>
      </c>
      <c r="E59" s="17">
        <f ca="1">IF((YEAR($D$8)-YEAR(D59))*12+MONTH($D$8)-MONTH(D59)&lt;0,0,(YEAR($D$8)-YEAR(D59))*12+MONTH($D$8)-MONTH(D59))</f>
        <v>0</v>
      </c>
      <c r="F59" s="100">
        <f ca="1">INDIRECT(A59&amp;"!a8")</f>
        <v>43344</v>
      </c>
      <c r="G59" s="19">
        <f ca="1">INDIRECT(A59&amp;"!b8")</f>
        <v>43322</v>
      </c>
      <c r="H59" s="19">
        <f ca="1">INDIRECT(A59&amp;"!c8")</f>
        <v>43355</v>
      </c>
      <c r="I59" s="17" t="str">
        <f ca="1">INDIRECT(A59&amp;"!d8")</f>
        <v>?</v>
      </c>
      <c r="J59" s="101">
        <f ca="1">INDIRECT(A59&amp;"!e8")</f>
        <v>0</v>
      </c>
      <c r="K59" s="17">
        <f ca="1">INDIRECT(A59&amp;"!f8")</f>
        <v>0</v>
      </c>
      <c r="L59" s="17">
        <f ca="1">INDIRECT(A59&amp;"!g8")</f>
        <v>0</v>
      </c>
      <c r="M59" s="17">
        <f ca="1">INDIRECT(A59&amp;"!i8")</f>
        <v>0</v>
      </c>
      <c r="N59" s="19">
        <f ca="1">INDIRECT(A59&amp;"!j8")</f>
        <v>43384</v>
      </c>
      <c r="O59" s="17" t="e">
        <f ca="1">E59*I59</f>
        <v>#VALUE!</v>
      </c>
      <c r="P59" s="64">
        <f ca="1">INDIRECT(A59&amp;"!b5")</f>
        <v>0</v>
      </c>
      <c r="Q59" s="39">
        <f ca="1">INDIRECT(A59&amp;"!f7")</f>
        <v>0</v>
      </c>
      <c r="R59" s="17" t="e">
        <f ca="1">P59-O59</f>
        <v>#VALUE!</v>
      </c>
      <c r="S59" s="39">
        <f ca="1">INDIRECT(A59&amp;"!k8")</f>
        <v>2440</v>
      </c>
      <c r="T59" s="97" t="e">
        <f ca="1">1-ABS((INDIRECT(A59&amp;"!l8")-INDIRECT(A59&amp;"!k8"))/INDIRECT(A59&amp;"!k8"))</f>
        <v>#VALUE!</v>
      </c>
      <c r="U59" s="39" t="str">
        <f ca="1">INDIRECT(A59&amp;"!m8")</f>
        <v>horas faltantes Efergy</v>
      </c>
      <c r="V59" s="19" t="str">
        <f ca="1">INDIRECT(A59&amp;"!n8")</f>
        <v>Liberação pag seguro</v>
      </c>
      <c r="W59" s="19">
        <f ca="1">INDIRECT(A59&amp;"!b6")</f>
        <v>0</v>
      </c>
    </row>
    <row r="60" spans="1:23" ht="36" x14ac:dyDescent="0.3">
      <c r="A60" s="17">
        <v>4000103128</v>
      </c>
      <c r="B60" s="17" t="str">
        <f ca="1">INDIRECT(A60&amp;"!b1")</f>
        <v>ANGELIA TEREZINHA SEIDEL</v>
      </c>
      <c r="C60" s="39" t="str">
        <f ca="1">INDIRECT(A60&amp;"!b2")</f>
        <v>899.741.589-15</v>
      </c>
      <c r="D60" s="19">
        <f ca="1">INDIRECT(A60&amp;"!b4")</f>
        <v>43374</v>
      </c>
      <c r="E60" s="17">
        <f ca="1">IF((YEAR($D$8)-YEAR(D60))*12+MONTH($D$8)-MONTH(D60)&lt;0,0,(YEAR($D$8)-YEAR(D60))*12+MONTH($D$8)-MONTH(D60))</f>
        <v>0</v>
      </c>
      <c r="F60" s="100">
        <f ca="1">INDIRECT(A60&amp;"!a8")</f>
        <v>43344</v>
      </c>
      <c r="G60" s="19">
        <f ca="1">INDIRECT(A60&amp;"!b8")</f>
        <v>43325</v>
      </c>
      <c r="H60" s="19">
        <f ca="1">INDIRECT(A60&amp;"!c8")</f>
        <v>43356</v>
      </c>
      <c r="I60" s="17">
        <f ca="1">INDIRECT(A60&amp;"!d8")</f>
        <v>150</v>
      </c>
      <c r="J60" s="101">
        <f ca="1">INDIRECT(A60&amp;"!e8")</f>
        <v>0</v>
      </c>
      <c r="K60" s="17">
        <f ca="1">INDIRECT(A60&amp;"!f8")</f>
        <v>0</v>
      </c>
      <c r="L60" s="17">
        <f ca="1">INDIRECT(A60&amp;"!g8")</f>
        <v>0</v>
      </c>
      <c r="M60" s="17">
        <f ca="1">INDIRECT(A60&amp;"!i8")</f>
        <v>0</v>
      </c>
      <c r="N60" s="19">
        <f ca="1">INDIRECT(A60&amp;"!j8")</f>
        <v>43388</v>
      </c>
      <c r="O60" s="17">
        <f ca="1">E60*I60</f>
        <v>0</v>
      </c>
      <c r="P60" s="64">
        <f ca="1">INDIRECT(A60&amp;"!b5")</f>
        <v>0</v>
      </c>
      <c r="Q60" s="39">
        <f ca="1">INDIRECT(A60&amp;"!f7")</f>
        <v>0</v>
      </c>
      <c r="R60" s="17">
        <f ca="1">P60-O60</f>
        <v>0</v>
      </c>
      <c r="S60" s="39">
        <f ca="1">INDIRECT(A60&amp;"!k8")</f>
        <v>262</v>
      </c>
      <c r="T60" s="97" t="e">
        <f ca="1">1-ABS((INDIRECT(A60&amp;"!l8")-INDIRECT(A60&amp;"!k8"))/INDIRECT(A60&amp;"!k8"))</f>
        <v>#VALUE!</v>
      </c>
      <c r="U60" s="39" t="str">
        <f ca="1">INDIRECT(A60&amp;"!m8")</f>
        <v>horas faltantes Efergy</v>
      </c>
      <c r="V60" s="19" t="str">
        <f ca="1">INDIRECT(A60&amp;"!n8")</f>
        <v>Liberação pag seguro</v>
      </c>
      <c r="W60" s="19">
        <f ca="1">INDIRECT(A60&amp;"!b6")</f>
        <v>0</v>
      </c>
    </row>
    <row r="61" spans="1:23" ht="36" x14ac:dyDescent="0.3">
      <c r="A61" s="17">
        <v>2022844457</v>
      </c>
      <c r="B61" s="17" t="str">
        <f ca="1">INDIRECT(A61&amp;"!b1")</f>
        <v>BELMIRO PAIVA NETO</v>
      </c>
      <c r="C61" s="39" t="str">
        <f ca="1">INDIRECT(A61&amp;"!b2")</f>
        <v>036.847.788-69</v>
      </c>
      <c r="D61" s="19">
        <f ca="1">INDIRECT(A61&amp;"!b4")</f>
        <v>43374</v>
      </c>
      <c r="E61" s="17">
        <f ca="1">IF((YEAR($D$8)-YEAR(D61))*12+MONTH($D$8)-MONTH(D61)&lt;0,0,(YEAR($D$8)-YEAR(D61))*12+MONTH($D$8)-MONTH(D61))</f>
        <v>0</v>
      </c>
      <c r="F61" s="100">
        <f ca="1">INDIRECT(A61&amp;"!a8")</f>
        <v>43344</v>
      </c>
      <c r="G61" s="19">
        <f ca="1">INDIRECT(A61&amp;"!b8")</f>
        <v>43325</v>
      </c>
      <c r="H61" s="19">
        <f ca="1">INDIRECT(A61&amp;"!c8")</f>
        <v>43356</v>
      </c>
      <c r="I61" s="17">
        <f ca="1">INDIRECT(A61&amp;"!d8")</f>
        <v>450</v>
      </c>
      <c r="J61" s="101">
        <f ca="1">INDIRECT(A61&amp;"!e8")</f>
        <v>0</v>
      </c>
      <c r="K61" s="17">
        <f ca="1">INDIRECT(A61&amp;"!f8")</f>
        <v>0</v>
      </c>
      <c r="L61" s="17">
        <f ca="1">INDIRECT(A61&amp;"!g8")</f>
        <v>0</v>
      </c>
      <c r="M61" s="17">
        <f ca="1">INDIRECT(A61&amp;"!i8")</f>
        <v>0</v>
      </c>
      <c r="N61" s="19">
        <f ca="1">INDIRECT(A61&amp;"!j8")</f>
        <v>43388</v>
      </c>
      <c r="O61" s="17">
        <f ca="1">E61*I61</f>
        <v>0</v>
      </c>
      <c r="P61" s="64">
        <f ca="1">INDIRECT(A61&amp;"!b5")</f>
        <v>0</v>
      </c>
      <c r="Q61" s="39">
        <f ca="1">INDIRECT(A61&amp;"!f7")</f>
        <v>0</v>
      </c>
      <c r="R61" s="17">
        <f ca="1">P61-O61</f>
        <v>0</v>
      </c>
      <c r="S61" s="39">
        <f ca="1">INDIRECT(A61&amp;"!k8")</f>
        <v>314</v>
      </c>
      <c r="T61" s="97" t="e">
        <f ca="1">1-ABS((INDIRECT(A61&amp;"!l8")-INDIRECT(A61&amp;"!k8"))/INDIRECT(A61&amp;"!k8"))</f>
        <v>#VALUE!</v>
      </c>
      <c r="U61" s="39" t="str">
        <f ca="1">INDIRECT(A61&amp;"!m8")</f>
        <v>horas faltantes Efergy</v>
      </c>
      <c r="V61" s="19" t="str">
        <f ca="1">INDIRECT(A61&amp;"!n8")</f>
        <v>Liberação pag seguro</v>
      </c>
      <c r="W61" s="19">
        <f ca="1">INDIRECT(A61&amp;"!b6")</f>
        <v>0</v>
      </c>
    </row>
  </sheetData>
  <autoFilter ref="A1:T5" xr:uid="{1F1DC207-2A2D-438A-B7DC-95076180B32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1">
    <mergeCell ref="A1:R5"/>
  </mergeCells>
  <pageMargins left="0.511811024" right="0.511811024" top="0.78740157499999996" bottom="0.78740157499999996" header="0.31496062000000002" footer="0.31496062000000002"/>
  <pageSetup paperSize="9" scale="41" orientation="landscape" horizontalDpi="4294967293" verticalDpi="4294967293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B05F-4D66-4E85-B9CD-FC46BDE5850D}">
  <sheetPr>
    <tabColor rgb="FFFFFF00"/>
  </sheetPr>
  <dimension ref="A1:S31"/>
  <sheetViews>
    <sheetView topLeftCell="B1" workbookViewId="0">
      <selection activeCell="K24" sqref="K24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188</v>
      </c>
      <c r="F1" s="2">
        <v>8440</v>
      </c>
      <c r="G1" s="2">
        <f>F1*E11</f>
        <v>88.62</v>
      </c>
    </row>
    <row r="2" spans="1:19" x14ac:dyDescent="0.25">
      <c r="A2" s="2" t="s">
        <v>5</v>
      </c>
      <c r="B2" s="5" t="s">
        <v>189</v>
      </c>
      <c r="F2" s="2">
        <v>9880</v>
      </c>
      <c r="G2" s="2">
        <f>F2*E12</f>
        <v>103.74000000000001</v>
      </c>
      <c r="I2" s="2">
        <v>600</v>
      </c>
    </row>
    <row r="3" spans="1:19" x14ac:dyDescent="0.25">
      <c r="A3" s="2" t="s">
        <v>6</v>
      </c>
      <c r="B3" s="10">
        <v>2095370447</v>
      </c>
      <c r="F3" s="2">
        <v>8560</v>
      </c>
      <c r="G3" s="2">
        <f>F3*E12</f>
        <v>89.88000000000001</v>
      </c>
    </row>
    <row r="4" spans="1:19" ht="14.4" x14ac:dyDescent="0.3">
      <c r="A4" s="2" t="s">
        <v>7</v>
      </c>
      <c r="B4" s="9">
        <v>43313</v>
      </c>
      <c r="C4" s="9"/>
      <c r="F4" s="74"/>
    </row>
    <row r="5" spans="1:19" x14ac:dyDescent="0.25">
      <c r="A5" s="1" t="s">
        <v>18</v>
      </c>
      <c r="B5" s="28">
        <f>SUM(F11:F200)</f>
        <v>89.88</v>
      </c>
    </row>
    <row r="6" spans="1:19" x14ac:dyDescent="0.25">
      <c r="A6" s="1" t="s">
        <v>103</v>
      </c>
      <c r="B6" s="65">
        <f>B5-B7</f>
        <v>-10.120000000000005</v>
      </c>
    </row>
    <row r="7" spans="1:19" x14ac:dyDescent="0.25">
      <c r="A7" s="1" t="s">
        <v>108</v>
      </c>
      <c r="B7" s="65">
        <f>SUM(D11:D200)</f>
        <v>100</v>
      </c>
      <c r="F7" s="2">
        <f>COUNTIF(F11:F200,"&gt;0")</f>
        <v>1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43318</v>
      </c>
      <c r="C8" s="14">
        <f t="shared" ca="1" si="0"/>
        <v>43348</v>
      </c>
      <c r="D8" s="15">
        <f t="shared" ca="1" si="0"/>
        <v>100</v>
      </c>
      <c r="E8" s="16">
        <f t="shared" ca="1" si="0"/>
        <v>1.0500000000000001E-2</v>
      </c>
      <c r="F8" s="15">
        <f t="shared" ca="1" si="0"/>
        <v>89.88</v>
      </c>
      <c r="G8" s="15">
        <f t="shared" ca="1" si="0"/>
        <v>89.88</v>
      </c>
      <c r="H8" s="15">
        <f t="shared" ca="1" si="0"/>
        <v>0</v>
      </c>
      <c r="I8" s="15">
        <f t="shared" ca="1" si="0"/>
        <v>0</v>
      </c>
      <c r="J8" s="14">
        <f t="shared" ca="1" si="0"/>
        <v>43378</v>
      </c>
      <c r="K8" s="31">
        <f t="shared" ca="1" si="0"/>
        <v>354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2</v>
      </c>
      <c r="B9" s="1">
        <f t="shared" ref="B9:M9" si="1">COUNTA(B11:B200)</f>
        <v>2</v>
      </c>
      <c r="C9" s="1">
        <f t="shared" si="1"/>
        <v>2</v>
      </c>
      <c r="D9" s="1">
        <f t="shared" si="1"/>
        <v>2</v>
      </c>
      <c r="E9" s="1">
        <f t="shared" si="1"/>
        <v>2</v>
      </c>
      <c r="F9" s="1">
        <f t="shared" si="1"/>
        <v>2</v>
      </c>
      <c r="G9" s="1">
        <f t="shared" si="1"/>
        <v>2</v>
      </c>
      <c r="H9" s="1">
        <f t="shared" si="1"/>
        <v>2</v>
      </c>
      <c r="I9" s="1">
        <f t="shared" si="1"/>
        <v>2</v>
      </c>
      <c r="J9" s="1">
        <f t="shared" si="1"/>
        <v>2</v>
      </c>
      <c r="K9" s="1">
        <f t="shared" si="1"/>
        <v>2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43286</v>
      </c>
      <c r="C11" s="9">
        <v>43318</v>
      </c>
      <c r="D11" s="21">
        <v>0</v>
      </c>
      <c r="E11" s="51">
        <v>1.0500000000000001E-2</v>
      </c>
      <c r="F11" s="27">
        <v>0</v>
      </c>
      <c r="G11" s="27">
        <v>0</v>
      </c>
      <c r="H11" s="27">
        <v>0</v>
      </c>
      <c r="I11" s="27">
        <v>0</v>
      </c>
      <c r="J11" s="9">
        <v>43348</v>
      </c>
      <c r="K11" s="52">
        <v>402</v>
      </c>
      <c r="L11" s="53"/>
      <c r="M11" s="53"/>
      <c r="N11" s="8"/>
      <c r="O11" s="2" t="e">
        <f>IF(C11&gt;VLOOKUP(A11,'4001950116'!$A$11:$N$200,3,FALSE),VLOOKUP(A11,'4001950116'!$A$11:$N$200,11,FALSE),VLOOKUP(A10,'4001950116'!$A$11:$N$200,11,FALSE))*E11</f>
        <v>#N/A</v>
      </c>
      <c r="Q11" s="59"/>
      <c r="R11" s="2">
        <f t="shared" ref="R11" si="2">L11*(1+Q11)</f>
        <v>0</v>
      </c>
      <c r="S11" s="62" t="e">
        <f t="shared" ref="S11" si="3">K11/R11</f>
        <v>#DIV/0!</v>
      </c>
    </row>
    <row r="12" spans="1:19" x14ac:dyDescent="0.25">
      <c r="A12" s="8">
        <v>43344</v>
      </c>
      <c r="B12" s="9">
        <v>43318</v>
      </c>
      <c r="C12" s="9">
        <v>43348</v>
      </c>
      <c r="D12" s="2">
        <v>100</v>
      </c>
      <c r="E12" s="51">
        <v>1.0500000000000001E-2</v>
      </c>
      <c r="F12" s="28">
        <f>G12+H12</f>
        <v>89.88</v>
      </c>
      <c r="G12" s="2">
        <v>89.88</v>
      </c>
      <c r="H12" s="28">
        <f>I12-I11</f>
        <v>0</v>
      </c>
      <c r="I12" s="2">
        <v>0</v>
      </c>
      <c r="J12" s="9">
        <v>43378</v>
      </c>
      <c r="K12" s="2">
        <v>354</v>
      </c>
      <c r="N12" s="8"/>
      <c r="O12" s="2">
        <f>IF(C12&gt;VLOOKUP(A11,'4001950116'!$A$11:$N$200,3,FALSE),VLOOKUP(A11,'4001950116'!$A$11:$N$200,11,FALSE),VLOOKUP(A11,'4001950116'!$A$11:$N$200,11,FALSE))*E12</f>
        <v>89.88000000000001</v>
      </c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E8F0-CE6C-4381-8A06-2C05B5799776}">
  <dimension ref="A1:S31"/>
  <sheetViews>
    <sheetView topLeftCell="B1" workbookViewId="0">
      <selection activeCell="O13" sqref="O13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188</v>
      </c>
      <c r="F1" s="2">
        <v>8440</v>
      </c>
      <c r="G1" s="2">
        <f>F1*E11</f>
        <v>443.94400000000002</v>
      </c>
    </row>
    <row r="2" spans="1:19" x14ac:dyDescent="0.25">
      <c r="A2" s="2" t="s">
        <v>5</v>
      </c>
      <c r="B2" s="5" t="s">
        <v>189</v>
      </c>
      <c r="F2" s="2">
        <v>9880</v>
      </c>
      <c r="G2" s="2">
        <f>F2*E12</f>
        <v>519.68799999999999</v>
      </c>
    </row>
    <row r="3" spans="1:19" x14ac:dyDescent="0.25">
      <c r="A3" s="2" t="s">
        <v>6</v>
      </c>
      <c r="B3" s="10">
        <v>2020707304</v>
      </c>
    </row>
    <row r="4" spans="1:19" ht="14.4" x14ac:dyDescent="0.3">
      <c r="A4" s="2" t="s">
        <v>7</v>
      </c>
      <c r="B4" s="9">
        <v>43313</v>
      </c>
      <c r="C4" s="9"/>
      <c r="F4" s="74"/>
    </row>
    <row r="5" spans="1:19" x14ac:dyDescent="0.25">
      <c r="A5" s="1" t="s">
        <v>18</v>
      </c>
      <c r="B5" s="28">
        <f>SUM(F11:F200)</f>
        <v>450.25599999999997</v>
      </c>
    </row>
    <row r="6" spans="1:19" x14ac:dyDescent="0.25">
      <c r="A6" s="1" t="s">
        <v>103</v>
      </c>
      <c r="B6" s="65">
        <f>B5-B7</f>
        <v>-49.744000000000028</v>
      </c>
    </row>
    <row r="7" spans="1:19" x14ac:dyDescent="0.25">
      <c r="A7" s="1" t="s">
        <v>108</v>
      </c>
      <c r="B7" s="65">
        <f>SUM(D11:D200)</f>
        <v>500</v>
      </c>
      <c r="F7" s="2">
        <f>COUNTIF(F11:F200,"&gt;0")</f>
        <v>1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43318</v>
      </c>
      <c r="C8" s="14">
        <f t="shared" ca="1" si="0"/>
        <v>43317</v>
      </c>
      <c r="D8" s="15">
        <f t="shared" ca="1" si="0"/>
        <v>500</v>
      </c>
      <c r="E8" s="16">
        <f t="shared" ca="1" si="0"/>
        <v>5.2600000000000001E-2</v>
      </c>
      <c r="F8" s="15">
        <f t="shared" ca="1" si="0"/>
        <v>450.25599999999997</v>
      </c>
      <c r="G8" s="15">
        <f t="shared" ca="1" si="0"/>
        <v>450.25599999999997</v>
      </c>
      <c r="H8" s="15">
        <f t="shared" ca="1" si="0"/>
        <v>0</v>
      </c>
      <c r="I8" s="15">
        <f t="shared" ca="1" si="0"/>
        <v>0</v>
      </c>
      <c r="J8" s="14">
        <f t="shared" ca="1" si="0"/>
        <v>43378</v>
      </c>
      <c r="K8" s="31">
        <f t="shared" ca="1" si="0"/>
        <v>568</v>
      </c>
      <c r="L8" s="30">
        <f t="shared" ca="1" si="0"/>
        <v>622.57999999999959</v>
      </c>
      <c r="M8" s="30">
        <f t="shared" ca="1" si="0"/>
        <v>6</v>
      </c>
      <c r="N8" s="36" t="str">
        <f ca="1">OFFSET(N10,N9,0)</f>
        <v>Liberação pag seguro</v>
      </c>
    </row>
    <row r="9" spans="1:19" x14ac:dyDescent="0.25">
      <c r="A9" s="1">
        <f>COUNTA(A11:A200)</f>
        <v>2</v>
      </c>
      <c r="B9" s="1">
        <f t="shared" ref="B9:M9" si="1">COUNTA(B11:B200)</f>
        <v>2</v>
      </c>
      <c r="C9" s="1">
        <f t="shared" si="1"/>
        <v>2</v>
      </c>
      <c r="D9" s="1">
        <f t="shared" si="1"/>
        <v>2</v>
      </c>
      <c r="E9" s="1">
        <f t="shared" si="1"/>
        <v>2</v>
      </c>
      <c r="F9" s="1">
        <f t="shared" si="1"/>
        <v>2</v>
      </c>
      <c r="G9" s="1">
        <f t="shared" si="1"/>
        <v>2</v>
      </c>
      <c r="H9" s="1">
        <f t="shared" si="1"/>
        <v>2</v>
      </c>
      <c r="I9" s="1">
        <f t="shared" si="1"/>
        <v>2</v>
      </c>
      <c r="J9" s="1">
        <f t="shared" si="1"/>
        <v>2</v>
      </c>
      <c r="K9" s="1">
        <f t="shared" si="1"/>
        <v>2</v>
      </c>
      <c r="L9" s="1">
        <f t="shared" si="1"/>
        <v>1</v>
      </c>
      <c r="M9" s="1">
        <f t="shared" si="1"/>
        <v>1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43286</v>
      </c>
      <c r="C11" s="9">
        <v>43318</v>
      </c>
      <c r="D11" s="21">
        <v>0</v>
      </c>
      <c r="E11" s="51">
        <v>5.2600000000000001E-2</v>
      </c>
      <c r="F11" s="27">
        <v>0</v>
      </c>
      <c r="G11" s="27">
        <v>0</v>
      </c>
      <c r="H11" s="27">
        <v>0</v>
      </c>
      <c r="I11" s="27">
        <v>0</v>
      </c>
      <c r="J11" s="9">
        <v>43348</v>
      </c>
      <c r="K11" s="52">
        <v>696</v>
      </c>
      <c r="L11" s="53">
        <v>622.57999999999959</v>
      </c>
      <c r="M11" s="53">
        <v>6</v>
      </c>
      <c r="N11" s="8"/>
      <c r="O11" s="2" t="e">
        <f>IF(C11&gt;VLOOKUP(A11,'4001950116'!$A$11:$N$200,3,FALSE),VLOOKUP(A11,'4001950116'!$A$11:$N$200,11,FALSE),VLOOKUP(A10,'4001950116'!$A$11:$N$200,11,FALSE))*E11</f>
        <v>#N/A</v>
      </c>
      <c r="P11" s="2">
        <f>(C11-B11)*24</f>
        <v>768</v>
      </c>
      <c r="Q11" s="59">
        <f t="shared" ref="Q11" si="2">M11/P11</f>
        <v>7.8125E-3</v>
      </c>
      <c r="R11" s="2">
        <f t="shared" ref="R11" si="3">L11*(1+Q11)</f>
        <v>627.4439062499996</v>
      </c>
      <c r="S11" s="62">
        <f t="shared" ref="S11" si="4">K11/R11</f>
        <v>1.1092625062848005</v>
      </c>
    </row>
    <row r="12" spans="1:19" x14ac:dyDescent="0.25">
      <c r="A12" s="8">
        <v>43344</v>
      </c>
      <c r="B12" s="9">
        <v>43318</v>
      </c>
      <c r="C12" s="9">
        <v>43317</v>
      </c>
      <c r="D12" s="2">
        <v>500</v>
      </c>
      <c r="E12" s="51">
        <v>5.2600000000000001E-2</v>
      </c>
      <c r="F12" s="28">
        <f>G12+H12</f>
        <v>450.25599999999997</v>
      </c>
      <c r="G12" s="2">
        <v>450.25599999999997</v>
      </c>
      <c r="H12" s="28">
        <f>I12-I11</f>
        <v>0</v>
      </c>
      <c r="I12" s="2">
        <v>0</v>
      </c>
      <c r="J12" s="9">
        <v>43378</v>
      </c>
      <c r="K12" s="2">
        <v>568</v>
      </c>
      <c r="N12" s="8"/>
      <c r="O12" s="2">
        <f>IF(C12&gt;VLOOKUP(A11,'4001950116'!$A$11:$N$200,3,FALSE),VLOOKUP(A11,'4001950116'!$A$11:$N$200,11,FALSE),VLOOKUP(A11,'4001950116'!$A$11:$N$200,11,FALSE))*E12</f>
        <v>450.25600000000003</v>
      </c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CBD5-0ADC-4612-8101-14A4E4D4B21F}">
  <dimension ref="A1:S31"/>
  <sheetViews>
    <sheetView workbookViewId="0">
      <selection activeCell="S12" sqref="S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184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185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2094715921</v>
      </c>
    </row>
    <row r="4" spans="1:19" ht="14.4" x14ac:dyDescent="0.3">
      <c r="A4" s="2" t="s">
        <v>7</v>
      </c>
      <c r="B4" s="9">
        <v>43313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SUM(D11:D200)</f>
        <v>0</v>
      </c>
      <c r="F7" s="2">
        <f>COUNTIF(F11:F200,"&gt;0")</f>
        <v>0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43307</v>
      </c>
      <c r="C8" s="14">
        <f t="shared" ca="1" si="0"/>
        <v>43336</v>
      </c>
      <c r="D8" s="15">
        <f t="shared" ca="1" si="0"/>
        <v>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43369</v>
      </c>
      <c r="K8" s="31">
        <f t="shared" ca="1" si="0"/>
        <v>630</v>
      </c>
      <c r="L8" s="30">
        <f t="shared" ca="1" si="0"/>
        <v>397.55000000000018</v>
      </c>
      <c r="M8" s="30">
        <f t="shared" ca="1" si="0"/>
        <v>2</v>
      </c>
      <c r="N8" s="36" t="str">
        <f ca="1">OFFSET(N10,N9,0)</f>
        <v>Liberação pag seguro</v>
      </c>
    </row>
    <row r="9" spans="1:19" x14ac:dyDescent="0.25">
      <c r="A9" s="1">
        <f>COUNTA(A11:A200)</f>
        <v>2</v>
      </c>
      <c r="B9" s="1">
        <f t="shared" ref="B9:M9" si="1">COUNTA(B11:B200)</f>
        <v>2</v>
      </c>
      <c r="C9" s="1">
        <f t="shared" si="1"/>
        <v>2</v>
      </c>
      <c r="D9" s="1">
        <f t="shared" si="1"/>
        <v>2</v>
      </c>
      <c r="E9" s="1">
        <f t="shared" si="1"/>
        <v>2</v>
      </c>
      <c r="F9" s="1">
        <f t="shared" si="1"/>
        <v>2</v>
      </c>
      <c r="G9" s="1">
        <f t="shared" si="1"/>
        <v>2</v>
      </c>
      <c r="H9" s="1">
        <f t="shared" si="1"/>
        <v>2</v>
      </c>
      <c r="I9" s="1">
        <f t="shared" si="1"/>
        <v>2</v>
      </c>
      <c r="J9" s="1">
        <f t="shared" si="1"/>
        <v>2</v>
      </c>
      <c r="K9" s="1">
        <f t="shared" si="1"/>
        <v>2</v>
      </c>
      <c r="L9" s="1">
        <f t="shared" si="1"/>
        <v>2</v>
      </c>
      <c r="M9" s="1">
        <f t="shared" si="1"/>
        <v>2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43282</v>
      </c>
      <c r="B11" s="9">
        <v>43277</v>
      </c>
      <c r="C11" s="9">
        <v>43307</v>
      </c>
      <c r="D11" s="21">
        <v>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43336</v>
      </c>
      <c r="K11" s="52">
        <v>796</v>
      </c>
      <c r="L11" s="53">
        <v>527.62999999999943</v>
      </c>
      <c r="M11" s="53">
        <v>12</v>
      </c>
      <c r="N11" s="8"/>
      <c r="O11" s="2">
        <f>IF(C11&gt;VLOOKUP(A11,'4001950116'!$A$11:$N$200,3,FALSE),VLOOKUP(A11,'4001950116'!$A$11:$N$200,11,FALSE),VLOOKUP(A10,'4001950116'!$A$11:$N$200,11,FALSE))*E11</f>
        <v>0</v>
      </c>
      <c r="P11" s="2">
        <f>(C11-B11)*24</f>
        <v>720</v>
      </c>
      <c r="Q11" s="59">
        <f t="shared" ref="Q11" si="2">M11/P11</f>
        <v>1.6666666666666666E-2</v>
      </c>
      <c r="R11" s="2">
        <f t="shared" ref="R11" si="3">L11*(1+Q11)</f>
        <v>536.42383333333271</v>
      </c>
      <c r="S11" s="62">
        <f t="shared" ref="S11" si="4">K11/R11</f>
        <v>1.4839012559409663</v>
      </c>
    </row>
    <row r="12" spans="1:19" x14ac:dyDescent="0.25">
      <c r="A12" s="8">
        <v>43313</v>
      </c>
      <c r="B12" s="9">
        <v>43307</v>
      </c>
      <c r="C12" s="9">
        <v>43336</v>
      </c>
      <c r="D12" s="2">
        <v>0</v>
      </c>
      <c r="E12" s="51">
        <v>0</v>
      </c>
      <c r="F12" s="28">
        <f>G12+H12</f>
        <v>0</v>
      </c>
      <c r="G12" s="2">
        <v>0</v>
      </c>
      <c r="H12" s="28">
        <f>I12-I11</f>
        <v>0</v>
      </c>
      <c r="I12" s="2">
        <v>0</v>
      </c>
      <c r="J12" s="9">
        <v>43369</v>
      </c>
      <c r="K12" s="2">
        <v>630</v>
      </c>
      <c r="L12" s="2">
        <v>397.55000000000018</v>
      </c>
      <c r="M12" s="2">
        <v>2</v>
      </c>
      <c r="N12" s="8"/>
      <c r="P12" s="2">
        <f>(C12-B12)*24</f>
        <v>696</v>
      </c>
      <c r="Q12" s="59">
        <f t="shared" ref="Q12" si="5">M12/P12</f>
        <v>2.8735632183908046E-3</v>
      </c>
      <c r="R12" s="2">
        <f t="shared" ref="R12" si="6">L12*(1+Q12)</f>
        <v>398.69238505747143</v>
      </c>
      <c r="S12" s="62">
        <f t="shared" ref="S12" si="7">K12/R12</f>
        <v>1.5801656204424011</v>
      </c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61A2-E737-4D5C-AAEF-0FE915507831}">
  <sheetPr>
    <tabColor rgb="FFFFFF00"/>
  </sheetPr>
  <dimension ref="A1:S31"/>
  <sheetViews>
    <sheetView workbookViewId="0">
      <selection activeCell="K13" sqref="K13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186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187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2020565933</v>
      </c>
    </row>
    <row r="4" spans="1:19" ht="14.4" x14ac:dyDescent="0.3">
      <c r="A4" s="2" t="s">
        <v>7</v>
      </c>
      <c r="B4" s="9">
        <v>43313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SUM(D11:D200)</f>
        <v>0</v>
      </c>
      <c r="F7" s="2">
        <f>COUNTIF(F11:F200,"&gt;0")</f>
        <v>0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43315</v>
      </c>
      <c r="C8" s="14">
        <f t="shared" ca="1" si="0"/>
        <v>43347</v>
      </c>
      <c r="D8" s="15">
        <f t="shared" ca="1" si="0"/>
        <v>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43377</v>
      </c>
      <c r="K8" s="31">
        <f t="shared" ca="1" si="0"/>
        <v>153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2</v>
      </c>
      <c r="B9" s="1">
        <f t="shared" ref="B9:M9" si="1">COUNTA(B11:B200)</f>
        <v>2</v>
      </c>
      <c r="C9" s="1">
        <f t="shared" si="1"/>
        <v>2</v>
      </c>
      <c r="D9" s="1">
        <f t="shared" si="1"/>
        <v>2</v>
      </c>
      <c r="E9" s="1">
        <f t="shared" si="1"/>
        <v>2</v>
      </c>
      <c r="F9" s="1">
        <f t="shared" si="1"/>
        <v>2</v>
      </c>
      <c r="G9" s="1">
        <f t="shared" si="1"/>
        <v>2</v>
      </c>
      <c r="H9" s="1">
        <f t="shared" si="1"/>
        <v>2</v>
      </c>
      <c r="I9" s="1">
        <f t="shared" si="1"/>
        <v>2</v>
      </c>
      <c r="J9" s="1">
        <f t="shared" si="1"/>
        <v>2</v>
      </c>
      <c r="K9" s="1">
        <f t="shared" si="1"/>
        <v>2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43285</v>
      </c>
      <c r="C11" s="9">
        <v>43315</v>
      </c>
      <c r="D11" s="21">
        <v>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43347</v>
      </c>
      <c r="K11" s="52">
        <v>73</v>
      </c>
      <c r="L11" s="53"/>
      <c r="M11" s="53"/>
      <c r="N11" s="8"/>
      <c r="O11" s="2" t="e">
        <f>IF(C11&gt;VLOOKUP(A11,'4001950116'!$A$11:$N$200,3,FALSE),VLOOKUP(A11,'4001950116'!$A$11:$N$200,11,FALSE),VLOOKUP(A10,'4001950116'!$A$11:$N$200,11,FALSE))*E11</f>
        <v>#N/A</v>
      </c>
      <c r="Q11" s="59"/>
      <c r="S11" s="62"/>
    </row>
    <row r="12" spans="1:19" x14ac:dyDescent="0.25">
      <c r="A12" s="8">
        <v>43344</v>
      </c>
      <c r="B12" s="9">
        <v>43315</v>
      </c>
      <c r="C12" s="9">
        <v>43347</v>
      </c>
      <c r="D12" s="2">
        <v>0</v>
      </c>
      <c r="E12" s="51">
        <v>0</v>
      </c>
      <c r="F12" s="28">
        <v>0</v>
      </c>
      <c r="G12" s="2">
        <v>0</v>
      </c>
      <c r="H12" s="28">
        <v>0</v>
      </c>
      <c r="I12" s="2">
        <v>0</v>
      </c>
      <c r="J12" s="9">
        <v>43377</v>
      </c>
      <c r="K12" s="2">
        <v>153</v>
      </c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D24B-2B7D-4F17-BFF4-F6388A0F6255}">
  <dimension ref="A1:S31"/>
  <sheetViews>
    <sheetView workbookViewId="0">
      <selection activeCell="L12" sqref="L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186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187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2020565925</v>
      </c>
    </row>
    <row r="4" spans="1:19" ht="14.4" x14ac:dyDescent="0.3">
      <c r="A4" s="2" t="s">
        <v>7</v>
      </c>
      <c r="B4" s="9">
        <v>43313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SUM(D11:D200)</f>
        <v>0</v>
      </c>
      <c r="F7" s="2">
        <f>COUNTIF(F11:F200,"&gt;0")</f>
        <v>0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43315</v>
      </c>
      <c r="C8" s="14">
        <f t="shared" ca="1" si="0"/>
        <v>43347</v>
      </c>
      <c r="D8" s="15">
        <f t="shared" ca="1" si="0"/>
        <v>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43377</v>
      </c>
      <c r="K8" s="31">
        <f t="shared" ca="1" si="0"/>
        <v>306</v>
      </c>
      <c r="L8" s="30">
        <f t="shared" ca="1" si="0"/>
        <v>241.74999999999991</v>
      </c>
      <c r="M8" s="30">
        <f t="shared" ca="1" si="0"/>
        <v>33</v>
      </c>
      <c r="N8" s="36" t="str">
        <f ca="1">OFFSET(N10,N9,0)</f>
        <v>Liberação pag seguro</v>
      </c>
    </row>
    <row r="9" spans="1:19" x14ac:dyDescent="0.25">
      <c r="A9" s="1">
        <f>COUNTA(A11:A200)</f>
        <v>2</v>
      </c>
      <c r="B9" s="1">
        <f t="shared" ref="B9:M9" si="1">COUNTA(B11:B200)</f>
        <v>2</v>
      </c>
      <c r="C9" s="1">
        <f t="shared" si="1"/>
        <v>2</v>
      </c>
      <c r="D9" s="1">
        <f t="shared" si="1"/>
        <v>2</v>
      </c>
      <c r="E9" s="1">
        <f t="shared" si="1"/>
        <v>2</v>
      </c>
      <c r="F9" s="1">
        <f t="shared" si="1"/>
        <v>2</v>
      </c>
      <c r="G9" s="1">
        <f t="shared" si="1"/>
        <v>2</v>
      </c>
      <c r="H9" s="1">
        <f t="shared" si="1"/>
        <v>2</v>
      </c>
      <c r="I9" s="1">
        <f t="shared" si="1"/>
        <v>2</v>
      </c>
      <c r="J9" s="1">
        <f t="shared" si="1"/>
        <v>2</v>
      </c>
      <c r="K9" s="1">
        <f t="shared" si="1"/>
        <v>2</v>
      </c>
      <c r="L9" s="1">
        <f t="shared" si="1"/>
        <v>1</v>
      </c>
      <c r="M9" s="1">
        <f t="shared" si="1"/>
        <v>1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43285</v>
      </c>
      <c r="C11" s="9">
        <v>43315</v>
      </c>
      <c r="D11" s="21">
        <v>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43347</v>
      </c>
      <c r="K11" s="52">
        <v>246</v>
      </c>
      <c r="L11" s="53">
        <v>241.74999999999991</v>
      </c>
      <c r="M11" s="53">
        <v>33</v>
      </c>
      <c r="N11" s="8"/>
      <c r="O11" s="2" t="e">
        <f>IF(C11&gt;VLOOKUP(A11,'4001950116'!$A$11:$N$200,3,FALSE),VLOOKUP(A11,'4001950116'!$A$11:$N$200,11,FALSE),VLOOKUP(A10,'4001950116'!$A$11:$N$200,11,FALSE))*E11</f>
        <v>#N/A</v>
      </c>
      <c r="P11" s="2">
        <f>(C11-B11)*24</f>
        <v>720</v>
      </c>
      <c r="Q11" s="59">
        <f t="shared" ref="Q11" si="2">M11/P11</f>
        <v>4.583333333333333E-2</v>
      </c>
      <c r="R11" s="2">
        <f t="shared" ref="R11" si="3">L11*(1+Q11)</f>
        <v>252.83020833333325</v>
      </c>
      <c r="S11" s="62">
        <f t="shared" ref="S11" si="4">K11/R11</f>
        <v>0.97298499899059432</v>
      </c>
    </row>
    <row r="12" spans="1:19" x14ac:dyDescent="0.25">
      <c r="A12" s="8">
        <v>43344</v>
      </c>
      <c r="B12" s="9">
        <v>43315</v>
      </c>
      <c r="C12" s="9">
        <v>43347</v>
      </c>
      <c r="D12" s="2">
        <v>0</v>
      </c>
      <c r="E12" s="51">
        <v>0</v>
      </c>
      <c r="F12" s="28">
        <v>0</v>
      </c>
      <c r="G12" s="2">
        <v>0</v>
      </c>
      <c r="H12" s="28">
        <v>0</v>
      </c>
      <c r="I12" s="2">
        <v>0</v>
      </c>
      <c r="J12" s="9">
        <v>43377</v>
      </c>
      <c r="K12" s="2">
        <v>306</v>
      </c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4B5E-13E2-4EB5-8C49-DE32C12CADF7}">
  <dimension ref="A1:S31"/>
  <sheetViews>
    <sheetView topLeftCell="F1" workbookViewId="0">
      <selection activeCell="S13" sqref="S13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5" width="10" style="2" bestFit="1" customWidth="1"/>
    <col min="16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183</v>
      </c>
      <c r="F1" s="2">
        <v>8440</v>
      </c>
      <c r="G1" s="2">
        <f>F1*E11</f>
        <v>839.78000000000009</v>
      </c>
    </row>
    <row r="2" spans="1:19" x14ac:dyDescent="0.25">
      <c r="A2" s="2" t="s">
        <v>5</v>
      </c>
      <c r="B2" s="5" t="s">
        <v>176</v>
      </c>
      <c r="F2" s="2">
        <v>9880</v>
      </c>
      <c r="G2" s="2">
        <f>F2*E12</f>
        <v>983.06000000000006</v>
      </c>
    </row>
    <row r="3" spans="1:19" x14ac:dyDescent="0.25">
      <c r="A3" s="2" t="s">
        <v>6</v>
      </c>
      <c r="B3" s="10">
        <v>2023301279</v>
      </c>
    </row>
    <row r="4" spans="1:19" ht="14.4" x14ac:dyDescent="0.3">
      <c r="A4" s="2" t="s">
        <v>7</v>
      </c>
      <c r="B4" s="9">
        <v>43282</v>
      </c>
      <c r="C4" s="9"/>
      <c r="F4" s="74"/>
    </row>
    <row r="5" spans="1:19" x14ac:dyDescent="0.25">
      <c r="A5" s="1" t="s">
        <v>18</v>
      </c>
      <c r="B5" s="28">
        <f>SUM(F11:F200)</f>
        <v>2678.84</v>
      </c>
    </row>
    <row r="6" spans="1:19" x14ac:dyDescent="0.25">
      <c r="A6" s="1" t="s">
        <v>103</v>
      </c>
      <c r="B6" s="65">
        <f>B5-B7</f>
        <v>-171.15999999999985</v>
      </c>
    </row>
    <row r="7" spans="1:19" x14ac:dyDescent="0.25">
      <c r="A7" s="1" t="s">
        <v>108</v>
      </c>
      <c r="B7" s="65">
        <f>SUM(D11:D200)</f>
        <v>2850</v>
      </c>
      <c r="F7" s="2">
        <f>COUNTIF(F11:F200,"&gt;0")</f>
        <v>3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43306</v>
      </c>
      <c r="C8" s="14">
        <f t="shared" ca="1" si="0"/>
        <v>43335</v>
      </c>
      <c r="D8" s="15">
        <f t="shared" ca="1" si="0"/>
        <v>950</v>
      </c>
      <c r="E8" s="16">
        <f t="shared" ca="1" si="0"/>
        <v>0.1</v>
      </c>
      <c r="F8" s="15">
        <f t="shared" ca="1" si="0"/>
        <v>856</v>
      </c>
      <c r="G8" s="15">
        <f t="shared" ca="1" si="0"/>
        <v>483</v>
      </c>
      <c r="H8" s="15">
        <f t="shared" ca="1" si="0"/>
        <v>373.00000000000006</v>
      </c>
      <c r="I8" s="15">
        <f t="shared" ca="1" si="0"/>
        <v>771.84</v>
      </c>
      <c r="J8" s="14">
        <f t="shared" ca="1" si="0"/>
        <v>43368</v>
      </c>
      <c r="K8" s="31">
        <f t="shared" ca="1" si="0"/>
        <v>483</v>
      </c>
      <c r="L8" s="30">
        <f t="shared" ca="1" si="0"/>
        <v>295.00000000000051</v>
      </c>
      <c r="M8" s="30">
        <f t="shared" ca="1" si="0"/>
        <v>0</v>
      </c>
      <c r="N8" s="36" t="str">
        <f ca="1">OFFSET(N10,N9,0)</f>
        <v>Liberação pag seguro</v>
      </c>
    </row>
    <row r="9" spans="1:19" x14ac:dyDescent="0.25">
      <c r="A9" s="1">
        <f>COUNTA(A11:A200)</f>
        <v>3</v>
      </c>
      <c r="B9" s="1">
        <f t="shared" ref="B9:M9" si="1">COUNTA(B11:B200)</f>
        <v>3</v>
      </c>
      <c r="C9" s="1">
        <f t="shared" si="1"/>
        <v>3</v>
      </c>
      <c r="D9" s="1">
        <f t="shared" si="1"/>
        <v>3</v>
      </c>
      <c r="E9" s="1">
        <f t="shared" si="1"/>
        <v>3</v>
      </c>
      <c r="F9" s="1">
        <f t="shared" si="1"/>
        <v>3</v>
      </c>
      <c r="G9" s="1">
        <f t="shared" si="1"/>
        <v>3</v>
      </c>
      <c r="H9" s="1">
        <f t="shared" si="1"/>
        <v>3</v>
      </c>
      <c r="I9" s="1">
        <f t="shared" si="1"/>
        <v>3</v>
      </c>
      <c r="J9" s="1">
        <f t="shared" si="1"/>
        <v>3</v>
      </c>
      <c r="K9" s="1">
        <f t="shared" si="1"/>
        <v>3</v>
      </c>
      <c r="L9" s="1">
        <f t="shared" si="1"/>
        <v>3</v>
      </c>
      <c r="M9" s="1">
        <f t="shared" si="1"/>
        <v>3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43252</v>
      </c>
      <c r="B11" s="9">
        <v>43244</v>
      </c>
      <c r="C11" s="9">
        <v>43276</v>
      </c>
      <c r="D11" s="21">
        <v>950</v>
      </c>
      <c r="E11" s="51">
        <v>9.9500000000000005E-2</v>
      </c>
      <c r="F11" s="27">
        <f>G11+H11</f>
        <v>839.78</v>
      </c>
      <c r="G11" s="27">
        <v>772</v>
      </c>
      <c r="H11" s="27">
        <f>I11</f>
        <v>67.78</v>
      </c>
      <c r="I11" s="27">
        <v>67.78</v>
      </c>
      <c r="J11" s="9">
        <v>43306</v>
      </c>
      <c r="K11" s="52">
        <v>772</v>
      </c>
      <c r="L11" s="53">
        <v>373.40999999999872</v>
      </c>
      <c r="M11" s="53">
        <v>98</v>
      </c>
      <c r="N11" s="8"/>
      <c r="P11" s="2">
        <f>(C11-B11)*24</f>
        <v>768</v>
      </c>
      <c r="Q11" s="59">
        <f t="shared" ref="Q11" si="2">M11/P11</f>
        <v>0.12760416666666666</v>
      </c>
      <c r="R11" s="2">
        <f t="shared" ref="R11" si="3">L11*(1+Q11)</f>
        <v>421.05867187499859</v>
      </c>
      <c r="S11" s="62">
        <f t="shared" ref="S11" si="4">K11/R11</f>
        <v>1.8334736975306538</v>
      </c>
    </row>
    <row r="12" spans="1:19" x14ac:dyDescent="0.25">
      <c r="A12" s="8">
        <v>43282</v>
      </c>
      <c r="B12" s="9">
        <v>43276</v>
      </c>
      <c r="C12" s="9">
        <v>43306</v>
      </c>
      <c r="D12" s="2">
        <v>950</v>
      </c>
      <c r="E12" s="51">
        <v>9.9500000000000005E-2</v>
      </c>
      <c r="F12" s="28">
        <f>G12+H12</f>
        <v>983.06</v>
      </c>
      <c r="G12" s="2">
        <v>652</v>
      </c>
      <c r="H12" s="28">
        <f>I12-I11</f>
        <v>331.05999999999995</v>
      </c>
      <c r="I12" s="2">
        <v>398.84</v>
      </c>
      <c r="J12" s="9">
        <v>43335</v>
      </c>
      <c r="K12" s="2">
        <v>652</v>
      </c>
      <c r="L12" s="2">
        <v>448.19000000000494</v>
      </c>
      <c r="M12" s="2">
        <v>2</v>
      </c>
      <c r="N12" s="8"/>
      <c r="O12" s="98">
        <f>IF(C12&gt;VLOOKUP(A12,'4001950116'!$A$11:$N$200,3,FALSE),VLOOKUP(A12,'4001950116'!$A$11:$N$200,11,FALSE),VLOOKUP(A11,'4001950116'!$A$11:$N$200,11,FALSE))*E12</f>
        <v>983.06000000000006</v>
      </c>
      <c r="P12" s="2">
        <f>(C12-B12)*24</f>
        <v>720</v>
      </c>
      <c r="Q12" s="59">
        <f t="shared" ref="Q12" si="5">M12/P12</f>
        <v>2.7777777777777779E-3</v>
      </c>
      <c r="R12" s="2">
        <f t="shared" ref="R12" si="6">L12*(1+Q12)</f>
        <v>449.4349722222272</v>
      </c>
      <c r="S12" s="62">
        <f t="shared" ref="S12" si="7">K12/R12</f>
        <v>1.4507104259737329</v>
      </c>
    </row>
    <row r="13" spans="1:19" ht="14.4" x14ac:dyDescent="0.3">
      <c r="A13" s="8">
        <v>43313</v>
      </c>
      <c r="B13" s="9">
        <v>43306</v>
      </c>
      <c r="C13" s="9">
        <v>43335</v>
      </c>
      <c r="D13" s="2">
        <v>950</v>
      </c>
      <c r="E13" s="51">
        <v>0.1</v>
      </c>
      <c r="F13" s="28">
        <f>G13+H13</f>
        <v>856</v>
      </c>
      <c r="G13" s="2">
        <v>483</v>
      </c>
      <c r="H13" s="28">
        <f>I13-I12</f>
        <v>373.00000000000006</v>
      </c>
      <c r="I13" s="2">
        <v>771.84</v>
      </c>
      <c r="J13" s="9">
        <v>43368</v>
      </c>
      <c r="K13" s="2">
        <v>483</v>
      </c>
      <c r="L13" s="53">
        <v>295.00000000000051</v>
      </c>
      <c r="M13" s="53">
        <v>0</v>
      </c>
      <c r="N13" s="8"/>
      <c r="O13" s="98">
        <f>IF(C13&gt;VLOOKUP(A13,'4001950116'!$A$11:$N$200,3,FALSE),VLOOKUP(A13,'4001950116'!$A$11:$N$200,11,FALSE),VLOOKUP(A12,'4001950116'!$A$11:$N$200,11,FALSE))*E13</f>
        <v>856</v>
      </c>
      <c r="P13" s="2">
        <f>(C13-B13)*24</f>
        <v>696</v>
      </c>
      <c r="Q13" s="59">
        <f t="shared" ref="Q13" si="8">M13/P13</f>
        <v>0</v>
      </c>
      <c r="R13" s="2">
        <f t="shared" ref="R13" si="9">L13*(1+Q13)</f>
        <v>295.00000000000051</v>
      </c>
      <c r="S13" s="62">
        <f t="shared" ref="S13" si="10">K13/R13</f>
        <v>1.6372881355932174</v>
      </c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4C5B-C087-4191-9D64-A5EFC598EFA3}">
  <sheetPr>
    <tabColor rgb="FFFFFF00"/>
  </sheetPr>
  <dimension ref="A1:S31"/>
  <sheetViews>
    <sheetView workbookViewId="0">
      <selection activeCell="F13" sqref="F13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149</v>
      </c>
      <c r="E1" s="2" t="s">
        <v>150</v>
      </c>
      <c r="F1" s="2" t="s">
        <v>153</v>
      </c>
      <c r="I1" s="2">
        <v>9880</v>
      </c>
      <c r="J1" s="2">
        <f>I1*E12</f>
        <v>103.74000000000001</v>
      </c>
    </row>
    <row r="2" spans="1:19" x14ac:dyDescent="0.25">
      <c r="A2" s="2" t="s">
        <v>5</v>
      </c>
      <c r="B2" s="5" t="s">
        <v>148</v>
      </c>
      <c r="E2" s="2" t="s">
        <v>151</v>
      </c>
      <c r="F2" s="9">
        <v>20692</v>
      </c>
    </row>
    <row r="3" spans="1:19" x14ac:dyDescent="0.25">
      <c r="A3" s="2" t="s">
        <v>6</v>
      </c>
      <c r="B3" s="10">
        <v>2096377569</v>
      </c>
      <c r="E3" s="2" t="s">
        <v>152</v>
      </c>
      <c r="F3" s="2">
        <v>123456</v>
      </c>
    </row>
    <row r="4" spans="1:19" ht="14.4" x14ac:dyDescent="0.3">
      <c r="A4" s="2" t="s">
        <v>7</v>
      </c>
      <c r="B4" s="9">
        <v>43282</v>
      </c>
      <c r="C4" s="9"/>
      <c r="E4" s="2" t="s">
        <v>154</v>
      </c>
      <c r="F4" s="74" t="s">
        <v>155</v>
      </c>
    </row>
    <row r="5" spans="1:19" x14ac:dyDescent="0.25">
      <c r="A5" s="1" t="s">
        <v>18</v>
      </c>
      <c r="B5" s="28">
        <f>SUM(F11:F200)</f>
        <v>282.24</v>
      </c>
    </row>
    <row r="6" spans="1:19" x14ac:dyDescent="0.25">
      <c r="A6" s="1" t="s">
        <v>103</v>
      </c>
      <c r="B6" s="65">
        <f>B5-B7</f>
        <v>-17.759999999999991</v>
      </c>
    </row>
    <row r="7" spans="1:19" x14ac:dyDescent="0.25">
      <c r="A7" s="1" t="s">
        <v>108</v>
      </c>
      <c r="B7" s="65">
        <f>SUM(D11:D200)</f>
        <v>300</v>
      </c>
      <c r="F7" s="2">
        <f>COUNTIF(F11:F200,"&gt;0")</f>
        <v>3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43301</v>
      </c>
      <c r="C8" s="14">
        <f t="shared" ca="1" si="0"/>
        <v>43332</v>
      </c>
      <c r="D8" s="15">
        <f t="shared" ca="1" si="0"/>
        <v>100</v>
      </c>
      <c r="E8" s="16">
        <f t="shared" ca="1" si="0"/>
        <v>1.0500000000000001E-2</v>
      </c>
      <c r="F8" s="15">
        <f t="shared" ca="1" si="0"/>
        <v>89.88</v>
      </c>
      <c r="G8" s="15">
        <f t="shared" ca="1" si="0"/>
        <v>89.88</v>
      </c>
      <c r="H8" s="15">
        <f t="shared" ca="1" si="0"/>
        <v>0</v>
      </c>
      <c r="I8" s="15">
        <f t="shared" ca="1" si="0"/>
        <v>0</v>
      </c>
      <c r="J8" s="14">
        <f t="shared" ca="1" si="0"/>
        <v>43363</v>
      </c>
      <c r="K8" s="31">
        <f t="shared" ca="1" si="0"/>
        <v>179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3</v>
      </c>
      <c r="B9" s="1">
        <f t="shared" ref="B9:M9" si="1">COUNTA(B11:B200)</f>
        <v>3</v>
      </c>
      <c r="C9" s="1">
        <f t="shared" si="1"/>
        <v>3</v>
      </c>
      <c r="D9" s="1">
        <f t="shared" si="1"/>
        <v>3</v>
      </c>
      <c r="E9" s="1">
        <f t="shared" si="1"/>
        <v>3</v>
      </c>
      <c r="F9" s="1">
        <f t="shared" si="1"/>
        <v>3</v>
      </c>
      <c r="G9" s="1">
        <f t="shared" si="1"/>
        <v>3</v>
      </c>
      <c r="H9" s="1">
        <f t="shared" si="1"/>
        <v>3</v>
      </c>
      <c r="I9" s="1">
        <f t="shared" si="1"/>
        <v>3</v>
      </c>
      <c r="J9" s="1">
        <f t="shared" si="1"/>
        <v>3</v>
      </c>
      <c r="K9" s="1">
        <f t="shared" si="1"/>
        <v>3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43252</v>
      </c>
      <c r="B11" s="9">
        <v>43241</v>
      </c>
      <c r="C11" s="9">
        <v>43271</v>
      </c>
      <c r="D11" s="21">
        <v>100</v>
      </c>
      <c r="E11" s="51">
        <v>1.0500000000000001E-2</v>
      </c>
      <c r="F11" s="27">
        <v>88.62</v>
      </c>
      <c r="G11" s="27">
        <v>88.62</v>
      </c>
      <c r="H11" s="27">
        <v>0</v>
      </c>
      <c r="I11" s="27">
        <v>0</v>
      </c>
      <c r="J11" s="9">
        <v>43301</v>
      </c>
      <c r="K11" s="52">
        <v>182</v>
      </c>
      <c r="L11" s="8"/>
      <c r="M11" s="8"/>
      <c r="N11" s="8"/>
      <c r="Q11" s="67"/>
    </row>
    <row r="12" spans="1:19" x14ac:dyDescent="0.25">
      <c r="A12" s="8">
        <v>43282</v>
      </c>
      <c r="B12" s="9">
        <v>43271</v>
      </c>
      <c r="C12" s="9">
        <v>43301</v>
      </c>
      <c r="D12" s="2">
        <v>100</v>
      </c>
      <c r="E12" s="51">
        <v>1.0500000000000001E-2</v>
      </c>
      <c r="F12" s="28">
        <f>G12+H12</f>
        <v>103.74</v>
      </c>
      <c r="G12" s="2">
        <v>103.74</v>
      </c>
      <c r="H12" s="28">
        <f>I12-I11</f>
        <v>0</v>
      </c>
      <c r="I12" s="2">
        <v>0</v>
      </c>
      <c r="J12" s="9">
        <v>43332</v>
      </c>
      <c r="K12" s="2">
        <v>240</v>
      </c>
      <c r="N12" s="8"/>
      <c r="O12" s="2">
        <f>IF(C12&gt;VLOOKUP(A12,'4001950116'!$A$11:$N$200,3,FALSE),VLOOKUP(A12,'4001950116'!$A$11:$N$200,11,FALSE),VLOOKUP(A11,'4001950116'!$A$11:$N$200,11,FALSE))*E12</f>
        <v>103.74000000000001</v>
      </c>
    </row>
    <row r="13" spans="1:19" ht="14.4" x14ac:dyDescent="0.3">
      <c r="A13" s="8">
        <v>43313</v>
      </c>
      <c r="B13" s="9">
        <v>43301</v>
      </c>
      <c r="C13" s="9">
        <v>43332</v>
      </c>
      <c r="D13" s="2">
        <v>100</v>
      </c>
      <c r="E13" s="51">
        <v>1.0500000000000001E-2</v>
      </c>
      <c r="F13" s="28">
        <f>G13+H13</f>
        <v>89.88</v>
      </c>
      <c r="G13" s="2">
        <v>89.88</v>
      </c>
      <c r="H13" s="28">
        <f>I13-I12</f>
        <v>0</v>
      </c>
      <c r="I13" s="2">
        <v>0</v>
      </c>
      <c r="J13" s="9">
        <v>43363</v>
      </c>
      <c r="K13" s="2">
        <v>179</v>
      </c>
      <c r="L13" s="53"/>
      <c r="M13" s="53"/>
      <c r="N13" s="8"/>
      <c r="O13" s="2">
        <f>IF(C13&gt;VLOOKUP(A13,'4001950116'!$A$11:$N$200,3,FALSE),VLOOKUP(A13,'4001950116'!$A$11:$N$200,11,FALSE),VLOOKUP(A12,'4001950116'!$A$11:$N$200,11,FALSE))*E13</f>
        <v>89.88000000000001</v>
      </c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hyperlinks>
    <hyperlink ref="F4" r:id="rId1" xr:uid="{3796A1D0-EC8A-421B-A743-171AB8EE9413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0806-5FE9-447E-850C-09919EA703CF}">
  <sheetPr>
    <tabColor rgb="FFFFFF00"/>
  </sheetPr>
  <dimension ref="A1:S31"/>
  <sheetViews>
    <sheetView workbookViewId="0">
      <selection activeCell="O15" sqref="O15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191</v>
      </c>
      <c r="I1" s="2">
        <v>9880</v>
      </c>
      <c r="J1" s="2">
        <f>I1*E12</f>
        <v>155.11599999999999</v>
      </c>
    </row>
    <row r="2" spans="1:19" x14ac:dyDescent="0.25">
      <c r="A2" s="2" t="s">
        <v>5</v>
      </c>
      <c r="B2" s="5" t="s">
        <v>174</v>
      </c>
      <c r="F2" s="9"/>
    </row>
    <row r="3" spans="1:19" x14ac:dyDescent="0.25">
      <c r="A3" s="2" t="s">
        <v>6</v>
      </c>
      <c r="B3" s="10">
        <v>2021489297</v>
      </c>
    </row>
    <row r="4" spans="1:19" ht="14.4" x14ac:dyDescent="0.3">
      <c r="A4" s="2" t="s">
        <v>7</v>
      </c>
      <c r="B4" s="9">
        <v>43282</v>
      </c>
      <c r="C4" s="9"/>
      <c r="F4" s="74"/>
    </row>
    <row r="5" spans="1:19" x14ac:dyDescent="0.25">
      <c r="A5" s="1" t="s">
        <v>18</v>
      </c>
      <c r="B5" s="28">
        <f>SUM(F11:F200)</f>
        <v>422.87200000000007</v>
      </c>
    </row>
    <row r="6" spans="1:19" x14ac:dyDescent="0.25">
      <c r="A6" s="1" t="s">
        <v>103</v>
      </c>
      <c r="B6" s="65">
        <f>B5-B7</f>
        <v>-27.127999999999929</v>
      </c>
    </row>
    <row r="7" spans="1:19" x14ac:dyDescent="0.25">
      <c r="A7" s="1" t="s">
        <v>108</v>
      </c>
      <c r="B7" s="65">
        <f>SUM(D11:D200)</f>
        <v>450</v>
      </c>
      <c r="F7" s="2">
        <f>COUNTIF(F11:F200,"&gt;0")</f>
        <v>3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43322</v>
      </c>
      <c r="C8" s="14">
        <f t="shared" ca="1" si="0"/>
        <v>43355</v>
      </c>
      <c r="D8" s="15">
        <f t="shared" ca="1" si="0"/>
        <v>150</v>
      </c>
      <c r="E8" s="16">
        <f t="shared" ca="1" si="0"/>
        <v>1.5800000000000002E-2</v>
      </c>
      <c r="F8" s="15">
        <f t="shared" ca="1" si="0"/>
        <v>135.24800000000002</v>
      </c>
      <c r="G8" s="15">
        <f t="shared" ca="1" si="0"/>
        <v>87</v>
      </c>
      <c r="H8" s="15">
        <f t="shared" ca="1" si="0"/>
        <v>48.248000000000019</v>
      </c>
      <c r="I8" s="15">
        <f t="shared" ca="1" si="0"/>
        <v>157.87200000000001</v>
      </c>
      <c r="J8" s="14">
        <f t="shared" ca="1" si="0"/>
        <v>43384</v>
      </c>
      <c r="K8" s="31">
        <f t="shared" ca="1" si="0"/>
        <v>117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4</v>
      </c>
      <c r="B9" s="1">
        <f t="shared" ref="B9:M9" si="1">COUNTA(B11:B200)</f>
        <v>4</v>
      </c>
      <c r="C9" s="1">
        <f t="shared" si="1"/>
        <v>4</v>
      </c>
      <c r="D9" s="1">
        <f t="shared" si="1"/>
        <v>4</v>
      </c>
      <c r="E9" s="1">
        <f t="shared" si="1"/>
        <v>4</v>
      </c>
      <c r="F9" s="1">
        <f t="shared" si="1"/>
        <v>4</v>
      </c>
      <c r="G9" s="1">
        <f t="shared" si="1"/>
        <v>4</v>
      </c>
      <c r="H9" s="1">
        <f t="shared" si="1"/>
        <v>4</v>
      </c>
      <c r="I9" s="1">
        <f t="shared" si="1"/>
        <v>4</v>
      </c>
      <c r="J9" s="1">
        <f t="shared" si="1"/>
        <v>4</v>
      </c>
      <c r="K9" s="1">
        <f t="shared" si="1"/>
        <v>4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43252</v>
      </c>
      <c r="B11" s="9">
        <v>43324</v>
      </c>
      <c r="C11" s="9">
        <v>43263</v>
      </c>
      <c r="D11" s="21">
        <v>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43293</v>
      </c>
      <c r="K11" s="52">
        <v>148</v>
      </c>
      <c r="L11" s="8"/>
      <c r="M11" s="8"/>
      <c r="N11" s="8"/>
      <c r="O11" s="2" t="e">
        <f>IF(C11&gt;VLOOKUP(A11,'4001950116'!$A$11:$N$200,3,FALSE),VLOOKUP(A11,'4001950116'!$A$11:$N$200,11,FALSE),VLOOKUP(A10,'4001950116'!$A$11:$N$200,11,FALSE))*E11</f>
        <v>#N/A</v>
      </c>
      <c r="Q11" s="67"/>
    </row>
    <row r="12" spans="1:19" x14ac:dyDescent="0.25">
      <c r="A12" s="8">
        <v>43282</v>
      </c>
      <c r="B12" s="9">
        <v>43263</v>
      </c>
      <c r="C12" s="9">
        <v>43293</v>
      </c>
      <c r="D12" s="2">
        <v>150</v>
      </c>
      <c r="E12" s="51">
        <v>1.5699999999999999E-2</v>
      </c>
      <c r="F12" s="28">
        <f>G12+H12</f>
        <v>132.50800000000001</v>
      </c>
      <c r="G12" s="2">
        <v>95</v>
      </c>
      <c r="H12" s="28">
        <f>I12-I11</f>
        <v>37.508000000000003</v>
      </c>
      <c r="I12" s="2">
        <v>37.508000000000003</v>
      </c>
      <c r="J12" s="9">
        <v>43322</v>
      </c>
      <c r="K12" s="2">
        <v>125</v>
      </c>
      <c r="N12" s="8"/>
      <c r="O12" s="2">
        <f>IF(C12&gt;VLOOKUP(A12,'4001950116'!$A$11:$N$200,3,FALSE),VLOOKUP(A12,'4001950116'!$A$11:$N$200,11,FALSE),VLOOKUP(A11,'4001950116'!$A$11:$N$200,11,FALSE))*E12</f>
        <v>132.50799999999998</v>
      </c>
    </row>
    <row r="13" spans="1:19" ht="14.4" x14ac:dyDescent="0.3">
      <c r="A13" s="8">
        <v>43313</v>
      </c>
      <c r="B13" s="9">
        <v>43293</v>
      </c>
      <c r="C13" s="9">
        <v>43322</v>
      </c>
      <c r="D13" s="2">
        <v>150</v>
      </c>
      <c r="E13" s="51">
        <v>1.5800000000000002E-2</v>
      </c>
      <c r="F13" s="28">
        <f>G13+H13</f>
        <v>155.11599999999999</v>
      </c>
      <c r="G13" s="2">
        <f>45.492+37.508</f>
        <v>83</v>
      </c>
      <c r="H13" s="28">
        <f>I13-I12</f>
        <v>72.115999999999985</v>
      </c>
      <c r="I13" s="2">
        <v>109.624</v>
      </c>
      <c r="J13" s="9">
        <v>43355</v>
      </c>
      <c r="K13" s="2">
        <v>113</v>
      </c>
      <c r="L13" s="53"/>
      <c r="M13" s="53"/>
      <c r="N13" s="8"/>
      <c r="O13" s="2">
        <f>IF(C13&gt;VLOOKUP(A13,'4001950116'!$A$11:$N$200,3,FALSE),VLOOKUP(A13,'4001950116'!$A$11:$N$200,11,FALSE),VLOOKUP(A12,'4001950116'!$A$11:$N$200,11,FALSE))*E13</f>
        <v>156.10400000000001</v>
      </c>
      <c r="Q13" s="59"/>
      <c r="S13" s="62"/>
    </row>
    <row r="14" spans="1:19" x14ac:dyDescent="0.25">
      <c r="A14" s="8">
        <v>43344</v>
      </c>
      <c r="B14" s="9">
        <v>43322</v>
      </c>
      <c r="C14" s="9">
        <v>43355</v>
      </c>
      <c r="D14" s="2">
        <v>150</v>
      </c>
      <c r="E14" s="51">
        <v>1.5800000000000002E-2</v>
      </c>
      <c r="F14" s="28">
        <f>G14+H14</f>
        <v>135.24800000000002</v>
      </c>
      <c r="G14" s="2">
        <v>87</v>
      </c>
      <c r="H14" s="28">
        <f>I14-I13</f>
        <v>48.248000000000019</v>
      </c>
      <c r="I14" s="2">
        <v>157.87200000000001</v>
      </c>
      <c r="J14" s="9">
        <v>43384</v>
      </c>
      <c r="K14" s="2">
        <v>117</v>
      </c>
      <c r="O14" s="2">
        <f>IF(C14&gt;VLOOKUP(A13,'4001950116'!$A$11:$N$200,3,FALSE),VLOOKUP(A13,'4001950116'!$A$11:$N$200,11,FALSE),VLOOKUP(A13,'4001950116'!$A$11:$N$200,11,FALSE))*E14</f>
        <v>135.24800000000002</v>
      </c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E6B6-5C3A-4C4D-9D86-5A83017912C6}">
  <sheetPr>
    <tabColor rgb="FFFFFF00"/>
  </sheetPr>
  <dimension ref="A1:S31"/>
  <sheetViews>
    <sheetView workbookViewId="0">
      <selection activeCell="L12" sqref="L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192</v>
      </c>
      <c r="I1" s="2">
        <v>9880</v>
      </c>
      <c r="J1" s="2">
        <f>I1*E12</f>
        <v>52.363999999999997</v>
      </c>
    </row>
    <row r="2" spans="1:19" x14ac:dyDescent="0.25">
      <c r="A2" s="2" t="s">
        <v>5</v>
      </c>
      <c r="B2" s="5" t="s">
        <v>193</v>
      </c>
      <c r="F2" s="9"/>
    </row>
    <row r="3" spans="1:19" x14ac:dyDescent="0.25">
      <c r="A3" s="2" t="s">
        <v>6</v>
      </c>
      <c r="B3" s="10">
        <v>4000744926</v>
      </c>
    </row>
    <row r="4" spans="1:19" ht="14.4" x14ac:dyDescent="0.3">
      <c r="A4" s="2" t="s">
        <v>7</v>
      </c>
      <c r="B4" s="9">
        <v>43313</v>
      </c>
      <c r="C4" s="9"/>
      <c r="F4" s="74"/>
    </row>
    <row r="5" spans="1:19" x14ac:dyDescent="0.25">
      <c r="A5" s="1" t="s">
        <v>18</v>
      </c>
      <c r="B5" s="28">
        <f>SUM(F11:F200)</f>
        <v>45.368000000000002</v>
      </c>
    </row>
    <row r="6" spans="1:19" x14ac:dyDescent="0.25">
      <c r="A6" s="1" t="s">
        <v>103</v>
      </c>
      <c r="B6" s="65">
        <f>B5-B7</f>
        <v>-4.6319999999999979</v>
      </c>
    </row>
    <row r="7" spans="1:19" x14ac:dyDescent="0.25">
      <c r="A7" s="1" t="s">
        <v>108</v>
      </c>
      <c r="B7" s="65">
        <f>SUM(D12:D200)</f>
        <v>50</v>
      </c>
      <c r="F7" s="2">
        <f>COUNTIF(F11:F200,"&gt;0")</f>
        <v>1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43306</v>
      </c>
      <c r="C8" s="14">
        <f t="shared" ca="1" si="0"/>
        <v>43335</v>
      </c>
      <c r="D8" s="15">
        <f t="shared" ca="1" si="0"/>
        <v>50</v>
      </c>
      <c r="E8" s="16">
        <f t="shared" ca="1" si="0"/>
        <v>5.3E-3</v>
      </c>
      <c r="F8" s="15">
        <f t="shared" ca="1" si="0"/>
        <v>45.368000000000002</v>
      </c>
      <c r="G8" s="15">
        <f t="shared" ca="1" si="0"/>
        <v>45.368000000000002</v>
      </c>
      <c r="H8" s="15">
        <f t="shared" ca="1" si="0"/>
        <v>0</v>
      </c>
      <c r="I8" s="15">
        <f t="shared" ca="1" si="0"/>
        <v>0</v>
      </c>
      <c r="J8" s="14">
        <f t="shared" ca="1" si="0"/>
        <v>43368</v>
      </c>
      <c r="K8" s="31">
        <f t="shared" ca="1" si="0"/>
        <v>140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2</v>
      </c>
      <c r="B9" s="1">
        <f t="shared" ref="B9:M9" si="1">COUNTA(B11:B200)</f>
        <v>2</v>
      </c>
      <c r="C9" s="1">
        <f t="shared" si="1"/>
        <v>2</v>
      </c>
      <c r="D9" s="1">
        <f t="shared" si="1"/>
        <v>2</v>
      </c>
      <c r="E9" s="1">
        <f t="shared" si="1"/>
        <v>2</v>
      </c>
      <c r="F9" s="1">
        <f t="shared" si="1"/>
        <v>2</v>
      </c>
      <c r="G9" s="1">
        <f t="shared" si="1"/>
        <v>2</v>
      </c>
      <c r="H9" s="1">
        <f t="shared" si="1"/>
        <v>2</v>
      </c>
      <c r="I9" s="1">
        <f t="shared" si="1"/>
        <v>2</v>
      </c>
      <c r="J9" s="1">
        <f t="shared" si="1"/>
        <v>2</v>
      </c>
      <c r="K9" s="1">
        <f t="shared" si="1"/>
        <v>2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43282</v>
      </c>
      <c r="B11" s="9">
        <v>43276</v>
      </c>
      <c r="C11" s="9">
        <v>43306</v>
      </c>
      <c r="D11" s="21">
        <v>50</v>
      </c>
      <c r="E11" s="51">
        <v>5.3E-3</v>
      </c>
      <c r="F11" s="27">
        <v>0</v>
      </c>
      <c r="G11" s="27">
        <v>0</v>
      </c>
      <c r="H11" s="27">
        <v>0</v>
      </c>
      <c r="I11" s="27">
        <v>0</v>
      </c>
      <c r="J11" s="9">
        <v>43335</v>
      </c>
      <c r="K11" s="52">
        <v>130</v>
      </c>
      <c r="L11" s="8"/>
      <c r="M11" s="8"/>
      <c r="N11" s="8"/>
      <c r="O11" s="2">
        <f>IF(C11&gt;VLOOKUP(A11,'4001950116'!$A$11:$N$200,3,FALSE),VLOOKUP(A11,'4001950116'!$A$11:$N$200,11,FALSE),VLOOKUP(A10,'4001950116'!$A$11:$N$200,11,FALSE))*E11</f>
        <v>52.363999999999997</v>
      </c>
      <c r="Q11" s="67"/>
    </row>
    <row r="12" spans="1:19" x14ac:dyDescent="0.25">
      <c r="A12" s="8">
        <v>43313</v>
      </c>
      <c r="B12" s="9">
        <v>43306</v>
      </c>
      <c r="C12" s="9">
        <v>43335</v>
      </c>
      <c r="D12" s="2">
        <v>50</v>
      </c>
      <c r="E12" s="51">
        <v>5.3E-3</v>
      </c>
      <c r="F12" s="28">
        <f>G12+H12</f>
        <v>45.368000000000002</v>
      </c>
      <c r="G12" s="2">
        <v>45.368000000000002</v>
      </c>
      <c r="H12" s="28">
        <f>I12-I11</f>
        <v>0</v>
      </c>
      <c r="I12" s="2">
        <v>0</v>
      </c>
      <c r="J12" s="9">
        <v>43368</v>
      </c>
      <c r="K12" s="2">
        <v>140</v>
      </c>
      <c r="N12" s="8"/>
      <c r="O12" s="2">
        <f>IF(C12&gt;VLOOKUP(A12,'4001950116'!$A$11:$N$200,3,FALSE),VLOOKUP(A12,'4001950116'!$A$11:$N$200,11,FALSE),VLOOKUP(A11,'4001950116'!$A$11:$N$200,11,FALSE))*E12</f>
        <v>45.368000000000002</v>
      </c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F1A3-887F-4EFB-9965-16295D87101F}">
  <sheetPr>
    <tabColor rgb="FFFFFF00"/>
  </sheetPr>
  <dimension ref="A1:S31"/>
  <sheetViews>
    <sheetView workbookViewId="0">
      <selection activeCell="K12" sqref="K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194</v>
      </c>
      <c r="I1" s="2">
        <v>9880</v>
      </c>
      <c r="J1" s="2">
        <f>I1*E12</f>
        <v>0</v>
      </c>
    </row>
    <row r="2" spans="1:19" x14ac:dyDescent="0.25">
      <c r="A2" s="2" t="s">
        <v>5</v>
      </c>
      <c r="B2" s="5" t="s">
        <v>195</v>
      </c>
      <c r="F2" s="9"/>
    </row>
    <row r="3" spans="1:19" x14ac:dyDescent="0.25">
      <c r="A3" s="2" t="s">
        <v>6</v>
      </c>
      <c r="B3" s="10">
        <v>2095645349</v>
      </c>
    </row>
    <row r="4" spans="1:19" ht="14.4" x14ac:dyDescent="0.3">
      <c r="A4" s="2" t="s">
        <v>7</v>
      </c>
      <c r="B4" s="9">
        <v>43344</v>
      </c>
      <c r="C4" s="9"/>
      <c r="F4" s="74"/>
    </row>
    <row r="5" spans="1:19" x14ac:dyDescent="0.25">
      <c r="A5" s="1" t="s">
        <v>18</v>
      </c>
      <c r="B5" s="28">
        <f>SUM(F11:F200)</f>
        <v>180.61600000000001</v>
      </c>
    </row>
    <row r="6" spans="1:19" x14ac:dyDescent="0.25">
      <c r="A6" s="1" t="s">
        <v>103</v>
      </c>
      <c r="B6" s="65">
        <f>B5-B7</f>
        <v>180.61600000000001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1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43301</v>
      </c>
      <c r="C8" s="14">
        <f t="shared" ca="1" si="0"/>
        <v>43332</v>
      </c>
      <c r="D8" s="15">
        <f t="shared" ca="1" si="0"/>
        <v>200</v>
      </c>
      <c r="E8" s="16">
        <f t="shared" ca="1" si="0"/>
        <v>2.1100000000000001E-2</v>
      </c>
      <c r="F8" s="15">
        <f t="shared" ca="1" si="0"/>
        <v>180.61600000000001</v>
      </c>
      <c r="G8" s="15">
        <f t="shared" ca="1" si="0"/>
        <v>180.61600000000001</v>
      </c>
      <c r="H8" s="15">
        <f t="shared" ca="1" si="0"/>
        <v>0</v>
      </c>
      <c r="I8" s="15">
        <f t="shared" ca="1" si="0"/>
        <v>0</v>
      </c>
      <c r="J8" s="14">
        <f t="shared" ca="1" si="0"/>
        <v>43363</v>
      </c>
      <c r="K8" s="31">
        <f t="shared" ca="1" si="0"/>
        <v>343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43313</v>
      </c>
      <c r="B11" s="9">
        <v>43301</v>
      </c>
      <c r="C11" s="9">
        <v>43332</v>
      </c>
      <c r="D11" s="21">
        <v>200</v>
      </c>
      <c r="E11" s="51">
        <v>2.1100000000000001E-2</v>
      </c>
      <c r="F11" s="99">
        <v>180.61600000000001</v>
      </c>
      <c r="G11" s="99">
        <v>180.61600000000001</v>
      </c>
      <c r="H11" s="27">
        <v>0</v>
      </c>
      <c r="I11" s="27">
        <v>0</v>
      </c>
      <c r="J11" s="9">
        <v>43363</v>
      </c>
      <c r="K11" s="52">
        <v>343</v>
      </c>
      <c r="L11" s="8"/>
      <c r="M11" s="8"/>
      <c r="N11" s="8"/>
      <c r="O11" s="98">
        <f>IF(C11&gt;VLOOKUP(A11,'4001950116'!$A$11:$N$200,3,FALSE),VLOOKUP(A11,'4001950116'!$A$11:$N$200,11,FALSE),VLOOKUP(A10,'4001950116'!$A$11:$N$200,11,FALSE))*E11</f>
        <v>180.61600000000001</v>
      </c>
      <c r="Q11" s="67"/>
    </row>
    <row r="12" spans="1:19" x14ac:dyDescent="0.25">
      <c r="A12" s="8"/>
      <c r="B12" s="9"/>
      <c r="C12" s="9"/>
      <c r="E12" s="51"/>
      <c r="F12" s="28"/>
      <c r="H12" s="28"/>
      <c r="J12" s="9"/>
      <c r="N12" s="8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FC20-F5FF-415B-BDED-0226536573C4}">
  <dimension ref="A1:T31"/>
  <sheetViews>
    <sheetView workbookViewId="0">
      <pane ySplit="1" topLeftCell="A11" activePane="bottomLeft" state="frozen"/>
      <selection pane="bottomLeft" activeCell="B19" sqref="B19"/>
    </sheetView>
  </sheetViews>
  <sheetFormatPr defaultRowHeight="14.4" x14ac:dyDescent="0.3"/>
  <cols>
    <col min="1" max="1" width="19.44140625" customWidth="1"/>
    <col min="2" max="15" width="17" customWidth="1"/>
  </cols>
  <sheetData>
    <row r="1" spans="1:20" x14ac:dyDescent="0.3">
      <c r="A1" s="102" t="s">
        <v>114</v>
      </c>
      <c r="B1" s="102" t="s">
        <v>115</v>
      </c>
      <c r="C1" s="102" t="s">
        <v>116</v>
      </c>
      <c r="D1" s="102" t="s">
        <v>117</v>
      </c>
      <c r="E1" s="102" t="s">
        <v>118</v>
      </c>
      <c r="F1" s="102" t="s">
        <v>119</v>
      </c>
      <c r="G1" s="102" t="s">
        <v>120</v>
      </c>
      <c r="H1" s="102" t="s">
        <v>121</v>
      </c>
      <c r="I1" s="102" t="s">
        <v>122</v>
      </c>
      <c r="J1" s="102" t="s">
        <v>123</v>
      </c>
      <c r="K1" s="102" t="s">
        <v>124</v>
      </c>
      <c r="L1" s="102" t="s">
        <v>125</v>
      </c>
      <c r="M1" s="102" t="s">
        <v>126</v>
      </c>
      <c r="N1" s="102" t="s">
        <v>127</v>
      </c>
      <c r="O1" s="102" t="s">
        <v>128</v>
      </c>
      <c r="P1" s="70" t="s">
        <v>147</v>
      </c>
      <c r="S1">
        <v>500</v>
      </c>
      <c r="T1">
        <v>1500</v>
      </c>
    </row>
    <row r="2" spans="1:20" ht="57.6" x14ac:dyDescent="0.3">
      <c r="A2" s="107">
        <v>4001912941</v>
      </c>
      <c r="B2" s="103" t="s">
        <v>129</v>
      </c>
      <c r="C2" s="103" t="s">
        <v>3</v>
      </c>
      <c r="D2" s="104">
        <v>43320</v>
      </c>
      <c r="E2" s="104">
        <v>43291</v>
      </c>
      <c r="F2" s="104">
        <v>43320</v>
      </c>
      <c r="G2" s="104">
        <v>43353</v>
      </c>
      <c r="H2" s="105">
        <v>0.49</v>
      </c>
      <c r="I2" s="105">
        <v>155.07599999999999</v>
      </c>
      <c r="J2" s="105">
        <v>2</v>
      </c>
      <c r="K2" s="105">
        <v>53.351999999999997</v>
      </c>
      <c r="L2" s="105">
        <v>520.50800000000004</v>
      </c>
      <c r="M2" s="105">
        <v>400</v>
      </c>
      <c r="N2" s="105">
        <v>52</v>
      </c>
      <c r="O2" s="105">
        <v>520.50800000000004</v>
      </c>
      <c r="P2" s="68">
        <f t="shared" ref="P2:P25" si="0">IF(N2&lt;=$S$1,1,IF(N2&gt;=$T$1,3,2))</f>
        <v>1</v>
      </c>
      <c r="R2" s="69">
        <v>1</v>
      </c>
      <c r="S2">
        <f>AVERAGEIF($P$2:$P$21,R2,$N$2:$N$21)</f>
        <v>207.86666666666667</v>
      </c>
      <c r="T2">
        <f>COUNTIF($P$2:$P$21,R2)</f>
        <v>15</v>
      </c>
    </row>
    <row r="3" spans="1:20" ht="28.8" x14ac:dyDescent="0.3">
      <c r="A3" s="107">
        <v>2096000791</v>
      </c>
      <c r="B3" s="103" t="s">
        <v>215</v>
      </c>
      <c r="C3" s="103" t="s">
        <v>35</v>
      </c>
      <c r="D3" s="104">
        <v>43330</v>
      </c>
      <c r="E3" s="104">
        <v>43299</v>
      </c>
      <c r="F3" s="104">
        <v>43330</v>
      </c>
      <c r="G3" s="104">
        <v>43361</v>
      </c>
      <c r="H3" s="105">
        <v>46</v>
      </c>
      <c r="I3" s="105">
        <v>0</v>
      </c>
      <c r="J3" s="105">
        <v>0</v>
      </c>
      <c r="K3" s="105">
        <v>0</v>
      </c>
      <c r="L3" s="105">
        <v>3994.46</v>
      </c>
      <c r="M3" s="105">
        <v>4400</v>
      </c>
      <c r="N3" s="105">
        <v>1007</v>
      </c>
      <c r="O3" s="105">
        <v>3994.46</v>
      </c>
      <c r="P3" s="68">
        <f t="shared" si="0"/>
        <v>2</v>
      </c>
      <c r="R3" s="69">
        <v>2</v>
      </c>
      <c r="S3" s="53">
        <f>AVERAGEIF($P$2:$P$21,R3,$N$2:$N$21)</f>
        <v>884.25</v>
      </c>
      <c r="T3" s="53">
        <f>COUNTIF($P$2:$P$21,R3)</f>
        <v>4</v>
      </c>
    </row>
    <row r="4" spans="1:20" ht="28.8" x14ac:dyDescent="0.3">
      <c r="A4" s="107">
        <v>2027542238</v>
      </c>
      <c r="B4" s="103" t="s">
        <v>216</v>
      </c>
      <c r="C4" s="103" t="s">
        <v>217</v>
      </c>
      <c r="D4" s="104">
        <v>43334</v>
      </c>
      <c r="E4" s="104">
        <v>43305</v>
      </c>
      <c r="F4" s="104">
        <v>43334</v>
      </c>
      <c r="G4" s="104">
        <v>43367</v>
      </c>
      <c r="H4" s="105">
        <v>0</v>
      </c>
      <c r="I4" s="105">
        <v>0</v>
      </c>
      <c r="J4" s="105">
        <v>0</v>
      </c>
      <c r="K4" s="105">
        <v>0</v>
      </c>
      <c r="L4" s="105">
        <v>0</v>
      </c>
      <c r="M4" s="105">
        <v>700</v>
      </c>
      <c r="N4" s="105">
        <v>335</v>
      </c>
      <c r="O4" s="105">
        <v>0</v>
      </c>
      <c r="P4" s="68">
        <f t="shared" si="0"/>
        <v>1</v>
      </c>
      <c r="R4" s="69">
        <v>3</v>
      </c>
      <c r="S4" s="53">
        <f>AVERAGEIF($P$2:$P$21,R4,$N$2:$N$21)</f>
        <v>4400</v>
      </c>
      <c r="T4" s="53">
        <f>COUNTIF($P$2:$P$21,R4)</f>
        <v>1</v>
      </c>
    </row>
    <row r="5" spans="1:20" x14ac:dyDescent="0.3">
      <c r="A5" s="107">
        <v>2076499308</v>
      </c>
      <c r="B5" s="103" t="s">
        <v>134</v>
      </c>
      <c r="C5" s="103" t="s">
        <v>33</v>
      </c>
      <c r="D5" s="104">
        <v>43326</v>
      </c>
      <c r="E5" s="104">
        <v>43297</v>
      </c>
      <c r="F5" s="104">
        <v>43326</v>
      </c>
      <c r="G5" s="104">
        <v>43357</v>
      </c>
      <c r="H5" s="105">
        <v>0.53</v>
      </c>
      <c r="I5" s="105">
        <v>0.376</v>
      </c>
      <c r="J5" s="105">
        <v>51</v>
      </c>
      <c r="K5" s="105">
        <v>51.375999999999998</v>
      </c>
      <c r="L5" s="105">
        <v>469.23599999999999</v>
      </c>
      <c r="M5" s="105">
        <v>450</v>
      </c>
      <c r="N5" s="105">
        <v>81</v>
      </c>
      <c r="O5" s="105">
        <v>469.23599999999999</v>
      </c>
      <c r="P5" s="68">
        <f t="shared" si="0"/>
        <v>1</v>
      </c>
    </row>
    <row r="6" spans="1:20" ht="28.8" x14ac:dyDescent="0.3">
      <c r="A6" s="107">
        <v>2021510989</v>
      </c>
      <c r="B6" s="103" t="s">
        <v>36</v>
      </c>
      <c r="C6" s="103" t="s">
        <v>37</v>
      </c>
      <c r="D6" s="104">
        <v>43322</v>
      </c>
      <c r="E6" s="104">
        <v>43293</v>
      </c>
      <c r="F6" s="104">
        <v>43322</v>
      </c>
      <c r="G6" s="104">
        <v>43355</v>
      </c>
      <c r="H6" s="105">
        <v>0.53</v>
      </c>
      <c r="I6" s="105">
        <v>0</v>
      </c>
      <c r="J6" s="105">
        <v>51.375999999999998</v>
      </c>
      <c r="K6" s="105">
        <v>51.375999999999998</v>
      </c>
      <c r="L6" s="105">
        <v>395.95600000000002</v>
      </c>
      <c r="M6" s="105">
        <v>400</v>
      </c>
      <c r="N6" s="105">
        <v>142</v>
      </c>
      <c r="O6" s="105">
        <v>395.95600000000002</v>
      </c>
      <c r="P6" s="68">
        <f t="shared" si="0"/>
        <v>1</v>
      </c>
    </row>
    <row r="7" spans="1:20" ht="28.8" x14ac:dyDescent="0.3">
      <c r="A7" s="107">
        <v>2020565925</v>
      </c>
      <c r="B7" s="103" t="s">
        <v>186</v>
      </c>
      <c r="C7" s="103" t="s">
        <v>187</v>
      </c>
      <c r="D7" s="104">
        <v>43315</v>
      </c>
      <c r="E7" s="104">
        <v>43285</v>
      </c>
      <c r="F7" s="104">
        <v>43315</v>
      </c>
      <c r="G7" s="104">
        <v>43347</v>
      </c>
      <c r="H7" s="105">
        <v>0</v>
      </c>
      <c r="I7" s="105">
        <v>0</v>
      </c>
      <c r="J7" s="105">
        <v>0</v>
      </c>
      <c r="K7" s="106"/>
      <c r="L7" s="105">
        <v>0</v>
      </c>
      <c r="M7" s="105">
        <v>600</v>
      </c>
      <c r="N7" s="105">
        <v>246</v>
      </c>
      <c r="O7" s="105">
        <v>0</v>
      </c>
      <c r="P7" s="68">
        <f t="shared" si="0"/>
        <v>1</v>
      </c>
    </row>
    <row r="8" spans="1:20" ht="28.8" x14ac:dyDescent="0.3">
      <c r="A8" s="107">
        <v>2082483477</v>
      </c>
      <c r="B8" s="103" t="s">
        <v>137</v>
      </c>
      <c r="C8" s="103" t="s">
        <v>25</v>
      </c>
      <c r="D8" s="104">
        <v>43332</v>
      </c>
      <c r="E8" s="104">
        <v>43301</v>
      </c>
      <c r="F8" s="104">
        <v>43332</v>
      </c>
      <c r="G8" s="104">
        <v>43363</v>
      </c>
      <c r="H8" s="105">
        <v>1.58</v>
      </c>
      <c r="I8" s="105">
        <v>0</v>
      </c>
      <c r="J8" s="105">
        <v>135.24799999999999</v>
      </c>
      <c r="K8" s="105">
        <v>135.24799999999999</v>
      </c>
      <c r="L8" s="105">
        <v>1706.152</v>
      </c>
      <c r="M8" s="105">
        <v>1200</v>
      </c>
      <c r="N8" s="105">
        <v>229</v>
      </c>
      <c r="O8" s="105">
        <v>1706.152</v>
      </c>
      <c r="P8" s="68">
        <f t="shared" si="0"/>
        <v>1</v>
      </c>
    </row>
    <row r="9" spans="1:20" ht="28.8" x14ac:dyDescent="0.3">
      <c r="A9" s="107">
        <v>2021507732</v>
      </c>
      <c r="B9" s="103" t="s">
        <v>130</v>
      </c>
      <c r="C9" s="103" t="s">
        <v>131</v>
      </c>
      <c r="D9" s="104">
        <v>43322</v>
      </c>
      <c r="E9" s="104">
        <v>43293</v>
      </c>
      <c r="F9" s="104">
        <v>43322</v>
      </c>
      <c r="G9" s="104">
        <v>43355</v>
      </c>
      <c r="H9" s="106"/>
      <c r="I9" s="105">
        <v>0</v>
      </c>
      <c r="J9" s="105">
        <v>2172.6120000000001</v>
      </c>
      <c r="K9" s="105">
        <v>2172.6120000000001</v>
      </c>
      <c r="L9" s="105">
        <v>18361.067999999999</v>
      </c>
      <c r="M9" s="105">
        <v>14700</v>
      </c>
      <c r="N9" s="105">
        <v>4400</v>
      </c>
      <c r="O9" s="105">
        <v>18361.067999999999</v>
      </c>
      <c r="P9" s="68">
        <f t="shared" si="0"/>
        <v>3</v>
      </c>
    </row>
    <row r="10" spans="1:20" ht="43.2" x14ac:dyDescent="0.3">
      <c r="A10" s="107">
        <v>2094430918</v>
      </c>
      <c r="B10" s="103" t="s">
        <v>135</v>
      </c>
      <c r="C10" s="103" t="s">
        <v>136</v>
      </c>
      <c r="D10" s="104">
        <v>43333</v>
      </c>
      <c r="E10" s="104">
        <v>43297</v>
      </c>
      <c r="F10" s="104">
        <v>43326</v>
      </c>
      <c r="G10" s="104">
        <v>43357</v>
      </c>
      <c r="H10" s="105">
        <v>1.58</v>
      </c>
      <c r="I10" s="105">
        <v>0</v>
      </c>
      <c r="J10" s="105">
        <v>155.11600000000001</v>
      </c>
      <c r="K10" s="105">
        <v>155.11600000000001</v>
      </c>
      <c r="L10" s="105">
        <v>1314.104</v>
      </c>
      <c r="M10" s="105">
        <v>1050</v>
      </c>
      <c r="N10" s="105">
        <v>265</v>
      </c>
      <c r="O10" s="105">
        <v>1314.104</v>
      </c>
      <c r="P10" s="68">
        <f t="shared" si="0"/>
        <v>1</v>
      </c>
    </row>
    <row r="11" spans="1:20" ht="28.8" x14ac:dyDescent="0.3">
      <c r="A11" s="107">
        <v>2094715921</v>
      </c>
      <c r="B11" s="103" t="s">
        <v>184</v>
      </c>
      <c r="C11" s="103" t="s">
        <v>185</v>
      </c>
      <c r="D11" s="104">
        <v>43336</v>
      </c>
      <c r="E11" s="104">
        <v>43307</v>
      </c>
      <c r="F11" s="104">
        <v>43336</v>
      </c>
      <c r="G11" s="104">
        <v>43369</v>
      </c>
      <c r="H11" s="105">
        <v>0</v>
      </c>
      <c r="I11" s="105">
        <v>0</v>
      </c>
      <c r="J11" s="105">
        <v>0</v>
      </c>
      <c r="K11" s="106"/>
      <c r="L11" s="105">
        <v>0</v>
      </c>
      <c r="M11" s="105">
        <v>1300</v>
      </c>
      <c r="N11" s="105">
        <v>630</v>
      </c>
      <c r="O11" s="105">
        <v>0</v>
      </c>
      <c r="P11" s="68">
        <f t="shared" si="0"/>
        <v>2</v>
      </c>
    </row>
    <row r="12" spans="1:20" ht="28.8" x14ac:dyDescent="0.3">
      <c r="A12" s="107">
        <v>4000744926</v>
      </c>
      <c r="B12" s="103" t="s">
        <v>207</v>
      </c>
      <c r="C12" s="103" t="s">
        <v>208</v>
      </c>
      <c r="D12" s="104">
        <v>43336</v>
      </c>
      <c r="E12" s="104">
        <v>43306</v>
      </c>
      <c r="F12" s="104">
        <v>43335</v>
      </c>
      <c r="G12" s="104">
        <v>43368</v>
      </c>
      <c r="H12" s="105">
        <v>0.53</v>
      </c>
      <c r="I12" s="105">
        <v>0</v>
      </c>
      <c r="J12" s="105">
        <v>45.368000000000002</v>
      </c>
      <c r="K12" s="105">
        <v>45.368000000000002</v>
      </c>
      <c r="L12" s="105">
        <v>45.368000000000002</v>
      </c>
      <c r="M12" s="105">
        <v>100</v>
      </c>
      <c r="N12" s="105">
        <v>140</v>
      </c>
      <c r="O12" s="105">
        <v>45.368000000000002</v>
      </c>
      <c r="P12" s="68">
        <f t="shared" si="0"/>
        <v>1</v>
      </c>
    </row>
    <row r="13" spans="1:20" ht="28.8" x14ac:dyDescent="0.3">
      <c r="A13" s="107">
        <v>2023657588</v>
      </c>
      <c r="B13" s="103" t="s">
        <v>213</v>
      </c>
      <c r="C13" s="103" t="s">
        <v>214</v>
      </c>
      <c r="D13" s="104">
        <v>43315</v>
      </c>
      <c r="E13" s="104">
        <v>43285</v>
      </c>
      <c r="F13" s="104">
        <v>43315</v>
      </c>
      <c r="G13" s="104">
        <v>43347</v>
      </c>
      <c r="H13" s="105">
        <v>2.11</v>
      </c>
      <c r="I13" s="105">
        <v>0</v>
      </c>
      <c r="J13" s="105">
        <v>0</v>
      </c>
      <c r="K13" s="106"/>
      <c r="L13" s="105">
        <v>0</v>
      </c>
      <c r="M13" s="105">
        <v>400</v>
      </c>
      <c r="N13" s="105">
        <v>214</v>
      </c>
      <c r="O13" s="105">
        <v>0</v>
      </c>
      <c r="P13" s="68">
        <f t="shared" si="0"/>
        <v>1</v>
      </c>
    </row>
    <row r="14" spans="1:20" ht="28.8" x14ac:dyDescent="0.3">
      <c r="A14" s="107">
        <v>4000016164</v>
      </c>
      <c r="B14" s="103" t="s">
        <v>140</v>
      </c>
      <c r="C14" s="103" t="s">
        <v>141</v>
      </c>
      <c r="D14" s="104">
        <v>43305</v>
      </c>
      <c r="E14" s="104">
        <v>43273</v>
      </c>
      <c r="F14" s="104">
        <v>43305</v>
      </c>
      <c r="G14" s="104">
        <v>43334</v>
      </c>
      <c r="H14" s="105">
        <v>3.14</v>
      </c>
      <c r="I14" s="105">
        <v>28.248000000000001</v>
      </c>
      <c r="J14" s="105">
        <v>290</v>
      </c>
      <c r="K14" s="105">
        <v>310.23200000000003</v>
      </c>
      <c r="L14" s="105">
        <v>2622.748</v>
      </c>
      <c r="M14" s="105">
        <v>2100</v>
      </c>
      <c r="N14" s="105">
        <v>290</v>
      </c>
      <c r="O14" s="105">
        <v>2622.748</v>
      </c>
      <c r="P14" s="68">
        <f t="shared" si="0"/>
        <v>1</v>
      </c>
    </row>
    <row r="15" spans="1:20" ht="28.8" x14ac:dyDescent="0.3">
      <c r="A15" s="107">
        <v>2095645349</v>
      </c>
      <c r="B15" s="103" t="s">
        <v>194</v>
      </c>
      <c r="C15" s="103" t="s">
        <v>195</v>
      </c>
      <c r="D15" s="104">
        <v>43332</v>
      </c>
      <c r="E15" s="104">
        <v>43301</v>
      </c>
      <c r="F15" s="104">
        <v>43332</v>
      </c>
      <c r="G15" s="104">
        <v>43363</v>
      </c>
      <c r="H15" s="105">
        <v>2.11</v>
      </c>
      <c r="I15" s="105">
        <v>0</v>
      </c>
      <c r="J15" s="105">
        <v>180.61600000000001</v>
      </c>
      <c r="K15" s="105">
        <v>180.61600000000001</v>
      </c>
      <c r="L15" s="105">
        <v>180.61600000000001</v>
      </c>
      <c r="M15" s="105">
        <v>200</v>
      </c>
      <c r="N15" s="105">
        <v>343</v>
      </c>
      <c r="O15" s="105">
        <v>180.61600000000001</v>
      </c>
      <c r="P15" s="68">
        <f t="shared" si="0"/>
        <v>1</v>
      </c>
    </row>
    <row r="16" spans="1:20" ht="28.8" x14ac:dyDescent="0.3">
      <c r="A16" s="107">
        <v>2081906269</v>
      </c>
      <c r="B16" s="103" t="s">
        <v>200</v>
      </c>
      <c r="C16" s="103" t="s">
        <v>201</v>
      </c>
      <c r="D16" s="104">
        <v>43329</v>
      </c>
      <c r="E16" s="104">
        <v>43300</v>
      </c>
      <c r="F16" s="104">
        <v>43329</v>
      </c>
      <c r="G16" s="104">
        <v>43362</v>
      </c>
      <c r="H16" s="105">
        <v>1.58</v>
      </c>
      <c r="I16" s="105">
        <v>135.24799999999999</v>
      </c>
      <c r="J16" s="105">
        <v>0</v>
      </c>
      <c r="K16" s="105">
        <v>135.24799999999999</v>
      </c>
      <c r="L16" s="105">
        <v>135.24799999999999</v>
      </c>
      <c r="M16" s="105">
        <v>150</v>
      </c>
      <c r="N16" s="105">
        <v>239</v>
      </c>
      <c r="O16" s="105">
        <v>135.24799999999999</v>
      </c>
      <c r="P16" s="68">
        <f t="shared" si="0"/>
        <v>1</v>
      </c>
    </row>
    <row r="17" spans="1:16" ht="28.8" x14ac:dyDescent="0.3">
      <c r="A17" s="107">
        <v>2022806598</v>
      </c>
      <c r="B17" s="103" t="s">
        <v>138</v>
      </c>
      <c r="C17" s="103" t="s">
        <v>29</v>
      </c>
      <c r="D17" s="104">
        <v>43332</v>
      </c>
      <c r="E17" s="104">
        <v>43301</v>
      </c>
      <c r="F17" s="104">
        <v>43332</v>
      </c>
      <c r="G17" s="104">
        <v>43363</v>
      </c>
      <c r="H17" s="105">
        <v>2.11</v>
      </c>
      <c r="I17" s="105">
        <v>28.411999999999999</v>
      </c>
      <c r="J17" s="105">
        <v>220</v>
      </c>
      <c r="K17" s="105">
        <v>180.61600000000001</v>
      </c>
      <c r="L17" s="105">
        <v>2270.904</v>
      </c>
      <c r="M17" s="105">
        <v>2000</v>
      </c>
      <c r="N17" s="105">
        <v>250</v>
      </c>
      <c r="O17" s="105">
        <v>2270.904</v>
      </c>
      <c r="P17" s="68">
        <f t="shared" si="0"/>
        <v>1</v>
      </c>
    </row>
    <row r="18" spans="1:16" ht="43.2" x14ac:dyDescent="0.3">
      <c r="A18" s="107">
        <v>2021489297</v>
      </c>
      <c r="B18" s="103" t="s">
        <v>191</v>
      </c>
      <c r="C18" s="103" t="s">
        <v>174</v>
      </c>
      <c r="D18" s="104">
        <v>43316</v>
      </c>
      <c r="E18" s="104">
        <v>43293</v>
      </c>
      <c r="F18" s="104">
        <v>43322</v>
      </c>
      <c r="G18" s="104">
        <v>43355</v>
      </c>
      <c r="H18" s="105">
        <v>1.58</v>
      </c>
      <c r="I18" s="105">
        <v>109.624</v>
      </c>
      <c r="J18" s="105">
        <v>83</v>
      </c>
      <c r="K18" s="105">
        <v>155.11600000000001</v>
      </c>
      <c r="L18" s="105">
        <v>287.62400000000002</v>
      </c>
      <c r="M18" s="105">
        <v>300</v>
      </c>
      <c r="N18" s="105">
        <v>113</v>
      </c>
      <c r="O18" s="105">
        <v>287.62400000000002</v>
      </c>
      <c r="P18" s="68">
        <f t="shared" si="0"/>
        <v>1</v>
      </c>
    </row>
    <row r="19" spans="1:16" ht="28.8" x14ac:dyDescent="0.3">
      <c r="A19" s="107">
        <v>2020707291</v>
      </c>
      <c r="B19" s="103" t="s">
        <v>145</v>
      </c>
      <c r="C19" s="103" t="s">
        <v>146</v>
      </c>
      <c r="D19" s="104">
        <v>43318</v>
      </c>
      <c r="E19" s="104">
        <v>43286</v>
      </c>
      <c r="F19" s="104">
        <v>43318</v>
      </c>
      <c r="G19" s="104">
        <v>43348</v>
      </c>
      <c r="H19" s="105">
        <v>20.94</v>
      </c>
      <c r="I19" s="105">
        <v>2632.2080000000001</v>
      </c>
      <c r="J19" s="105">
        <v>1104</v>
      </c>
      <c r="K19" s="105">
        <v>2068.8719999999998</v>
      </c>
      <c r="L19" s="105">
        <v>17119.207999999999</v>
      </c>
      <c r="M19" s="105">
        <v>14000</v>
      </c>
      <c r="N19" s="105">
        <v>1204</v>
      </c>
      <c r="O19" s="105">
        <v>17119.207999999999</v>
      </c>
      <c r="P19" s="68">
        <f t="shared" si="0"/>
        <v>2</v>
      </c>
    </row>
    <row r="20" spans="1:16" ht="28.8" x14ac:dyDescent="0.3">
      <c r="A20" s="107">
        <v>2096377569</v>
      </c>
      <c r="B20" s="103" t="s">
        <v>209</v>
      </c>
      <c r="C20" s="103" t="s">
        <v>210</v>
      </c>
      <c r="D20" s="104">
        <v>43332</v>
      </c>
      <c r="E20" s="104">
        <v>43301</v>
      </c>
      <c r="F20" s="104">
        <v>43332</v>
      </c>
      <c r="G20" s="104">
        <v>43363</v>
      </c>
      <c r="H20" s="105">
        <v>1.05</v>
      </c>
      <c r="I20" s="105">
        <v>0</v>
      </c>
      <c r="J20" s="105">
        <v>89.88</v>
      </c>
      <c r="K20" s="105">
        <v>89.88</v>
      </c>
      <c r="L20" s="105">
        <v>193.62</v>
      </c>
      <c r="M20" s="105">
        <v>300</v>
      </c>
      <c r="N20" s="105">
        <v>179</v>
      </c>
      <c r="O20" s="105">
        <v>193.62</v>
      </c>
      <c r="P20" s="68">
        <f t="shared" si="0"/>
        <v>1</v>
      </c>
    </row>
    <row r="21" spans="1:16" ht="43.2" x14ac:dyDescent="0.3">
      <c r="A21" s="107">
        <v>2020707304</v>
      </c>
      <c r="B21" s="103" t="s">
        <v>188</v>
      </c>
      <c r="C21" s="103" t="s">
        <v>189</v>
      </c>
      <c r="D21" s="104">
        <v>43318</v>
      </c>
      <c r="E21" s="104">
        <v>43286</v>
      </c>
      <c r="F21" s="104">
        <v>43318</v>
      </c>
      <c r="G21" s="104">
        <v>43348</v>
      </c>
      <c r="H21" s="105">
        <v>5.26</v>
      </c>
      <c r="I21" s="105">
        <v>0</v>
      </c>
      <c r="J21" s="105">
        <v>0</v>
      </c>
      <c r="K21" s="106"/>
      <c r="L21" s="105">
        <v>0</v>
      </c>
      <c r="M21" s="105">
        <v>1000</v>
      </c>
      <c r="N21" s="105">
        <v>696</v>
      </c>
      <c r="O21" s="105">
        <v>0</v>
      </c>
      <c r="P21" s="68">
        <f t="shared" si="0"/>
        <v>2</v>
      </c>
    </row>
    <row r="22" spans="1:16" ht="43.2" x14ac:dyDescent="0.3">
      <c r="A22" s="107">
        <v>2095370447</v>
      </c>
      <c r="B22" s="103" t="s">
        <v>188</v>
      </c>
      <c r="C22" s="103" t="s">
        <v>189</v>
      </c>
      <c r="D22" s="104">
        <v>43318</v>
      </c>
      <c r="E22" s="104">
        <v>43286</v>
      </c>
      <c r="F22" s="104">
        <v>43318</v>
      </c>
      <c r="G22" s="104">
        <v>43348</v>
      </c>
      <c r="H22" s="105">
        <v>1.05</v>
      </c>
      <c r="I22" s="105">
        <v>0</v>
      </c>
      <c r="J22" s="105">
        <v>0</v>
      </c>
      <c r="K22" s="106"/>
      <c r="L22" s="105">
        <v>0</v>
      </c>
      <c r="M22" s="105">
        <v>200</v>
      </c>
      <c r="N22" s="105">
        <v>402</v>
      </c>
      <c r="O22" s="105">
        <v>0</v>
      </c>
      <c r="P22" s="68">
        <f t="shared" si="0"/>
        <v>1</v>
      </c>
    </row>
    <row r="23" spans="1:16" ht="28.8" x14ac:dyDescent="0.3">
      <c r="A23" s="107">
        <v>4001739070</v>
      </c>
      <c r="B23" s="103" t="s">
        <v>203</v>
      </c>
      <c r="C23" s="103" t="s">
        <v>204</v>
      </c>
      <c r="D23" s="104">
        <v>43329</v>
      </c>
      <c r="E23" s="104">
        <v>43300</v>
      </c>
      <c r="F23" s="104">
        <v>43329</v>
      </c>
      <c r="G23" s="104">
        <v>43362</v>
      </c>
      <c r="H23" s="105">
        <v>0.53</v>
      </c>
      <c r="I23" s="105">
        <v>45.368000000000002</v>
      </c>
      <c r="J23" s="105">
        <v>0</v>
      </c>
      <c r="K23" s="105">
        <v>45.368000000000002</v>
      </c>
      <c r="L23" s="105">
        <v>45.368000000000002</v>
      </c>
      <c r="M23" s="105">
        <v>0</v>
      </c>
      <c r="N23" s="105">
        <v>107</v>
      </c>
      <c r="O23" s="105">
        <v>45.368000000000002</v>
      </c>
      <c r="P23" s="68">
        <f t="shared" si="0"/>
        <v>1</v>
      </c>
    </row>
    <row r="24" spans="1:16" ht="43.2" x14ac:dyDescent="0.3">
      <c r="A24" s="107">
        <v>2023301279</v>
      </c>
      <c r="B24" s="103" t="s">
        <v>183</v>
      </c>
      <c r="C24" s="103" t="s">
        <v>190</v>
      </c>
      <c r="D24" s="104">
        <v>43335</v>
      </c>
      <c r="E24" s="104">
        <v>43306</v>
      </c>
      <c r="F24" s="104">
        <v>43335</v>
      </c>
      <c r="G24" s="104">
        <v>43368</v>
      </c>
      <c r="H24" s="105">
        <v>10</v>
      </c>
      <c r="I24" s="105">
        <v>771.84</v>
      </c>
      <c r="J24" s="105">
        <v>483</v>
      </c>
      <c r="K24" s="105">
        <v>856</v>
      </c>
      <c r="L24" s="105">
        <v>2678.84</v>
      </c>
      <c r="M24" s="105">
        <v>1900</v>
      </c>
      <c r="N24" s="105">
        <v>483</v>
      </c>
      <c r="O24" s="105">
        <v>2678.84</v>
      </c>
      <c r="P24" s="68">
        <f t="shared" si="0"/>
        <v>1</v>
      </c>
    </row>
    <row r="25" spans="1:16" ht="28.8" x14ac:dyDescent="0.3">
      <c r="A25" s="107">
        <v>4000332114</v>
      </c>
      <c r="B25" s="103" t="s">
        <v>30</v>
      </c>
      <c r="C25" s="103" t="s">
        <v>31</v>
      </c>
      <c r="D25" s="104">
        <v>43335</v>
      </c>
      <c r="E25" s="104">
        <v>43306</v>
      </c>
      <c r="F25" s="104">
        <v>43335</v>
      </c>
      <c r="G25" s="104">
        <v>43368</v>
      </c>
      <c r="H25" s="105">
        <v>1.05</v>
      </c>
      <c r="I25" s="105">
        <v>0</v>
      </c>
      <c r="J25" s="105">
        <v>89.88</v>
      </c>
      <c r="K25" s="105">
        <v>89.88</v>
      </c>
      <c r="L25" s="105">
        <v>1135.94</v>
      </c>
      <c r="M25" s="105">
        <v>800</v>
      </c>
      <c r="N25" s="105">
        <v>164</v>
      </c>
      <c r="O25" s="105">
        <v>1135.94</v>
      </c>
      <c r="P25" s="68">
        <f t="shared" si="0"/>
        <v>1</v>
      </c>
    </row>
    <row r="26" spans="1:16" x14ac:dyDescent="0.3">
      <c r="A26" s="107">
        <v>2002369052</v>
      </c>
      <c r="B26" s="103" t="s">
        <v>51</v>
      </c>
      <c r="C26" s="103" t="s">
        <v>144</v>
      </c>
      <c r="D26" s="104">
        <v>43314</v>
      </c>
      <c r="E26" s="104">
        <v>43284</v>
      </c>
      <c r="F26" s="104">
        <v>43314</v>
      </c>
      <c r="G26" s="104">
        <v>43346</v>
      </c>
      <c r="H26" s="105">
        <v>3.66</v>
      </c>
      <c r="I26" s="105">
        <v>62.991999999999997</v>
      </c>
      <c r="J26" s="105">
        <v>338</v>
      </c>
      <c r="K26" s="105">
        <v>361.608</v>
      </c>
      <c r="L26" s="105">
        <v>2647.9920000000002</v>
      </c>
      <c r="M26" s="105">
        <v>2100</v>
      </c>
      <c r="N26" s="105">
        <v>368</v>
      </c>
      <c r="O26" s="105">
        <v>2647.9920000000002</v>
      </c>
      <c r="P26" s="68">
        <f>IF(N26&lt;=$S$1,1,IF(N26&gt;=$T$1,3,2))</f>
        <v>1</v>
      </c>
    </row>
    <row r="27" spans="1:16" ht="28.8" x14ac:dyDescent="0.3">
      <c r="A27" s="107">
        <v>2022489622</v>
      </c>
      <c r="B27" s="103" t="s">
        <v>211</v>
      </c>
      <c r="C27" s="103" t="s">
        <v>206</v>
      </c>
      <c r="D27" s="104">
        <v>43333</v>
      </c>
      <c r="E27" s="104">
        <v>43304</v>
      </c>
      <c r="F27" s="104">
        <v>43333</v>
      </c>
      <c r="G27" s="104">
        <v>43364</v>
      </c>
      <c r="H27" s="105">
        <v>6.32</v>
      </c>
      <c r="I27" s="105">
        <v>244.99199999999999</v>
      </c>
      <c r="J27" s="105">
        <v>296</v>
      </c>
      <c r="K27" s="106"/>
      <c r="L27" s="105">
        <v>540.99199999999996</v>
      </c>
      <c r="M27" s="105">
        <v>1200</v>
      </c>
      <c r="N27" s="105">
        <v>296</v>
      </c>
      <c r="O27" s="105">
        <v>540.99199999999996</v>
      </c>
      <c r="P27" s="68">
        <f t="shared" ref="P27:P31" si="1">IF(N27&lt;=$S$1,1,IF(N27&gt;=$T$1,3,2))</f>
        <v>1</v>
      </c>
    </row>
    <row r="28" spans="1:16" x14ac:dyDescent="0.3">
      <c r="A28" s="107">
        <v>2002764784</v>
      </c>
      <c r="B28" s="103" t="s">
        <v>212</v>
      </c>
      <c r="C28" s="103" t="s">
        <v>27</v>
      </c>
      <c r="D28" s="104">
        <v>43332</v>
      </c>
      <c r="E28" s="104">
        <v>43301</v>
      </c>
      <c r="F28" s="104">
        <v>43332</v>
      </c>
      <c r="G28" s="104">
        <v>43363</v>
      </c>
      <c r="H28" s="105">
        <v>30</v>
      </c>
      <c r="I28" s="105">
        <v>0</v>
      </c>
      <c r="J28" s="105">
        <v>0</v>
      </c>
      <c r="K28" s="105">
        <v>0</v>
      </c>
      <c r="L28" s="105">
        <v>4017.98</v>
      </c>
      <c r="M28" s="105">
        <v>3250</v>
      </c>
      <c r="N28" s="105">
        <v>1026</v>
      </c>
      <c r="O28" s="105">
        <v>4017.98</v>
      </c>
      <c r="P28" s="68">
        <f t="shared" si="1"/>
        <v>2</v>
      </c>
    </row>
    <row r="29" spans="1:16" ht="43.2" x14ac:dyDescent="0.3">
      <c r="A29" s="107">
        <v>2024636746</v>
      </c>
      <c r="B29" s="103" t="s">
        <v>77</v>
      </c>
      <c r="C29" s="103" t="s">
        <v>139</v>
      </c>
      <c r="D29" s="104">
        <v>43332</v>
      </c>
      <c r="E29" s="104">
        <v>43301</v>
      </c>
      <c r="F29" s="104">
        <v>43332</v>
      </c>
      <c r="G29" s="104">
        <v>43363</v>
      </c>
      <c r="H29" s="105">
        <v>14.74</v>
      </c>
      <c r="I29" s="105">
        <v>208.15199999999999</v>
      </c>
      <c r="J29" s="105">
        <v>1348</v>
      </c>
      <c r="K29" s="105">
        <v>1261.7439999999999</v>
      </c>
      <c r="L29" s="105">
        <v>6334.9560000000001</v>
      </c>
      <c r="M29" s="105">
        <v>5700</v>
      </c>
      <c r="N29" s="105">
        <v>1448</v>
      </c>
      <c r="O29" s="105">
        <v>6334.9560000000001</v>
      </c>
      <c r="P29" s="68">
        <f t="shared" si="1"/>
        <v>2</v>
      </c>
    </row>
    <row r="30" spans="1:16" ht="43.2" x14ac:dyDescent="0.3">
      <c r="A30" s="107">
        <v>2083993169</v>
      </c>
      <c r="B30" s="103" t="s">
        <v>142</v>
      </c>
      <c r="C30" s="103" t="s">
        <v>143</v>
      </c>
      <c r="D30" s="104">
        <v>43336</v>
      </c>
      <c r="E30" s="104">
        <v>43307</v>
      </c>
      <c r="F30" s="104">
        <v>43336</v>
      </c>
      <c r="G30" s="104">
        <v>43369</v>
      </c>
      <c r="H30" s="105">
        <v>10.53</v>
      </c>
      <c r="I30" s="105">
        <v>0</v>
      </c>
      <c r="J30" s="105">
        <v>901.36800000000005</v>
      </c>
      <c r="K30" s="105">
        <v>901.36800000000005</v>
      </c>
      <c r="L30" s="105">
        <v>9644.4719999999998</v>
      </c>
      <c r="M30" s="105">
        <v>7000</v>
      </c>
      <c r="N30" s="105">
        <v>1172</v>
      </c>
      <c r="O30" s="105">
        <v>9644.4719999999998</v>
      </c>
      <c r="P30" s="68">
        <f t="shared" si="1"/>
        <v>2</v>
      </c>
    </row>
    <row r="31" spans="1:16" ht="28.8" x14ac:dyDescent="0.3">
      <c r="A31" s="107">
        <v>2021874891</v>
      </c>
      <c r="B31" s="103" t="s">
        <v>132</v>
      </c>
      <c r="C31" s="103" t="s">
        <v>133</v>
      </c>
      <c r="D31" s="104">
        <v>43326</v>
      </c>
      <c r="E31" s="104">
        <v>43297</v>
      </c>
      <c r="F31" s="104">
        <v>43326</v>
      </c>
      <c r="G31" s="104">
        <v>43357</v>
      </c>
      <c r="H31" s="105">
        <v>4.74</v>
      </c>
      <c r="I31" s="105">
        <v>195.55600000000001</v>
      </c>
      <c r="J31" s="105">
        <v>415</v>
      </c>
      <c r="K31" s="105">
        <v>465.34800000000001</v>
      </c>
      <c r="L31" s="105">
        <v>3936.8519999999999</v>
      </c>
      <c r="M31" s="105">
        <v>2800</v>
      </c>
      <c r="N31" s="105">
        <v>515</v>
      </c>
      <c r="O31" s="105">
        <v>3936.8519999999999</v>
      </c>
      <c r="P31" s="68">
        <f t="shared" si="1"/>
        <v>2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CE22-C6C9-49B8-8075-E35C2EA816A3}">
  <sheetPr>
    <tabColor rgb="FFFFFF00"/>
  </sheetPr>
  <dimension ref="A1:S31"/>
  <sheetViews>
    <sheetView workbookViewId="0">
      <selection activeCell="B8" sqref="B8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196</v>
      </c>
      <c r="I1" s="2">
        <v>9880</v>
      </c>
      <c r="J1" s="2">
        <f>I1*E12</f>
        <v>0</v>
      </c>
    </row>
    <row r="2" spans="1:19" x14ac:dyDescent="0.25">
      <c r="A2" s="2" t="s">
        <v>5</v>
      </c>
      <c r="B2" s="5" t="s">
        <v>197</v>
      </c>
      <c r="F2" s="9"/>
    </row>
    <row r="3" spans="1:19" x14ac:dyDescent="0.25">
      <c r="A3" s="2" t="s">
        <v>6</v>
      </c>
      <c r="B3" s="10">
        <v>4000322911</v>
      </c>
    </row>
    <row r="4" spans="1:19" ht="14.4" x14ac:dyDescent="0.3">
      <c r="A4" s="2" t="s">
        <v>7</v>
      </c>
      <c r="B4" s="9">
        <v>43344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43299</v>
      </c>
      <c r="C8" s="14">
        <f t="shared" ca="1" si="0"/>
        <v>43328</v>
      </c>
      <c r="D8" s="15">
        <f t="shared" ca="1" si="0"/>
        <v>200</v>
      </c>
      <c r="E8" s="16">
        <f t="shared" ca="1" si="0"/>
        <v>2.1100000000000001E-2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43361</v>
      </c>
      <c r="K8" s="31">
        <f t="shared" ca="1" si="0"/>
        <v>156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43313</v>
      </c>
      <c r="B11" s="9">
        <v>43299</v>
      </c>
      <c r="C11" s="9">
        <v>43328</v>
      </c>
      <c r="D11" s="21">
        <v>200</v>
      </c>
      <c r="E11" s="51">
        <v>2.1100000000000001E-2</v>
      </c>
      <c r="F11" s="99">
        <v>0</v>
      </c>
      <c r="G11" s="99">
        <v>0</v>
      </c>
      <c r="H11" s="27">
        <v>0</v>
      </c>
      <c r="I11" s="27">
        <v>0</v>
      </c>
      <c r="J11" s="9">
        <v>43361</v>
      </c>
      <c r="K11" s="52">
        <v>156</v>
      </c>
      <c r="L11" s="8"/>
      <c r="M11" s="8"/>
      <c r="N11" s="8"/>
      <c r="O11" s="98" t="e">
        <f>IF(C11&gt;VLOOKUP(A11,'4001950116'!$A$11:$N$200,3,FALSE),VLOOKUP(A11,'4001950116'!$A$11:$N$200,11,FALSE),VLOOKUP(A10,'4001950116'!$A$11:$N$200,11,FALSE))*E11</f>
        <v>#N/A</v>
      </c>
      <c r="Q11" s="67"/>
    </row>
    <row r="12" spans="1:19" x14ac:dyDescent="0.25">
      <c r="A12" s="8"/>
      <c r="B12" s="9"/>
      <c r="C12" s="9"/>
      <c r="E12" s="51"/>
      <c r="F12" s="28"/>
      <c r="H12" s="28"/>
      <c r="J12" s="9"/>
      <c r="N12" s="8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C411-D01C-4F39-8F59-FC1A636E4B0B}">
  <dimension ref="A1:S31"/>
  <sheetViews>
    <sheetView topLeftCell="B1" workbookViewId="0">
      <selection activeCell="O13" sqref="O13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198</v>
      </c>
      <c r="I1" s="2">
        <v>9880</v>
      </c>
      <c r="J1" s="2">
        <f>I1*E12</f>
        <v>208.46800000000002</v>
      </c>
    </row>
    <row r="2" spans="1:19" x14ac:dyDescent="0.25">
      <c r="A2" s="2" t="s">
        <v>5</v>
      </c>
      <c r="B2" s="5" t="s">
        <v>199</v>
      </c>
      <c r="F2" s="9"/>
    </row>
    <row r="3" spans="1:19" x14ac:dyDescent="0.25">
      <c r="A3" s="2" t="s">
        <v>6</v>
      </c>
      <c r="B3" s="10">
        <v>2023657588</v>
      </c>
    </row>
    <row r="4" spans="1:19" ht="14.4" x14ac:dyDescent="0.3">
      <c r="A4" s="2" t="s">
        <v>7</v>
      </c>
      <c r="B4" s="9">
        <v>43344</v>
      </c>
      <c r="C4" s="9"/>
      <c r="F4" s="74"/>
    </row>
    <row r="5" spans="1:19" x14ac:dyDescent="0.25">
      <c r="A5" s="1" t="s">
        <v>18</v>
      </c>
      <c r="B5" s="28">
        <f>SUM(F11:F200)</f>
        <v>180.61600000000001</v>
      </c>
    </row>
    <row r="6" spans="1:19" x14ac:dyDescent="0.25">
      <c r="A6" s="1" t="s">
        <v>103</v>
      </c>
      <c r="B6" s="65">
        <f>B5-B7</f>
        <v>-19.383999999999986</v>
      </c>
    </row>
    <row r="7" spans="1:19" x14ac:dyDescent="0.25">
      <c r="A7" s="1" t="s">
        <v>108</v>
      </c>
      <c r="B7" s="65">
        <f>SUM(D12:D200)</f>
        <v>200</v>
      </c>
      <c r="F7" s="2">
        <f>COUNTIF(F11:F200,"&gt;0")</f>
        <v>1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43315</v>
      </c>
      <c r="C8" s="14">
        <f t="shared" ca="1" si="0"/>
        <v>43347</v>
      </c>
      <c r="D8" s="15">
        <f t="shared" ca="1" si="0"/>
        <v>0</v>
      </c>
      <c r="E8" s="16">
        <f t="shared" ca="1" si="0"/>
        <v>2.1100000000000001E-2</v>
      </c>
      <c r="F8" s="15">
        <f t="shared" ca="1" si="0"/>
        <v>180.61600000000001</v>
      </c>
      <c r="G8" s="15">
        <f t="shared" ca="1" si="0"/>
        <v>180.61600000000001</v>
      </c>
      <c r="H8" s="15">
        <f t="shared" ca="1" si="0"/>
        <v>0</v>
      </c>
      <c r="I8" s="15">
        <f t="shared" ca="1" si="0"/>
        <v>0</v>
      </c>
      <c r="J8" s="14">
        <f t="shared" ca="1" si="0"/>
        <v>43377</v>
      </c>
      <c r="K8" s="31">
        <f t="shared" ca="1" si="0"/>
        <v>242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2</v>
      </c>
      <c r="B9" s="1">
        <f t="shared" ref="B9:M9" si="1">COUNTA(B11:B200)</f>
        <v>2</v>
      </c>
      <c r="C9" s="1">
        <f t="shared" si="1"/>
        <v>2</v>
      </c>
      <c r="D9" s="1">
        <f t="shared" si="1"/>
        <v>1</v>
      </c>
      <c r="E9" s="1">
        <f t="shared" si="1"/>
        <v>2</v>
      </c>
      <c r="F9" s="1">
        <f t="shared" si="1"/>
        <v>2</v>
      </c>
      <c r="G9" s="1">
        <f t="shared" si="1"/>
        <v>2</v>
      </c>
      <c r="H9" s="1">
        <f t="shared" si="1"/>
        <v>2</v>
      </c>
      <c r="I9" s="1">
        <f t="shared" si="1"/>
        <v>2</v>
      </c>
      <c r="J9" s="1">
        <f t="shared" si="1"/>
        <v>2</v>
      </c>
      <c r="K9" s="1">
        <f t="shared" si="1"/>
        <v>2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43313</v>
      </c>
      <c r="B11" s="9">
        <v>43285</v>
      </c>
      <c r="C11" s="9">
        <v>43315</v>
      </c>
      <c r="D11" s="21"/>
      <c r="E11" s="51">
        <v>2.1100000000000001E-2</v>
      </c>
      <c r="F11" s="99">
        <v>0</v>
      </c>
      <c r="G11" s="99">
        <v>0</v>
      </c>
      <c r="H11" s="27">
        <v>0</v>
      </c>
      <c r="I11" s="27">
        <v>0</v>
      </c>
      <c r="J11" s="9">
        <v>43347</v>
      </c>
      <c r="K11" s="52">
        <v>214</v>
      </c>
      <c r="L11" s="8"/>
      <c r="M11" s="8"/>
      <c r="N11" s="8"/>
      <c r="O11" s="98" t="e">
        <f>IF(C11&gt;VLOOKUP(A11,'4001950116'!$A$11:$N$200,3,FALSE),VLOOKUP(A11,'4001950116'!$A$11:$N$200,11,FALSE),VLOOKUP(A10,'4001950116'!$A$11:$N$200,11,FALSE))*E11</f>
        <v>#N/A</v>
      </c>
      <c r="Q11" s="67"/>
    </row>
    <row r="12" spans="1:19" x14ac:dyDescent="0.25">
      <c r="A12" s="8">
        <v>43344</v>
      </c>
      <c r="B12" s="9">
        <v>43315</v>
      </c>
      <c r="C12" s="9">
        <v>43347</v>
      </c>
      <c r="D12" s="2">
        <v>200</v>
      </c>
      <c r="E12" s="51">
        <v>2.1100000000000001E-2</v>
      </c>
      <c r="F12" s="28">
        <f>G12+H12</f>
        <v>180.61600000000001</v>
      </c>
      <c r="G12" s="2">
        <v>180.61600000000001</v>
      </c>
      <c r="H12" s="28">
        <f>I12-I11</f>
        <v>0</v>
      </c>
      <c r="I12" s="2">
        <v>0</v>
      </c>
      <c r="J12" s="9">
        <v>43377</v>
      </c>
      <c r="K12" s="2">
        <v>242</v>
      </c>
      <c r="N12" s="8"/>
      <c r="O12" s="98">
        <f>IF(C12&gt;VLOOKUP(A11,'4001950116'!$A$11:$N$200,3,FALSE),VLOOKUP(A11,'4001950116'!$A$11:$N$200,11,FALSE),VLOOKUP(A11,'4001950116'!$A$11:$N$200,11,FALSE))*E12</f>
        <v>180.61600000000001</v>
      </c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F5C6-B5DC-4E97-81FA-4019F41AADDD}">
  <sheetPr>
    <tabColor rgb="FFFFFF00"/>
  </sheetPr>
  <dimension ref="A1:S31"/>
  <sheetViews>
    <sheetView workbookViewId="0">
      <selection activeCell="O11" sqref="O11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5" width="12.88671875" style="2" customWidth="1"/>
    <col min="16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200</v>
      </c>
      <c r="I1" s="2">
        <v>9880</v>
      </c>
      <c r="J1" s="2">
        <f>I1*E12</f>
        <v>0</v>
      </c>
    </row>
    <row r="2" spans="1:19" x14ac:dyDescent="0.25">
      <c r="A2" s="2" t="s">
        <v>5</v>
      </c>
      <c r="B2" s="5" t="s">
        <v>201</v>
      </c>
      <c r="F2" s="9"/>
    </row>
    <row r="3" spans="1:19" x14ac:dyDescent="0.25">
      <c r="A3" s="2" t="s">
        <v>6</v>
      </c>
      <c r="B3" s="10">
        <v>2081906269</v>
      </c>
    </row>
    <row r="4" spans="1:19" ht="14.4" x14ac:dyDescent="0.3">
      <c r="A4" s="2" t="s">
        <v>7</v>
      </c>
      <c r="B4" s="9">
        <v>43344</v>
      </c>
      <c r="C4" s="9"/>
      <c r="F4" s="74"/>
    </row>
    <row r="5" spans="1:19" x14ac:dyDescent="0.25">
      <c r="A5" s="1" t="s">
        <v>18</v>
      </c>
      <c r="B5" s="28">
        <f>SUM(F11:F200)</f>
        <v>135.24799999999999</v>
      </c>
    </row>
    <row r="6" spans="1:19" x14ac:dyDescent="0.25">
      <c r="A6" s="1" t="s">
        <v>103</v>
      </c>
      <c r="B6" s="65">
        <f>B5-B7</f>
        <v>135.24799999999999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1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43300</v>
      </c>
      <c r="C8" s="14">
        <f t="shared" ca="1" si="0"/>
        <v>43329</v>
      </c>
      <c r="D8" s="15">
        <f t="shared" ca="1" si="0"/>
        <v>150</v>
      </c>
      <c r="E8" s="16">
        <f t="shared" ca="1" si="0"/>
        <v>1.5800000000000002E-2</v>
      </c>
      <c r="F8" s="15">
        <f t="shared" ca="1" si="0"/>
        <v>135.24799999999999</v>
      </c>
      <c r="G8" s="15">
        <f t="shared" ca="1" si="0"/>
        <v>135.24799999999999</v>
      </c>
      <c r="H8" s="15">
        <f t="shared" ca="1" si="0"/>
        <v>0</v>
      </c>
      <c r="I8" s="15">
        <f t="shared" ca="1" si="0"/>
        <v>0</v>
      </c>
      <c r="J8" s="14">
        <f t="shared" ca="1" si="0"/>
        <v>43362</v>
      </c>
      <c r="K8" s="31">
        <f t="shared" ca="1" si="0"/>
        <v>239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43313</v>
      </c>
      <c r="B11" s="9">
        <v>43300</v>
      </c>
      <c r="C11" s="9">
        <v>43329</v>
      </c>
      <c r="D11" s="21">
        <v>150</v>
      </c>
      <c r="E11" s="51">
        <v>1.5800000000000002E-2</v>
      </c>
      <c r="F11" s="99">
        <f>G11+H11</f>
        <v>135.24799999999999</v>
      </c>
      <c r="G11" s="99">
        <v>135.24799999999999</v>
      </c>
      <c r="H11" s="27">
        <v>0</v>
      </c>
      <c r="I11" s="27">
        <v>0</v>
      </c>
      <c r="J11" s="9">
        <v>43362</v>
      </c>
      <c r="K11" s="52">
        <v>239</v>
      </c>
      <c r="L11" s="8"/>
      <c r="M11" s="8"/>
      <c r="N11" s="8"/>
      <c r="O11" s="98">
        <f>IF(C11&gt;VLOOKUP(A11,'4001950116'!$A$11:$N$200,3,FALSE),VLOOKUP(A11,'4001950116'!$A$11:$N$200,11,FALSE),VLOOKUP(A10,'4001950116'!$A$11:$N$200,11,FALSE))*E11</f>
        <v>135.24800000000002</v>
      </c>
      <c r="P11" s="2" t="s">
        <v>202</v>
      </c>
      <c r="Q11" s="67"/>
    </row>
    <row r="12" spans="1:19" x14ac:dyDescent="0.25">
      <c r="A12" s="8"/>
      <c r="B12" s="9"/>
      <c r="C12" s="9"/>
      <c r="E12" s="51"/>
      <c r="F12" s="28"/>
      <c r="H12" s="28"/>
      <c r="J12" s="9"/>
      <c r="N12" s="8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2CD1-5267-4972-82FE-567C43C5352B}">
  <sheetPr>
    <tabColor rgb="FFFFFF00"/>
  </sheetPr>
  <dimension ref="A1:S31"/>
  <sheetViews>
    <sheetView workbookViewId="0">
      <selection activeCell="M10" sqref="M10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5" width="12.88671875" style="2" customWidth="1"/>
    <col min="16" max="16" width="8.88671875" style="2"/>
    <col min="17" max="17" width="10.5546875" style="2" bestFit="1" customWidth="1"/>
    <col min="18" max="16384" width="8.88671875" style="2"/>
  </cols>
  <sheetData>
    <row r="1" spans="1:19" x14ac:dyDescent="0.25">
      <c r="A1" s="2" t="s">
        <v>4</v>
      </c>
      <c r="B1" s="4" t="s">
        <v>203</v>
      </c>
      <c r="I1" s="2">
        <v>9880</v>
      </c>
      <c r="J1" s="2">
        <f>I1*E12</f>
        <v>0</v>
      </c>
    </row>
    <row r="2" spans="1:19" x14ac:dyDescent="0.25">
      <c r="A2" s="2" t="s">
        <v>5</v>
      </c>
      <c r="B2" s="5" t="s">
        <v>204</v>
      </c>
      <c r="F2" s="9"/>
    </row>
    <row r="3" spans="1:19" x14ac:dyDescent="0.25">
      <c r="A3" s="2" t="s">
        <v>6</v>
      </c>
      <c r="B3" s="10">
        <v>4001739070</v>
      </c>
    </row>
    <row r="4" spans="1:19" ht="14.4" x14ac:dyDescent="0.3">
      <c r="A4" s="2" t="s">
        <v>7</v>
      </c>
      <c r="B4" s="9">
        <v>43344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43300</v>
      </c>
      <c r="C8" s="14">
        <f t="shared" ca="1" si="0"/>
        <v>43329</v>
      </c>
      <c r="D8" s="15">
        <f t="shared" ca="1" si="0"/>
        <v>50</v>
      </c>
      <c r="E8" s="16">
        <f t="shared" ca="1" si="0"/>
        <v>5.3E-3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43362</v>
      </c>
      <c r="K8" s="31">
        <f t="shared" ca="1" si="0"/>
        <v>107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43313</v>
      </c>
      <c r="B11" s="9">
        <v>43300</v>
      </c>
      <c r="C11" s="9">
        <v>43329</v>
      </c>
      <c r="D11" s="21">
        <v>50</v>
      </c>
      <c r="E11" s="51">
        <v>5.3E-3</v>
      </c>
      <c r="F11" s="99">
        <v>0</v>
      </c>
      <c r="G11" s="99">
        <v>0</v>
      </c>
      <c r="H11" s="27">
        <v>0</v>
      </c>
      <c r="I11" s="27">
        <v>0</v>
      </c>
      <c r="J11" s="9">
        <v>43362</v>
      </c>
      <c r="K11" s="52">
        <v>107</v>
      </c>
      <c r="L11" s="8"/>
      <c r="M11" s="8"/>
      <c r="N11" s="8"/>
      <c r="O11" s="98">
        <f>IF(C11&gt;VLOOKUP(A11,'4001950116'!$A$11:$N$200,3,FALSE),VLOOKUP(A11,'4001950116'!$A$11:$N$200,11,FALSE),VLOOKUP(A10,'4001950116'!$A$11:$N$200,11,FALSE))*E11</f>
        <v>45.368000000000002</v>
      </c>
      <c r="P11" s="2" t="s">
        <v>202</v>
      </c>
      <c r="Q11" s="67"/>
    </row>
    <row r="12" spans="1:19" x14ac:dyDescent="0.25">
      <c r="A12" s="8"/>
      <c r="B12" s="9"/>
      <c r="C12" s="9"/>
      <c r="E12" s="51"/>
      <c r="F12" s="28"/>
      <c r="H12" s="28"/>
      <c r="J12" s="9"/>
      <c r="N12" s="8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6527-AD8F-465C-AF8D-2D478C80B214}">
  <dimension ref="A1:S31"/>
  <sheetViews>
    <sheetView workbookViewId="0">
      <selection activeCell="M10" sqref="M10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205</v>
      </c>
      <c r="F1" s="2">
        <v>8440</v>
      </c>
      <c r="G1" s="2">
        <f>F1*E11</f>
        <v>533.40800000000002</v>
      </c>
    </row>
    <row r="2" spans="1:19" x14ac:dyDescent="0.25">
      <c r="A2" s="2" t="s">
        <v>5</v>
      </c>
      <c r="B2" s="5" t="s">
        <v>206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2022489622</v>
      </c>
    </row>
    <row r="4" spans="1:19" ht="14.4" x14ac:dyDescent="0.3">
      <c r="A4" s="2" t="s">
        <v>7</v>
      </c>
      <c r="B4" s="9">
        <v>43313</v>
      </c>
      <c r="C4" s="9"/>
      <c r="F4" s="74"/>
    </row>
    <row r="5" spans="1:19" x14ac:dyDescent="0.25">
      <c r="A5" s="1" t="s">
        <v>18</v>
      </c>
      <c r="B5" s="28">
        <f>SUM(F11:F200)</f>
        <v>540.99199999999996</v>
      </c>
    </row>
    <row r="6" spans="1:19" x14ac:dyDescent="0.25">
      <c r="A6" s="1" t="s">
        <v>103</v>
      </c>
      <c r="B6" s="65">
        <f>B5-B7</f>
        <v>-59.008000000000038</v>
      </c>
    </row>
    <row r="7" spans="1:19" x14ac:dyDescent="0.25">
      <c r="A7" s="1" t="s">
        <v>108</v>
      </c>
      <c r="B7" s="65">
        <f>SUM(D11:D200)</f>
        <v>600</v>
      </c>
      <c r="F7" s="2">
        <f>COUNTIF(F11:F200,"&gt;0")</f>
        <v>1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43304</v>
      </c>
      <c r="C8" s="14">
        <f t="shared" ca="1" si="0"/>
        <v>43333</v>
      </c>
      <c r="D8" s="15">
        <f t="shared" ca="1" si="0"/>
        <v>600</v>
      </c>
      <c r="E8" s="16">
        <f t="shared" ca="1" si="0"/>
        <v>6.3200000000000006E-2</v>
      </c>
      <c r="F8" s="15">
        <f t="shared" ca="1" si="0"/>
        <v>540.99199999999996</v>
      </c>
      <c r="G8" s="15">
        <f t="shared" ca="1" si="0"/>
        <v>296</v>
      </c>
      <c r="H8" s="15">
        <f t="shared" ca="1" si="0"/>
        <v>0</v>
      </c>
      <c r="I8" s="15">
        <f t="shared" ca="1" si="0"/>
        <v>244.99199999999999</v>
      </c>
      <c r="J8" s="14">
        <f t="shared" ca="1" si="0"/>
        <v>43364</v>
      </c>
      <c r="K8" s="31">
        <f t="shared" ca="1" si="0"/>
        <v>296</v>
      </c>
      <c r="L8" s="30">
        <f t="shared" ca="1" si="0"/>
        <v>117.27000000000007</v>
      </c>
      <c r="M8" s="30">
        <f t="shared" ca="1" si="0"/>
        <v>422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1</v>
      </c>
      <c r="M9" s="1">
        <f t="shared" si="1"/>
        <v>1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43304</v>
      </c>
      <c r="C11" s="9">
        <v>43333</v>
      </c>
      <c r="D11" s="21">
        <v>600</v>
      </c>
      <c r="E11" s="51">
        <v>6.3200000000000006E-2</v>
      </c>
      <c r="F11" s="27">
        <f>G11+I11</f>
        <v>540.99199999999996</v>
      </c>
      <c r="G11" s="27">
        <v>296</v>
      </c>
      <c r="H11" s="27">
        <v>0</v>
      </c>
      <c r="I11" s="27">
        <v>244.99199999999999</v>
      </c>
      <c r="J11" s="9">
        <v>43364</v>
      </c>
      <c r="K11" s="52">
        <v>296</v>
      </c>
      <c r="L11" s="53">
        <v>117.27000000000007</v>
      </c>
      <c r="M11" s="53">
        <v>422</v>
      </c>
      <c r="N11" s="8"/>
      <c r="O11" s="2">
        <f>IF(C11&gt;VLOOKUP(A11,'4001950116'!$A$11:$N$200,3,FALSE),VLOOKUP(A11,'4001950116'!$A$11:$N$200,11,FALSE),VLOOKUP(A10,'4001950116'!$A$11:$N$200,11,FALSE))*E11</f>
        <v>540.99200000000008</v>
      </c>
      <c r="P11" s="2">
        <f>(C11-B11)*24</f>
        <v>696</v>
      </c>
      <c r="Q11" s="59">
        <f t="shared" ref="Q11" si="2">M11/P11</f>
        <v>0.60632183908045978</v>
      </c>
      <c r="R11" s="2">
        <f t="shared" ref="R11" si="3">L11*(1+Q11)</f>
        <v>188.3733620689656</v>
      </c>
      <c r="S11" s="62">
        <f t="shared" ref="S11" si="4">K11/R11</f>
        <v>1.5713474386661479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A371-84A9-4DA4-946F-D876A768950C}">
  <dimension ref="A1:S31"/>
  <sheetViews>
    <sheetView workbookViewId="0">
      <selection activeCell="B8" sqref="B8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218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217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2027542238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43305</v>
      </c>
      <c r="C8" s="14">
        <f t="shared" ca="1" si="0"/>
        <v>43334</v>
      </c>
      <c r="D8" s="15">
        <f t="shared" ca="1" si="0"/>
        <v>350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43367</v>
      </c>
      <c r="K8" s="31">
        <f t="shared" ca="1" si="0"/>
        <v>335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43305</v>
      </c>
      <c r="C11" s="9">
        <v>43334</v>
      </c>
      <c r="D11" s="21">
        <v>350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43367</v>
      </c>
      <c r="K11" s="52">
        <v>335</v>
      </c>
      <c r="L11" s="53"/>
      <c r="M11" s="53"/>
      <c r="N11" s="8"/>
      <c r="O11" s="2">
        <f>IF(C11&gt;VLOOKUP(A11,'4001950116'!$A$11:$N$200,3,FALSE),VLOOKUP(A11,'4001950116'!$A$11:$N$200,11,FALSE),VLOOKUP(A10,'4001950116'!$A$11:$N$200,11,FALSE))*E11</f>
        <v>0</v>
      </c>
      <c r="P11" s="2">
        <f>(C11-B11)*24</f>
        <v>696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8B71-7967-4864-A95F-4A2CB6766E84}">
  <dimension ref="A1:S31"/>
  <sheetViews>
    <sheetView workbookViewId="0">
      <selection activeCell="K13" sqref="K13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219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220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4000103128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SUM(D13:D200)</f>
        <v>0</v>
      </c>
      <c r="F7" s="2">
        <f>COUNTIF(F11:F200,"&gt;0")</f>
        <v>0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43325</v>
      </c>
      <c r="C8" s="14">
        <f t="shared" ca="1" si="0"/>
        <v>43356</v>
      </c>
      <c r="D8" s="15">
        <f t="shared" ca="1" si="0"/>
        <v>150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43388</v>
      </c>
      <c r="K8" s="31">
        <f t="shared" ca="1" si="0"/>
        <v>262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2</v>
      </c>
      <c r="B9" s="1">
        <f t="shared" ref="B9:M9" si="1">COUNTA(B11:B200)</f>
        <v>2</v>
      </c>
      <c r="C9" s="1">
        <f t="shared" si="1"/>
        <v>2</v>
      </c>
      <c r="D9" s="1">
        <f t="shared" si="1"/>
        <v>2</v>
      </c>
      <c r="E9" s="1">
        <f t="shared" si="1"/>
        <v>2</v>
      </c>
      <c r="F9" s="1">
        <f t="shared" si="1"/>
        <v>2</v>
      </c>
      <c r="G9" s="1">
        <f t="shared" si="1"/>
        <v>2</v>
      </c>
      <c r="H9" s="1">
        <f t="shared" si="1"/>
        <v>2</v>
      </c>
      <c r="I9" s="1">
        <f t="shared" si="1"/>
        <v>2</v>
      </c>
      <c r="J9" s="1">
        <f t="shared" si="1"/>
        <v>2</v>
      </c>
      <c r="K9" s="1">
        <f t="shared" si="1"/>
        <v>2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43294</v>
      </c>
      <c r="C11" s="9">
        <v>43325</v>
      </c>
      <c r="D11" s="21">
        <v>150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43356</v>
      </c>
      <c r="K11" s="52">
        <v>262</v>
      </c>
      <c r="L11" s="53"/>
      <c r="M11" s="53"/>
      <c r="N11" s="8"/>
      <c r="O11" s="2" t="e">
        <f>IF(C11&gt;VLOOKUP(A11,'4001950116'!$A$11:$N$200,3,FALSE),VLOOKUP(A11,'4001950116'!$A$11:$N$200,11,FALSE),VLOOKUP(A10,'4001950116'!$A$11:$N$200,11,FALSE))*E11</f>
        <v>#N/A</v>
      </c>
      <c r="P11" s="2">
        <f>(C11-B11)*24</f>
        <v>744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>
        <v>43344</v>
      </c>
      <c r="B12" s="9">
        <v>43325</v>
      </c>
      <c r="C12" s="9">
        <v>43356</v>
      </c>
      <c r="D12" s="2">
        <v>150</v>
      </c>
      <c r="E12" s="51">
        <v>0</v>
      </c>
      <c r="F12" s="28">
        <v>0</v>
      </c>
      <c r="G12" s="2">
        <v>0</v>
      </c>
      <c r="H12" s="28">
        <v>0</v>
      </c>
      <c r="I12" s="2">
        <v>0</v>
      </c>
      <c r="J12" s="9">
        <v>43388</v>
      </c>
      <c r="K12" s="2">
        <v>262</v>
      </c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45E6-E78D-4481-BC35-B7B022A65C3A}">
  <dimension ref="A1:S31"/>
  <sheetViews>
    <sheetView workbookViewId="0">
      <selection activeCell="K12" sqref="K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223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224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2021015171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43321</v>
      </c>
      <c r="C8" s="14">
        <f t="shared" ca="1" si="0"/>
        <v>43354</v>
      </c>
      <c r="D8" s="15">
        <f t="shared" ca="1" si="0"/>
        <v>450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43383</v>
      </c>
      <c r="K8" s="31">
        <f t="shared" ca="1" si="0"/>
        <v>502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43344</v>
      </c>
      <c r="B11" s="9">
        <v>43321</v>
      </c>
      <c r="C11" s="9">
        <v>43354</v>
      </c>
      <c r="D11" s="21">
        <v>450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43383</v>
      </c>
      <c r="K11" s="52">
        <v>502</v>
      </c>
      <c r="L11" s="53"/>
      <c r="M11" s="53"/>
      <c r="N11" s="8"/>
      <c r="O11" s="2" t="e">
        <f>IF(C11&gt;VLOOKUP(A11,'4001950116'!$A$11:$N$200,3,FALSE),VLOOKUP(A11,'4001950116'!$A$11:$N$200,11,FALSE),VLOOKUP(A10,'4001950116'!$A$11:$N$200,11,FALSE))*E11</f>
        <v>#N/A</v>
      </c>
      <c r="P11" s="2">
        <f>(C11-B11)*24</f>
        <v>792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1B93-0A5A-43D5-A5DD-6E49E8C91B61}">
  <dimension ref="A1:S31"/>
  <sheetViews>
    <sheetView workbookViewId="0">
      <selection activeCell="K12" sqref="K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225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226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2089356314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43300</v>
      </c>
      <c r="C8" s="14">
        <f t="shared" ca="1" si="0"/>
        <v>43329</v>
      </c>
      <c r="D8" s="15">
        <f t="shared" ca="1" si="0"/>
        <v>200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43362</v>
      </c>
      <c r="K8" s="31">
        <f t="shared" ca="1" si="0"/>
        <v>224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43300</v>
      </c>
      <c r="C11" s="9">
        <v>43329</v>
      </c>
      <c r="D11" s="21">
        <v>200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43362</v>
      </c>
      <c r="K11" s="52">
        <v>224</v>
      </c>
      <c r="L11" s="53"/>
      <c r="M11" s="53"/>
      <c r="N11" s="8"/>
      <c r="O11" s="2">
        <f>IF(C11&gt;VLOOKUP(A11,'4001950116'!$A$11:$N$200,3,FALSE),VLOOKUP(A11,'4001950116'!$A$11:$N$200,11,FALSE),VLOOKUP(A10,'4001950116'!$A$11:$N$200,11,FALSE))*E11</f>
        <v>0</v>
      </c>
      <c r="P11" s="2">
        <f>(C11-B11)*24</f>
        <v>696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4A1B-942A-427D-9F20-C2B6DDA6CEDF}">
  <dimension ref="A1:S31"/>
  <sheetViews>
    <sheetView workbookViewId="0">
      <selection activeCell="K12" sqref="K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221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222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2092281541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43305</v>
      </c>
      <c r="C8" s="14">
        <f t="shared" ca="1" si="0"/>
        <v>43334</v>
      </c>
      <c r="D8" s="15">
        <f t="shared" ca="1" si="0"/>
        <v>150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43367</v>
      </c>
      <c r="K8" s="31">
        <f t="shared" ca="1" si="0"/>
        <v>179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43305</v>
      </c>
      <c r="C11" s="9">
        <v>43334</v>
      </c>
      <c r="D11" s="21">
        <v>150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43367</v>
      </c>
      <c r="K11" s="52">
        <v>179</v>
      </c>
      <c r="L11" s="53"/>
      <c r="M11" s="53"/>
      <c r="N11" s="8"/>
      <c r="O11" s="2">
        <f>IF(C11&gt;VLOOKUP(A11,'4001950116'!$A$11:$N$200,3,FALSE),VLOOKUP(A11,'4001950116'!$A$11:$N$200,11,FALSE),VLOOKUP(A10,'4001950116'!$A$11:$N$200,11,FALSE))*E11</f>
        <v>0</v>
      </c>
      <c r="P11" s="2">
        <f>(C11-B11)*24</f>
        <v>696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961A-AD6A-44AE-8B26-0CF1D2ED5218}">
  <sheetPr codeName="Planilha2"/>
  <dimension ref="A1:V21"/>
  <sheetViews>
    <sheetView topLeftCell="C1" workbookViewId="0">
      <selection activeCell="C19" sqref="A19:XFD19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4.44140625" style="2" customWidth="1"/>
    <col min="12" max="12" width="17" style="2" customWidth="1"/>
    <col min="13" max="13" width="12.6640625" style="2" customWidth="1"/>
    <col min="14" max="15" width="13.6640625" style="2" customWidth="1"/>
    <col min="16" max="21" width="8.88671875" style="2"/>
    <col min="22" max="22" width="11.77734375" style="2" customWidth="1"/>
    <col min="23" max="16384" width="8.88671875" style="2"/>
  </cols>
  <sheetData>
    <row r="1" spans="1:22" x14ac:dyDescent="0.25">
      <c r="A1" s="2" t="s">
        <v>4</v>
      </c>
      <c r="B1" s="4" t="s">
        <v>2</v>
      </c>
      <c r="F1" s="2">
        <v>4280</v>
      </c>
      <c r="G1" s="2">
        <f t="shared" ref="G1:G6" si="0">F1*E11</f>
        <v>85.600000000000009</v>
      </c>
      <c r="H1" s="2" t="s">
        <v>56</v>
      </c>
      <c r="I1" s="2">
        <v>9160</v>
      </c>
      <c r="J1" s="2">
        <f>I1*E17</f>
        <v>57.707999999999998</v>
      </c>
      <c r="K1" s="2" t="s">
        <v>156</v>
      </c>
      <c r="L1" s="2">
        <v>123456</v>
      </c>
    </row>
    <row r="2" spans="1:22" ht="14.4" x14ac:dyDescent="0.3">
      <c r="A2" s="2" t="s">
        <v>5</v>
      </c>
      <c r="B2" s="5" t="s">
        <v>3</v>
      </c>
      <c r="F2" s="2">
        <v>8800</v>
      </c>
      <c r="G2" s="2">
        <f t="shared" si="0"/>
        <v>55.44</v>
      </c>
      <c r="H2" s="2" t="s">
        <v>56</v>
      </c>
      <c r="I2" s="2">
        <v>8440</v>
      </c>
      <c r="J2" s="2">
        <f>I2*E18</f>
        <v>45.576000000000001</v>
      </c>
      <c r="K2" s="2" t="s">
        <v>157</v>
      </c>
      <c r="L2" s="74" t="s">
        <v>158</v>
      </c>
    </row>
    <row r="3" spans="1:22" x14ac:dyDescent="0.25">
      <c r="A3" s="2" t="s">
        <v>6</v>
      </c>
      <c r="B3" s="10">
        <v>4001912941</v>
      </c>
      <c r="F3" s="2">
        <v>7600</v>
      </c>
      <c r="G3" s="2">
        <f t="shared" si="0"/>
        <v>47.88</v>
      </c>
      <c r="I3" s="2">
        <v>9880</v>
      </c>
      <c r="J3" s="2">
        <f>I3*E18</f>
        <v>53.352000000000004</v>
      </c>
    </row>
    <row r="4" spans="1:22" x14ac:dyDescent="0.25">
      <c r="A4" s="2" t="s">
        <v>7</v>
      </c>
      <c r="B4" s="3">
        <v>43101</v>
      </c>
      <c r="F4" s="2">
        <v>9520</v>
      </c>
      <c r="G4" s="2">
        <f t="shared" si="0"/>
        <v>59.975999999999999</v>
      </c>
    </row>
    <row r="5" spans="1:22" x14ac:dyDescent="0.25">
      <c r="A5" s="1" t="s">
        <v>18</v>
      </c>
      <c r="B5" s="20">
        <f>SUM(F11:F200)</f>
        <v>569.77199999999993</v>
      </c>
      <c r="F5" s="2">
        <v>10720</v>
      </c>
      <c r="G5" s="2">
        <f t="shared" si="0"/>
        <v>67.536000000000001</v>
      </c>
    </row>
    <row r="6" spans="1:22" x14ac:dyDescent="0.25">
      <c r="A6" s="1" t="s">
        <v>103</v>
      </c>
      <c r="B6" s="2">
        <f>B5-SUM(D11:D200)</f>
        <v>69.771999999999935</v>
      </c>
      <c r="F6" s="2">
        <v>8800</v>
      </c>
      <c r="G6" s="2">
        <f t="shared" si="0"/>
        <v>55.44</v>
      </c>
    </row>
    <row r="7" spans="1:22" x14ac:dyDescent="0.25">
      <c r="A7" s="1" t="s">
        <v>108</v>
      </c>
      <c r="B7" s="2">
        <f>SUM(D12:D200)</f>
        <v>450</v>
      </c>
      <c r="F7" s="2">
        <f>COUNTIF(F11:F200,"&gt;0")</f>
        <v>10</v>
      </c>
    </row>
    <row r="8" spans="1:22" x14ac:dyDescent="0.25">
      <c r="A8" s="13">
        <f ca="1">OFFSET(A10,A9,0)</f>
        <v>43344</v>
      </c>
      <c r="B8" s="14">
        <f t="shared" ref="B8:L8" ca="1" si="1">OFFSET(B10,B9,0)</f>
        <v>43320</v>
      </c>
      <c r="C8" s="14">
        <f t="shared" ca="1" si="1"/>
        <v>43353</v>
      </c>
      <c r="D8" s="15">
        <f t="shared" ca="1" si="1"/>
        <v>50</v>
      </c>
      <c r="E8" s="16">
        <f t="shared" ca="1" si="1"/>
        <v>4.8999999999999998E-3</v>
      </c>
      <c r="F8" s="15">
        <f t="shared" ca="1" si="1"/>
        <v>41.944000000000017</v>
      </c>
      <c r="G8" s="15">
        <f t="shared" ca="1" si="1"/>
        <v>8</v>
      </c>
      <c r="H8" s="15">
        <f t="shared" ca="1" si="1"/>
        <v>33.944000000000017</v>
      </c>
      <c r="I8" s="15">
        <f t="shared" ca="1" si="1"/>
        <v>189.02</v>
      </c>
      <c r="J8" s="14">
        <f t="shared" ca="1" si="1"/>
        <v>43382</v>
      </c>
      <c r="K8" s="30">
        <f t="shared" ca="1" si="1"/>
        <v>58</v>
      </c>
      <c r="L8" s="30">
        <f t="shared" ca="1" si="1"/>
        <v>200.15000000000057</v>
      </c>
      <c r="M8" s="30">
        <f t="shared" ref="M8:N8" ca="1" si="2">OFFSET(M10,M9,0)</f>
        <v>0</v>
      </c>
      <c r="N8" s="36">
        <f t="shared" ca="1" si="2"/>
        <v>43252</v>
      </c>
      <c r="O8" s="36"/>
    </row>
    <row r="9" spans="1:22" x14ac:dyDescent="0.25">
      <c r="A9" s="1">
        <f>COUNTA(A11:A200)</f>
        <v>10</v>
      </c>
      <c r="B9" s="1">
        <f t="shared" ref="B9:L9" si="3">COUNTA(B11:B200)</f>
        <v>10</v>
      </c>
      <c r="C9" s="1">
        <f t="shared" si="3"/>
        <v>10</v>
      </c>
      <c r="D9" s="1">
        <f t="shared" si="3"/>
        <v>10</v>
      </c>
      <c r="E9" s="1">
        <f t="shared" si="3"/>
        <v>10</v>
      </c>
      <c r="F9" s="1">
        <f t="shared" si="3"/>
        <v>10</v>
      </c>
      <c r="G9" s="1">
        <f t="shared" si="3"/>
        <v>10</v>
      </c>
      <c r="H9" s="1">
        <f t="shared" si="3"/>
        <v>10</v>
      </c>
      <c r="I9" s="1">
        <f t="shared" si="3"/>
        <v>10</v>
      </c>
      <c r="J9" s="1">
        <f t="shared" si="3"/>
        <v>10</v>
      </c>
      <c r="K9" s="1">
        <f t="shared" si="3"/>
        <v>10</v>
      </c>
      <c r="L9" s="1">
        <f t="shared" si="3"/>
        <v>9</v>
      </c>
      <c r="M9" s="1">
        <f t="shared" ref="M9:N9" si="4">COUNTA(M11:M200)</f>
        <v>9</v>
      </c>
      <c r="N9" s="1">
        <f t="shared" si="4"/>
        <v>5</v>
      </c>
      <c r="O9" s="1"/>
    </row>
    <row r="10" spans="1:22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22" x14ac:dyDescent="0.25">
      <c r="A11" s="8">
        <v>43070</v>
      </c>
      <c r="B11" s="9">
        <v>43047</v>
      </c>
      <c r="C11" s="9">
        <v>43080</v>
      </c>
      <c r="D11" s="2">
        <v>50</v>
      </c>
      <c r="E11" s="11">
        <v>0.02</v>
      </c>
      <c r="F11" s="20">
        <f t="shared" ref="F11:F20" si="5">G11+H11</f>
        <v>85</v>
      </c>
      <c r="G11" s="2">
        <v>61</v>
      </c>
      <c r="H11" s="2">
        <v>24</v>
      </c>
      <c r="I11" s="2">
        <v>24.6</v>
      </c>
      <c r="J11" s="9">
        <v>43109</v>
      </c>
      <c r="K11" s="2">
        <v>111</v>
      </c>
      <c r="L11" s="2">
        <v>0</v>
      </c>
      <c r="M11" s="2">
        <v>0</v>
      </c>
      <c r="N11" s="9">
        <v>43131</v>
      </c>
      <c r="O11" s="9"/>
    </row>
    <row r="12" spans="1:22" x14ac:dyDescent="0.25">
      <c r="A12" s="8">
        <v>43101</v>
      </c>
      <c r="B12" s="9">
        <v>43080</v>
      </c>
      <c r="C12" s="9">
        <v>43109</v>
      </c>
      <c r="D12" s="2">
        <v>50</v>
      </c>
      <c r="E12" s="12">
        <v>6.3E-3</v>
      </c>
      <c r="F12" s="20">
        <f t="shared" si="5"/>
        <v>55.439999999999991</v>
      </c>
      <c r="G12" s="2">
        <f>24.6+55.44</f>
        <v>80.039999999999992</v>
      </c>
      <c r="H12" s="20">
        <f t="shared" ref="H12:H20" si="6">I12-I11</f>
        <v>-24.6</v>
      </c>
      <c r="I12" s="2">
        <v>0</v>
      </c>
      <c r="J12" s="9">
        <v>43138</v>
      </c>
      <c r="K12" s="2">
        <v>304</v>
      </c>
      <c r="L12" s="2">
        <v>390.11000000000053</v>
      </c>
      <c r="M12" s="2">
        <v>4</v>
      </c>
      <c r="N12" s="9">
        <v>43162</v>
      </c>
      <c r="O12" s="9"/>
      <c r="P12" s="2">
        <f t="shared" ref="P12:P19" si="7">K12/L12</f>
        <v>0.77926738612186197</v>
      </c>
      <c r="R12" s="7"/>
      <c r="S12" s="7"/>
      <c r="T12" s="7"/>
      <c r="U12" s="7"/>
      <c r="V12" s="7"/>
    </row>
    <row r="13" spans="1:22" x14ac:dyDescent="0.25">
      <c r="A13" s="8">
        <v>43132</v>
      </c>
      <c r="B13" s="9">
        <v>43109</v>
      </c>
      <c r="C13" s="9">
        <v>43138</v>
      </c>
      <c r="D13" s="2">
        <v>50</v>
      </c>
      <c r="E13" s="12">
        <v>6.3E-3</v>
      </c>
      <c r="F13" s="38">
        <f t="shared" si="5"/>
        <v>47.8</v>
      </c>
      <c r="G13" s="2">
        <v>47.8</v>
      </c>
      <c r="H13" s="20">
        <f t="shared" si="6"/>
        <v>0</v>
      </c>
      <c r="I13" s="2">
        <v>0</v>
      </c>
      <c r="J13" s="9">
        <v>43168</v>
      </c>
      <c r="K13" s="2">
        <v>144</v>
      </c>
      <c r="L13" s="2">
        <v>242.70999999999958</v>
      </c>
      <c r="M13" s="2">
        <v>1</v>
      </c>
      <c r="N13" s="9">
        <v>43191</v>
      </c>
      <c r="O13" s="9"/>
      <c r="P13" s="2">
        <f t="shared" si="7"/>
        <v>0.59330064686251183</v>
      </c>
      <c r="R13" s="7"/>
      <c r="S13" s="7"/>
      <c r="T13" s="7"/>
      <c r="U13" s="7"/>
      <c r="V13" s="7"/>
    </row>
    <row r="14" spans="1:22" x14ac:dyDescent="0.25">
      <c r="A14" s="8">
        <v>43160</v>
      </c>
      <c r="B14" s="9">
        <v>43138</v>
      </c>
      <c r="C14" s="9">
        <v>43168</v>
      </c>
      <c r="D14" s="2">
        <v>50</v>
      </c>
      <c r="E14" s="12">
        <v>6.3E-3</v>
      </c>
      <c r="F14" s="38">
        <f t="shared" si="5"/>
        <v>59.975999999999999</v>
      </c>
      <c r="G14" s="2">
        <v>59.975999999999999</v>
      </c>
      <c r="H14" s="20">
        <f t="shared" si="6"/>
        <v>0</v>
      </c>
      <c r="I14" s="2">
        <v>0</v>
      </c>
      <c r="J14" s="9">
        <v>43199</v>
      </c>
      <c r="K14" s="2">
        <v>186</v>
      </c>
      <c r="L14" s="2">
        <v>286.84999999999911</v>
      </c>
      <c r="M14" s="2">
        <v>1</v>
      </c>
      <c r="N14" s="9">
        <v>43222</v>
      </c>
      <c r="O14" s="9"/>
      <c r="P14" s="2">
        <f t="shared" si="7"/>
        <v>0.64842252048108973</v>
      </c>
      <c r="R14" s="7"/>
      <c r="S14" s="7"/>
      <c r="T14" s="7"/>
      <c r="U14" s="7"/>
      <c r="V14" s="7"/>
    </row>
    <row r="15" spans="1:22" x14ac:dyDescent="0.25">
      <c r="A15" s="8">
        <v>43191</v>
      </c>
      <c r="B15" s="9">
        <v>43168</v>
      </c>
      <c r="C15" s="9">
        <v>43199</v>
      </c>
      <c r="D15" s="2">
        <v>50</v>
      </c>
      <c r="E15" s="12">
        <v>6.3E-3</v>
      </c>
      <c r="F15" s="38">
        <f t="shared" si="5"/>
        <v>67.536000000000001</v>
      </c>
      <c r="G15" s="2">
        <v>67.536000000000001</v>
      </c>
      <c r="H15" s="20">
        <f t="shared" si="6"/>
        <v>0</v>
      </c>
      <c r="I15" s="2">
        <v>0</v>
      </c>
      <c r="J15" s="9">
        <v>43229</v>
      </c>
      <c r="K15" s="2">
        <v>143</v>
      </c>
      <c r="L15" s="2">
        <v>270.4700000000006</v>
      </c>
      <c r="M15" s="2">
        <v>0</v>
      </c>
      <c r="N15" s="9">
        <v>43252</v>
      </c>
      <c r="O15" s="9"/>
      <c r="P15" s="2">
        <f t="shared" si="7"/>
        <v>0.52870928383924165</v>
      </c>
      <c r="R15" s="7"/>
      <c r="S15" s="7"/>
      <c r="T15" s="7"/>
      <c r="U15" s="7"/>
      <c r="V15" s="7"/>
    </row>
    <row r="16" spans="1:22" x14ac:dyDescent="0.25">
      <c r="A16" s="8">
        <v>43221</v>
      </c>
      <c r="B16" s="9">
        <v>43199</v>
      </c>
      <c r="C16" s="9">
        <v>43229</v>
      </c>
      <c r="D16" s="2">
        <v>50</v>
      </c>
      <c r="E16" s="12">
        <v>6.3E-3</v>
      </c>
      <c r="F16" s="38">
        <f t="shared" si="5"/>
        <v>55.44</v>
      </c>
      <c r="G16" s="2">
        <v>31</v>
      </c>
      <c r="H16" s="20">
        <f t="shared" si="6"/>
        <v>24.44</v>
      </c>
      <c r="I16" s="2">
        <v>24.44</v>
      </c>
      <c r="J16" s="9">
        <v>43259</v>
      </c>
      <c r="K16" s="2">
        <v>81</v>
      </c>
      <c r="L16" s="2">
        <v>223.15999999999951</v>
      </c>
      <c r="M16" s="2">
        <v>0</v>
      </c>
      <c r="P16" s="2">
        <f t="shared" si="7"/>
        <v>0.36296827388420944</v>
      </c>
      <c r="R16" s="7"/>
      <c r="S16" s="7"/>
      <c r="T16" s="7"/>
      <c r="U16" s="7"/>
      <c r="V16" s="7"/>
    </row>
    <row r="17" spans="1:22" x14ac:dyDescent="0.25">
      <c r="A17" s="8">
        <v>43252</v>
      </c>
      <c r="B17" s="9">
        <v>43229</v>
      </c>
      <c r="C17" s="9">
        <v>43259</v>
      </c>
      <c r="D17" s="2">
        <v>50</v>
      </c>
      <c r="E17" s="12">
        <v>6.3E-3</v>
      </c>
      <c r="F17" s="38">
        <f t="shared" si="5"/>
        <v>57.707999999999998</v>
      </c>
      <c r="G17" s="2">
        <v>16</v>
      </c>
      <c r="H17" s="20">
        <f t="shared" si="6"/>
        <v>41.707999999999998</v>
      </c>
      <c r="I17" s="2">
        <v>66.147999999999996</v>
      </c>
      <c r="J17" s="9">
        <v>43291</v>
      </c>
      <c r="K17" s="2">
        <v>66</v>
      </c>
      <c r="L17" s="2">
        <v>212.90000000000072</v>
      </c>
      <c r="M17" s="2">
        <v>0</v>
      </c>
      <c r="P17" s="2">
        <f t="shared" si="7"/>
        <v>0.3100046970408632</v>
      </c>
      <c r="R17" s="7"/>
      <c r="S17" s="7"/>
      <c r="T17" s="7"/>
      <c r="U17" s="7"/>
      <c r="V17" s="7"/>
    </row>
    <row r="18" spans="1:22" x14ac:dyDescent="0.25">
      <c r="A18" s="8">
        <v>43282</v>
      </c>
      <c r="B18" s="9">
        <v>43259</v>
      </c>
      <c r="C18" s="9">
        <v>43291</v>
      </c>
      <c r="D18" s="2">
        <v>50</v>
      </c>
      <c r="E18" s="12">
        <v>5.4000000000000003E-3</v>
      </c>
      <c r="F18" s="38">
        <f t="shared" si="5"/>
        <v>45.576000000000008</v>
      </c>
      <c r="G18" s="2">
        <v>8</v>
      </c>
      <c r="H18" s="20">
        <f t="shared" si="6"/>
        <v>37.576000000000008</v>
      </c>
      <c r="I18" s="2">
        <v>103.724</v>
      </c>
      <c r="J18" s="9">
        <v>43320</v>
      </c>
      <c r="K18" s="2">
        <v>58</v>
      </c>
      <c r="L18" s="2">
        <v>220.19000000000065</v>
      </c>
      <c r="M18" s="2">
        <v>0</v>
      </c>
      <c r="O18" s="2">
        <f>IF(C18&gt;VLOOKUP(A18,'4001950116'!$A$11:$N$200,3,FALSE),VLOOKUP(A18,'4001950116'!$A$11:$N$200,11,FALSE),VLOOKUP(A17,'4001950116'!$A$11:$N$200,11,FALSE))*E18</f>
        <v>45.576000000000001</v>
      </c>
      <c r="P18" s="2">
        <f t="shared" si="7"/>
        <v>0.26340887415413883</v>
      </c>
      <c r="R18" s="7"/>
      <c r="S18" s="7"/>
      <c r="T18" s="7"/>
      <c r="U18" s="7"/>
      <c r="V18" s="7"/>
    </row>
    <row r="19" spans="1:22" x14ac:dyDescent="0.25">
      <c r="A19" s="8">
        <v>43313</v>
      </c>
      <c r="B19" s="9">
        <v>43291</v>
      </c>
      <c r="C19" s="9">
        <v>43320</v>
      </c>
      <c r="D19" s="2">
        <v>50</v>
      </c>
      <c r="E19" s="12">
        <v>5.4000000000000003E-3</v>
      </c>
      <c r="F19" s="38">
        <f t="shared" si="5"/>
        <v>53.35199999999999</v>
      </c>
      <c r="G19" s="2">
        <f>1.56+0.44</f>
        <v>2</v>
      </c>
      <c r="H19" s="20">
        <f t="shared" si="6"/>
        <v>51.35199999999999</v>
      </c>
      <c r="I19" s="2">
        <v>155.07599999999999</v>
      </c>
      <c r="J19" s="9">
        <v>43353</v>
      </c>
      <c r="K19" s="2">
        <v>52</v>
      </c>
      <c r="L19" s="2">
        <v>200.15000000000057</v>
      </c>
      <c r="M19" s="2">
        <v>0</v>
      </c>
      <c r="O19" s="2">
        <f>IF(C19&gt;VLOOKUP(A19,'4001950116'!$A$11:$N$200,3,FALSE),VLOOKUP(A19,'4001950116'!$A$11:$N$200,11,FALSE),VLOOKUP(A18,'4001950116'!$A$11:$N$200,11,FALSE))*E19</f>
        <v>53.352000000000004</v>
      </c>
      <c r="P19" s="2">
        <f t="shared" si="7"/>
        <v>0.25980514614039396</v>
      </c>
      <c r="R19" s="7"/>
      <c r="S19" s="7"/>
      <c r="T19" s="7"/>
      <c r="U19" s="7"/>
      <c r="V19" s="7"/>
    </row>
    <row r="20" spans="1:22" x14ac:dyDescent="0.25">
      <c r="A20" s="8">
        <v>43344</v>
      </c>
      <c r="B20" s="9">
        <v>43320</v>
      </c>
      <c r="C20" s="9">
        <v>43353</v>
      </c>
      <c r="D20" s="2">
        <v>50</v>
      </c>
      <c r="E20" s="12">
        <v>4.8999999999999998E-3</v>
      </c>
      <c r="F20" s="38">
        <f t="shared" si="5"/>
        <v>41.944000000000017</v>
      </c>
      <c r="G20" s="2">
        <v>8</v>
      </c>
      <c r="H20" s="20">
        <f t="shared" si="6"/>
        <v>33.944000000000017</v>
      </c>
      <c r="I20" s="2">
        <v>189.02</v>
      </c>
      <c r="J20" s="9">
        <v>43382</v>
      </c>
      <c r="K20" s="2">
        <v>58</v>
      </c>
      <c r="O20" s="2" t="e">
        <f>IF(C20&gt;VLOOKUP(A20,'4001950116'!$A$11:$N$200,3,FALSE),VLOOKUP(A20,'4001950116'!$A$11:$N$200,11,FALSE),VLOOKUP(A19,'4001950116'!$A$11:$N$200,11,FALSE))*E20</f>
        <v>#N/A</v>
      </c>
    </row>
    <row r="21" spans="1:22" x14ac:dyDescent="0.25">
      <c r="B21" s="9"/>
      <c r="C21" s="9"/>
      <c r="J21" s="9"/>
    </row>
  </sheetData>
  <hyperlinks>
    <hyperlink ref="L2" r:id="rId1" xr:uid="{6E931892-C0B6-41B6-869D-BCF2BBF740D5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48A0-EB23-4C7B-B2BB-5B389ACD3D56}">
  <dimension ref="A1:S31"/>
  <sheetViews>
    <sheetView workbookViewId="0">
      <selection activeCell="K12" sqref="K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227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228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2020708769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43318</v>
      </c>
      <c r="C8" s="14">
        <f t="shared" ca="1" si="0"/>
        <v>43348</v>
      </c>
      <c r="D8" s="15">
        <f t="shared" ca="1" si="0"/>
        <v>200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43378</v>
      </c>
      <c r="K8" s="31">
        <f t="shared" ca="1" si="0"/>
        <v>211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43344</v>
      </c>
      <c r="B11" s="9">
        <v>43318</v>
      </c>
      <c r="C11" s="9">
        <v>43348</v>
      </c>
      <c r="D11" s="21">
        <v>200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43378</v>
      </c>
      <c r="K11" s="52">
        <v>211</v>
      </c>
      <c r="L11" s="53"/>
      <c r="M11" s="53"/>
      <c r="N11" s="8"/>
      <c r="O11" s="2" t="e">
        <f>IF(C11&gt;VLOOKUP(A11,'4001950116'!$A$11:$N$200,3,FALSE),VLOOKUP(A11,'4001950116'!$A$11:$N$200,11,FALSE),VLOOKUP(A10,'4001950116'!$A$11:$N$200,11,FALSE))*E11</f>
        <v>#N/A</v>
      </c>
      <c r="P11" s="2">
        <f>(C11-B11)*24</f>
        <v>720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9780-8EA9-40F0-9D9D-CAF5CA425216}">
  <dimension ref="A1:S31"/>
  <sheetViews>
    <sheetView workbookViewId="0">
      <selection activeCell="K12" sqref="K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229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230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4000166813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43306</v>
      </c>
      <c r="C8" s="14">
        <f t="shared" ca="1" si="0"/>
        <v>43335</v>
      </c>
      <c r="D8" s="15">
        <f t="shared" ca="1" si="0"/>
        <v>200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43368</v>
      </c>
      <c r="K8" s="31">
        <f t="shared" ca="1" si="0"/>
        <v>206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43306</v>
      </c>
      <c r="C11" s="9">
        <v>43335</v>
      </c>
      <c r="D11" s="21">
        <v>200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43368</v>
      </c>
      <c r="K11" s="52">
        <v>206</v>
      </c>
      <c r="L11" s="53"/>
      <c r="M11" s="53"/>
      <c r="N11" s="8"/>
      <c r="O11" s="2">
        <f>IF(C11&gt;VLOOKUP(A11,'4001950116'!$A$11:$N$200,3,FALSE),VLOOKUP(A11,'4001950116'!$A$11:$N$200,11,FALSE),VLOOKUP(A10,'4001950116'!$A$11:$N$200,11,FALSE))*E11</f>
        <v>0</v>
      </c>
      <c r="P11" s="2">
        <f>(C11-B11)*24</f>
        <v>696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7624-DE2E-47B2-A0C0-ED5BA7DCD100}">
  <dimension ref="A1:S31"/>
  <sheetViews>
    <sheetView workbookViewId="0">
      <selection activeCell="N26" sqref="N26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231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232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2023788763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43308</v>
      </c>
      <c r="C8" s="14">
        <f t="shared" ca="1" si="0"/>
        <v>43339</v>
      </c>
      <c r="D8" s="15">
        <f t="shared" ca="1" si="0"/>
        <v>400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43370</v>
      </c>
      <c r="K8" s="31">
        <f t="shared" ca="1" si="0"/>
        <v>413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43308</v>
      </c>
      <c r="C11" s="9">
        <v>43339</v>
      </c>
      <c r="D11" s="21">
        <v>400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43370</v>
      </c>
      <c r="K11" s="52">
        <v>413</v>
      </c>
      <c r="L11" s="53"/>
      <c r="M11" s="53"/>
      <c r="N11" s="8"/>
      <c r="O11" s="2">
        <f>IF(C11&gt;VLOOKUP(A11,'4001950116'!$A$11:$N$200,3,FALSE),VLOOKUP(A11,'4001950116'!$A$11:$N$200,11,FALSE),VLOOKUP(A10,'4001950116'!$A$11:$N$200,11,FALSE))*E11</f>
        <v>0</v>
      </c>
      <c r="P11" s="2">
        <f>(C11-B11)*24</f>
        <v>744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82F8-91FE-4395-876F-1B6711E36A94}">
  <dimension ref="A1:S31"/>
  <sheetViews>
    <sheetView workbookViewId="0">
      <selection activeCell="K12" sqref="K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233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234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2023733187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43306</v>
      </c>
      <c r="C8" s="14">
        <f t="shared" ca="1" si="0"/>
        <v>43335</v>
      </c>
      <c r="D8" s="15">
        <f t="shared" ca="1" si="0"/>
        <v>50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43368</v>
      </c>
      <c r="K8" s="31">
        <f t="shared" ca="1" si="0"/>
        <v>128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43313</v>
      </c>
      <c r="B11" s="9">
        <v>43306</v>
      </c>
      <c r="C11" s="9">
        <v>43335</v>
      </c>
      <c r="D11" s="21">
        <v>50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43368</v>
      </c>
      <c r="K11" s="52">
        <v>128</v>
      </c>
      <c r="L11" s="53"/>
      <c r="M11" s="53"/>
      <c r="N11" s="8"/>
      <c r="O11" s="2">
        <f>IF(C11&gt;VLOOKUP(A11,'4001950116'!$A$11:$N$200,3,FALSE),VLOOKUP(A11,'4001950116'!$A$11:$N$200,11,FALSE),VLOOKUP(A10,'4001950116'!$A$11:$N$200,11,FALSE))*E11</f>
        <v>0</v>
      </c>
      <c r="P11" s="2">
        <f>(C11-B11)*24</f>
        <v>696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17D4-0694-4067-AC48-47694B3E8889}">
  <dimension ref="A1:S31"/>
  <sheetViews>
    <sheetView workbookViewId="0">
      <selection activeCell="K12" sqref="K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235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236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2021334722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43321</v>
      </c>
      <c r="C8" s="14">
        <f t="shared" ca="1" si="0"/>
        <v>43354</v>
      </c>
      <c r="D8" s="15">
        <f t="shared" ca="1" si="0"/>
        <v>450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43383</v>
      </c>
      <c r="K8" s="31">
        <f t="shared" ca="1" si="0"/>
        <v>446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43344</v>
      </c>
      <c r="B11" s="9">
        <v>43321</v>
      </c>
      <c r="C11" s="9">
        <v>43354</v>
      </c>
      <c r="D11" s="21">
        <v>450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43383</v>
      </c>
      <c r="K11" s="52">
        <v>446</v>
      </c>
      <c r="L11" s="53"/>
      <c r="M11" s="53"/>
      <c r="N11" s="8"/>
      <c r="O11" s="2" t="e">
        <f>IF(C11&gt;VLOOKUP(A11,'4001950116'!$A$11:$N$200,3,FALSE),VLOOKUP(A11,'4001950116'!$A$11:$N$200,11,FALSE),VLOOKUP(A10,'4001950116'!$A$11:$N$200,11,FALSE))*E11</f>
        <v>#N/A</v>
      </c>
      <c r="P11" s="2">
        <f>(C11-B11)*24</f>
        <v>792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6A65-A8EF-44F4-8483-295AFF31B2C8}">
  <dimension ref="A1:S31"/>
  <sheetViews>
    <sheetView workbookViewId="0">
      <selection activeCell="B4" sqref="B4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237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238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4001162864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43315</v>
      </c>
      <c r="C8" s="14">
        <f t="shared" ca="1" si="0"/>
        <v>43346</v>
      </c>
      <c r="D8" s="15">
        <f t="shared" ca="1" si="0"/>
        <v>300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43376</v>
      </c>
      <c r="K8" s="31">
        <f t="shared" ca="1" si="0"/>
        <v>238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43344</v>
      </c>
      <c r="B11" s="9">
        <v>43315</v>
      </c>
      <c r="C11" s="9">
        <v>43346</v>
      </c>
      <c r="D11" s="21">
        <v>300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43376</v>
      </c>
      <c r="K11" s="52">
        <v>238</v>
      </c>
      <c r="L11" s="53"/>
      <c r="M11" s="53"/>
      <c r="N11" s="8"/>
      <c r="O11" s="2" t="e">
        <f>IF(C11&gt;VLOOKUP(A11,'4001950116'!$A$11:$N$200,3,FALSE),VLOOKUP(A11,'4001950116'!$A$11:$N$200,11,FALSE),VLOOKUP(A10,'4001950116'!$A$11:$N$200,11,FALSE))*E11</f>
        <v>#N/A</v>
      </c>
      <c r="P11" s="2">
        <f>(C11-B11)*24</f>
        <v>744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45E7-3EA2-4E4E-BC0D-AA92A6112318}">
  <dimension ref="A1:S31"/>
  <sheetViews>
    <sheetView workbookViewId="0">
      <selection activeCell="L11" sqref="L11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239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240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2022844457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43325</v>
      </c>
      <c r="C8" s="14">
        <f t="shared" ca="1" si="0"/>
        <v>43356</v>
      </c>
      <c r="D8" s="15">
        <f t="shared" ca="1" si="0"/>
        <v>450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43388</v>
      </c>
      <c r="K8" s="31">
        <f t="shared" ca="1" si="0"/>
        <v>314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43344</v>
      </c>
      <c r="B11" s="9">
        <v>43325</v>
      </c>
      <c r="C11" s="9">
        <v>43356</v>
      </c>
      <c r="D11" s="21">
        <v>450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43388</v>
      </c>
      <c r="K11" s="52">
        <v>314</v>
      </c>
      <c r="L11" s="53"/>
      <c r="M11" s="53"/>
      <c r="N11" s="8"/>
      <c r="O11" s="2" t="e">
        <f>IF(C11&gt;VLOOKUP(A11,'4001950116'!$A$11:$N$200,3,FALSE),VLOOKUP(A11,'4001950116'!$A$11:$N$200,11,FALSE),VLOOKUP(A10,'4001950116'!$A$11:$N$200,11,FALSE))*E11</f>
        <v>#N/A</v>
      </c>
      <c r="P11" s="2">
        <f>(C11-B11)*24</f>
        <v>744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8A3F-A9BC-4421-B401-570091E8D8CC}">
  <dimension ref="A1:S31"/>
  <sheetViews>
    <sheetView workbookViewId="0">
      <selection activeCell="K12" sqref="K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241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242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10">
        <v>2091065836</v>
      </c>
      <c r="C3" s="2">
        <v>2021226580</v>
      </c>
      <c r="D3" s="2">
        <v>2091065828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43322</v>
      </c>
      <c r="C8" s="14">
        <f t="shared" ca="1" si="0"/>
        <v>43355</v>
      </c>
      <c r="D8" s="15" t="str">
        <f t="shared" ca="1" si="0"/>
        <v>?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43384</v>
      </c>
      <c r="K8" s="31">
        <f t="shared" ca="1" si="0"/>
        <v>7120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43344</v>
      </c>
      <c r="B11" s="9">
        <v>43322</v>
      </c>
      <c r="C11" s="9">
        <v>43355</v>
      </c>
      <c r="D11" s="21" t="s">
        <v>70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43384</v>
      </c>
      <c r="K11" s="52">
        <v>7120</v>
      </c>
      <c r="L11" s="53"/>
      <c r="M11" s="53"/>
      <c r="N11" s="8"/>
      <c r="O11" s="2" t="e">
        <f>IF(C11&gt;VLOOKUP(A11,'4001950116'!$A$11:$N$200,3,FALSE),VLOOKUP(A11,'4001950116'!$A$11:$N$200,11,FALSE),VLOOKUP(A10,'4001950116'!$A$11:$N$200,11,FALSE))*E11</f>
        <v>#N/A</v>
      </c>
      <c r="P11" s="2">
        <f>(C11-B11)*24</f>
        <v>792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E9E8-3AB1-497B-BE3A-ACB7EF234D03}">
  <dimension ref="A1:S31"/>
  <sheetViews>
    <sheetView workbookViewId="0">
      <selection activeCell="K12" sqref="K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241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242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2">
        <v>2021226580</v>
      </c>
      <c r="D3" s="2">
        <v>2091065828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43322</v>
      </c>
      <c r="C8" s="14">
        <f t="shared" ca="1" si="0"/>
        <v>43355</v>
      </c>
      <c r="D8" s="15" t="str">
        <f t="shared" ca="1" si="0"/>
        <v>?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43384</v>
      </c>
      <c r="K8" s="31">
        <f t="shared" ca="1" si="0"/>
        <v>1977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43344</v>
      </c>
      <c r="B11" s="9">
        <v>43322</v>
      </c>
      <c r="C11" s="9">
        <v>43355</v>
      </c>
      <c r="D11" s="21" t="s">
        <v>70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43384</v>
      </c>
      <c r="K11" s="52">
        <v>1977</v>
      </c>
      <c r="L11" s="53"/>
      <c r="M11" s="53"/>
      <c r="N11" s="8"/>
      <c r="O11" s="2" t="e">
        <f>IF(C11&gt;VLOOKUP(A11,'4001950116'!$A$11:$N$200,3,FALSE),VLOOKUP(A11,'4001950116'!$A$11:$N$200,11,FALSE),VLOOKUP(A10,'4001950116'!$A$11:$N$200,11,FALSE))*E11</f>
        <v>#N/A</v>
      </c>
      <c r="P11" s="2">
        <f>(C11-B11)*24</f>
        <v>792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E58A-5D51-41F1-9D06-6E277F77D8DA}">
  <dimension ref="A1:S31"/>
  <sheetViews>
    <sheetView workbookViewId="0">
      <selection activeCell="K12" sqref="K12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" style="2" customWidth="1"/>
    <col min="12" max="12" width="10.77734375" style="2" customWidth="1"/>
    <col min="13" max="13" width="13.44140625" style="2" customWidth="1"/>
    <col min="14" max="14" width="13.109375" style="2" customWidth="1"/>
    <col min="15" max="16" width="8.88671875" style="2"/>
    <col min="17" max="17" width="10.5546875" style="2" bestFit="1" customWidth="1"/>
    <col min="18" max="18" width="8.88671875" style="2"/>
    <col min="19" max="19" width="11.109375" style="2" customWidth="1"/>
    <col min="20" max="16384" width="8.88671875" style="2"/>
  </cols>
  <sheetData>
    <row r="1" spans="1:19" x14ac:dyDescent="0.25">
      <c r="A1" s="2" t="s">
        <v>4</v>
      </c>
      <c r="B1" s="4" t="s">
        <v>241</v>
      </c>
      <c r="F1" s="2">
        <v>8440</v>
      </c>
      <c r="G1" s="2">
        <f>F1*E11</f>
        <v>0</v>
      </c>
    </row>
    <row r="2" spans="1:19" x14ac:dyDescent="0.25">
      <c r="A2" s="2" t="s">
        <v>5</v>
      </c>
      <c r="B2" s="5" t="s">
        <v>242</v>
      </c>
      <c r="F2" s="2">
        <v>9880</v>
      </c>
      <c r="G2" s="2">
        <f>F2*E12</f>
        <v>0</v>
      </c>
    </row>
    <row r="3" spans="1:19" x14ac:dyDescent="0.25">
      <c r="A3" s="2" t="s">
        <v>6</v>
      </c>
      <c r="B3" s="2">
        <v>2091065828</v>
      </c>
    </row>
    <row r="4" spans="1:19" ht="14.4" x14ac:dyDescent="0.3">
      <c r="A4" s="2" t="s">
        <v>7</v>
      </c>
      <c r="B4" s="9">
        <v>43374</v>
      </c>
      <c r="C4" s="9"/>
      <c r="F4" s="74"/>
    </row>
    <row r="5" spans="1:19" x14ac:dyDescent="0.25">
      <c r="A5" s="1" t="s">
        <v>18</v>
      </c>
      <c r="B5" s="28">
        <f>SUM(F11:F200)</f>
        <v>0</v>
      </c>
    </row>
    <row r="6" spans="1:19" x14ac:dyDescent="0.25">
      <c r="A6" s="1" t="s">
        <v>103</v>
      </c>
      <c r="B6" s="65">
        <f>B5-B7</f>
        <v>0</v>
      </c>
    </row>
    <row r="7" spans="1:19" x14ac:dyDescent="0.25">
      <c r="A7" s="1" t="s">
        <v>108</v>
      </c>
      <c r="B7" s="65">
        <f>SUM(D12:D200)</f>
        <v>0</v>
      </c>
      <c r="F7" s="2">
        <f>COUNTIF(F11:F200,"&gt;0")</f>
        <v>0</v>
      </c>
    </row>
    <row r="8" spans="1:19" x14ac:dyDescent="0.25">
      <c r="A8" s="13">
        <f ca="1">OFFSET(A10,A9,0)</f>
        <v>43344</v>
      </c>
      <c r="B8" s="14">
        <f t="shared" ref="B8:M8" ca="1" si="0">OFFSET(B10,B9,0)</f>
        <v>43322</v>
      </c>
      <c r="C8" s="14">
        <f t="shared" ca="1" si="0"/>
        <v>43355</v>
      </c>
      <c r="D8" s="15" t="str">
        <f t="shared" ca="1" si="0"/>
        <v>?</v>
      </c>
      <c r="E8" s="16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4">
        <f t="shared" ca="1" si="0"/>
        <v>43384</v>
      </c>
      <c r="K8" s="31">
        <f t="shared" ca="1" si="0"/>
        <v>2440</v>
      </c>
      <c r="L8" s="30" t="str">
        <f t="shared" ca="1" si="0"/>
        <v>Consumo Efergy</v>
      </c>
      <c r="M8" s="30" t="str">
        <f t="shared" ca="1" si="0"/>
        <v>horas faltantes Efergy</v>
      </c>
      <c r="N8" s="36" t="str">
        <f ca="1">OFFSET(N10,N9,0)</f>
        <v>Liberação pag seguro</v>
      </c>
    </row>
    <row r="9" spans="1:19" x14ac:dyDescent="0.25">
      <c r="A9" s="1">
        <f>COUNTA(A11:A200)</f>
        <v>1</v>
      </c>
      <c r="B9" s="1">
        <f t="shared" ref="B9:M9" si="1">COUNTA(B11:B200)</f>
        <v>1</v>
      </c>
      <c r="C9" s="1">
        <f t="shared" si="1"/>
        <v>1</v>
      </c>
      <c r="D9" s="1">
        <f t="shared" si="1"/>
        <v>1</v>
      </c>
      <c r="E9" s="1">
        <f t="shared" si="1"/>
        <v>1</v>
      </c>
      <c r="F9" s="1">
        <f t="shared" si="1"/>
        <v>1</v>
      </c>
      <c r="G9" s="1">
        <f t="shared" si="1"/>
        <v>1</v>
      </c>
      <c r="H9" s="1">
        <f t="shared" si="1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0</v>
      </c>
      <c r="M9" s="1">
        <f t="shared" si="1"/>
        <v>0</v>
      </c>
      <c r="N9" s="1">
        <f>COUNTA(N11:N200)</f>
        <v>0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ht="14.4" x14ac:dyDescent="0.3">
      <c r="A11" s="8">
        <v>43344</v>
      </c>
      <c r="B11" s="9">
        <v>43322</v>
      </c>
      <c r="C11" s="9">
        <v>43355</v>
      </c>
      <c r="D11" s="21" t="s">
        <v>70</v>
      </c>
      <c r="E11" s="51">
        <v>0</v>
      </c>
      <c r="F11" s="27">
        <v>0</v>
      </c>
      <c r="G11" s="27">
        <v>0</v>
      </c>
      <c r="H11" s="27">
        <v>0</v>
      </c>
      <c r="I11" s="27">
        <v>0</v>
      </c>
      <c r="J11" s="9">
        <v>43384</v>
      </c>
      <c r="K11" s="52">
        <v>2440</v>
      </c>
      <c r="L11" s="53"/>
      <c r="M11" s="53"/>
      <c r="N11" s="8"/>
      <c r="O11" s="2" t="e">
        <f>IF(C11&gt;VLOOKUP(A11,'4001950116'!$A$11:$N$200,3,FALSE),VLOOKUP(A11,'4001950116'!$A$11:$N$200,11,FALSE),VLOOKUP(A10,'4001950116'!$A$11:$N$200,11,FALSE))*E11</f>
        <v>#N/A</v>
      </c>
      <c r="P11" s="2">
        <f>(C11-B11)*24</f>
        <v>792</v>
      </c>
      <c r="Q11" s="59">
        <f t="shared" ref="Q11" si="2">M11/P11</f>
        <v>0</v>
      </c>
      <c r="R11" s="2">
        <f t="shared" ref="R11" si="3">L11*(1+Q11)</f>
        <v>0</v>
      </c>
      <c r="S11" s="62" t="e">
        <f t="shared" ref="S11" si="4">K11/R11</f>
        <v>#DIV/0!</v>
      </c>
    </row>
    <row r="12" spans="1:19" x14ac:dyDescent="0.25">
      <c r="A12" s="8"/>
      <c r="B12" s="9"/>
      <c r="C12" s="9"/>
      <c r="E12" s="51"/>
      <c r="F12" s="28"/>
      <c r="H12" s="28"/>
      <c r="J12" s="9"/>
      <c r="N12" s="8"/>
      <c r="Q12" s="59"/>
      <c r="S12" s="62"/>
    </row>
    <row r="13" spans="1:19" ht="14.4" x14ac:dyDescent="0.3">
      <c r="A13" s="8"/>
      <c r="B13" s="9"/>
      <c r="C13" s="9"/>
      <c r="E13" s="51"/>
      <c r="F13" s="28"/>
      <c r="H13" s="28"/>
      <c r="J13" s="9"/>
      <c r="L13" s="53"/>
      <c r="M13" s="53"/>
      <c r="N13" s="8"/>
      <c r="Q13" s="59"/>
      <c r="S13" s="62"/>
    </row>
    <row r="14" spans="1:19" x14ac:dyDescent="0.25">
      <c r="A14" s="8"/>
      <c r="B14" s="9"/>
      <c r="C14" s="9"/>
      <c r="E14" s="51"/>
      <c r="F14" s="28"/>
      <c r="H14" s="28"/>
      <c r="J14" s="9"/>
      <c r="Q14" s="59"/>
      <c r="S14" s="62"/>
    </row>
    <row r="15" spans="1:19" x14ac:dyDescent="0.25">
      <c r="B15" s="9"/>
      <c r="C15" s="9"/>
      <c r="J15" s="9"/>
    </row>
    <row r="16" spans="1:19" x14ac:dyDescent="0.25">
      <c r="B16" s="9"/>
      <c r="C16" s="9"/>
      <c r="J16" s="9"/>
    </row>
    <row r="17" spans="2:10" x14ac:dyDescent="0.25">
      <c r="B17" s="9"/>
      <c r="C17" s="9"/>
      <c r="J17" s="9"/>
    </row>
    <row r="18" spans="2:10" x14ac:dyDescent="0.25">
      <c r="B18" s="9"/>
      <c r="C18" s="9"/>
      <c r="J18" s="9"/>
    </row>
    <row r="19" spans="2:10" x14ac:dyDescent="0.25">
      <c r="B19" s="9"/>
      <c r="C19" s="9"/>
      <c r="J19" s="9"/>
    </row>
    <row r="20" spans="2:10" x14ac:dyDescent="0.25">
      <c r="B20" s="9"/>
      <c r="C20" s="9"/>
      <c r="J20" s="9"/>
    </row>
    <row r="21" spans="2:10" x14ac:dyDescent="0.25">
      <c r="B21" s="9"/>
      <c r="C21" s="9"/>
      <c r="J21" s="9"/>
    </row>
    <row r="22" spans="2:10" x14ac:dyDescent="0.25">
      <c r="B22" s="9"/>
      <c r="C22" s="9"/>
      <c r="J22" s="9"/>
    </row>
    <row r="23" spans="2:10" x14ac:dyDescent="0.25">
      <c r="B23" s="9"/>
      <c r="C23" s="9"/>
      <c r="J23" s="9"/>
    </row>
    <row r="24" spans="2:10" x14ac:dyDescent="0.25">
      <c r="B24" s="9"/>
      <c r="C24" s="9"/>
      <c r="J24" s="9"/>
    </row>
    <row r="25" spans="2:10" x14ac:dyDescent="0.25">
      <c r="B25" s="9"/>
      <c r="C25" s="9"/>
      <c r="J25" s="9"/>
    </row>
    <row r="26" spans="2:10" x14ac:dyDescent="0.25">
      <c r="B26" s="9"/>
      <c r="C26" s="9"/>
      <c r="J26" s="9"/>
    </row>
    <row r="27" spans="2:10" x14ac:dyDescent="0.25">
      <c r="B27" s="9"/>
      <c r="C27" s="9"/>
      <c r="J27" s="9"/>
    </row>
    <row r="28" spans="2:10" x14ac:dyDescent="0.25">
      <c r="B28" s="9"/>
      <c r="C28" s="9"/>
      <c r="J28" s="9"/>
    </row>
    <row r="29" spans="2:10" x14ac:dyDescent="0.25">
      <c r="B29" s="9"/>
      <c r="C29" s="9"/>
      <c r="J29" s="9"/>
    </row>
    <row r="30" spans="2:10" x14ac:dyDescent="0.25">
      <c r="B30" s="9"/>
      <c r="C30" s="9"/>
      <c r="J30" s="9"/>
    </row>
    <row r="31" spans="2:10" x14ac:dyDescent="0.25">
      <c r="B31" s="9"/>
      <c r="C31" s="9"/>
      <c r="J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17E7-4D2C-4E12-99E2-242ACF5BEB6A}">
  <sheetPr codeName="Planilha3">
    <tabColor rgb="FFFFFF00"/>
  </sheetPr>
  <dimension ref="A1:S34"/>
  <sheetViews>
    <sheetView workbookViewId="0">
      <selection activeCell="C21" sqref="C21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6.5546875" style="2" customWidth="1"/>
    <col min="12" max="12" width="17.6640625" style="2" customWidth="1"/>
    <col min="13" max="13" width="12.6640625" style="2" customWidth="1"/>
    <col min="14" max="14" width="14.6640625" style="2" customWidth="1"/>
    <col min="15" max="15" width="12.77734375" style="2" customWidth="1"/>
    <col min="16" max="16384" width="8.88671875" style="2"/>
  </cols>
  <sheetData>
    <row r="1" spans="1:19" x14ac:dyDescent="0.25">
      <c r="A1" s="2" t="s">
        <v>4</v>
      </c>
      <c r="B1" s="4" t="s">
        <v>24</v>
      </c>
      <c r="E1" s="2">
        <v>4280</v>
      </c>
      <c r="F1" s="2">
        <f t="shared" ref="F1:F6" si="0">E1*E11</f>
        <v>256.8</v>
      </c>
      <c r="G1" s="2">
        <f>E1*E11</f>
        <v>256.8</v>
      </c>
      <c r="I1" s="2">
        <v>9160</v>
      </c>
      <c r="J1" s="2">
        <f>I1*E17</f>
        <v>172.208</v>
      </c>
      <c r="K1" s="2" t="s">
        <v>150</v>
      </c>
      <c r="L1" s="2">
        <v>2844275</v>
      </c>
    </row>
    <row r="2" spans="1:19" x14ac:dyDescent="0.25">
      <c r="A2" s="2" t="s">
        <v>5</v>
      </c>
      <c r="B2" s="5" t="s">
        <v>25</v>
      </c>
      <c r="E2" s="2">
        <v>8800</v>
      </c>
      <c r="F2" s="2">
        <f t="shared" si="0"/>
        <v>165.44</v>
      </c>
      <c r="I2" s="2">
        <v>8440</v>
      </c>
      <c r="J2" s="2">
        <f>I2*E18</f>
        <v>132.50799999999998</v>
      </c>
      <c r="K2" s="2" t="s">
        <v>159</v>
      </c>
      <c r="L2" s="9">
        <v>15140</v>
      </c>
    </row>
    <row r="3" spans="1:19" ht="14.4" x14ac:dyDescent="0.3">
      <c r="A3" s="2" t="s">
        <v>6</v>
      </c>
      <c r="B3" s="10">
        <v>2082483477</v>
      </c>
      <c r="E3" s="2">
        <v>7600</v>
      </c>
      <c r="F3" s="2">
        <f t="shared" si="0"/>
        <v>142.88</v>
      </c>
      <c r="I3" s="2">
        <v>9880</v>
      </c>
      <c r="J3" s="2">
        <f>I3*E19</f>
        <v>155.11599999999999</v>
      </c>
      <c r="K3" s="2" t="s">
        <v>160</v>
      </c>
      <c r="L3" s="74" t="s">
        <v>161</v>
      </c>
    </row>
    <row r="4" spans="1:19" x14ac:dyDescent="0.25">
      <c r="A4" s="2" t="s">
        <v>7</v>
      </c>
      <c r="B4" s="3">
        <v>43111</v>
      </c>
      <c r="E4" s="2">
        <v>9520</v>
      </c>
      <c r="F4" s="2">
        <f t="shared" si="0"/>
        <v>178.976</v>
      </c>
      <c r="K4" s="2" t="s">
        <v>156</v>
      </c>
      <c r="L4" s="2">
        <v>123456</v>
      </c>
    </row>
    <row r="5" spans="1:19" x14ac:dyDescent="0.25">
      <c r="A5" s="1" t="s">
        <v>18</v>
      </c>
      <c r="B5" s="20">
        <f>SUM(F11:F200)</f>
        <v>1706.1520000000003</v>
      </c>
      <c r="E5" s="2">
        <v>10720</v>
      </c>
      <c r="F5" s="2">
        <f t="shared" si="0"/>
        <v>201.536</v>
      </c>
    </row>
    <row r="6" spans="1:19" x14ac:dyDescent="0.25">
      <c r="A6" s="1" t="s">
        <v>103</v>
      </c>
      <c r="B6" s="2">
        <f>B5-B7</f>
        <v>506.15200000000027</v>
      </c>
      <c r="E6" s="2">
        <v>8800</v>
      </c>
      <c r="F6" s="2">
        <f t="shared" si="0"/>
        <v>165.44</v>
      </c>
    </row>
    <row r="7" spans="1:19" x14ac:dyDescent="0.25">
      <c r="A7" s="1" t="s">
        <v>108</v>
      </c>
      <c r="B7" s="2">
        <f>SUM(D13:D200)</f>
        <v>1200</v>
      </c>
      <c r="F7" s="2">
        <f>COUNTIF(F11:F200,"&gt;0")</f>
        <v>10</v>
      </c>
    </row>
    <row r="8" spans="1:19" x14ac:dyDescent="0.25">
      <c r="A8" s="13">
        <f ca="1">OFFSET(A10,A9,0)</f>
        <v>43313</v>
      </c>
      <c r="B8" s="14">
        <f t="shared" ref="B8:L8" ca="1" si="1">OFFSET(B10,B9,0)</f>
        <v>43301</v>
      </c>
      <c r="C8" s="14">
        <f t="shared" ca="1" si="1"/>
        <v>43332</v>
      </c>
      <c r="D8" s="15">
        <f t="shared" ca="1" si="1"/>
        <v>150</v>
      </c>
      <c r="E8" s="16">
        <f t="shared" ca="1" si="1"/>
        <v>1.5699999999999999E-2</v>
      </c>
      <c r="F8" s="15">
        <f t="shared" ca="1" si="1"/>
        <v>135.24799999999999</v>
      </c>
      <c r="G8" s="15">
        <f t="shared" ca="1" si="1"/>
        <v>135.24799999999999</v>
      </c>
      <c r="H8" s="15">
        <f t="shared" ca="1" si="1"/>
        <v>0</v>
      </c>
      <c r="I8" s="15">
        <f t="shared" ca="1" si="1"/>
        <v>0</v>
      </c>
      <c r="J8" s="14">
        <f t="shared" ca="1" si="1"/>
        <v>43363</v>
      </c>
      <c r="K8" s="31">
        <f t="shared" ca="1" si="1"/>
        <v>229</v>
      </c>
      <c r="L8" s="30">
        <f t="shared" ca="1" si="1"/>
        <v>153.46999999999989</v>
      </c>
      <c r="M8" s="30">
        <f t="shared" ref="M8:N8" ca="1" si="2">OFFSET(M10,M9,0)</f>
        <v>9</v>
      </c>
      <c r="N8" s="36">
        <f t="shared" ca="1" si="2"/>
        <v>43232</v>
      </c>
    </row>
    <row r="9" spans="1:19" x14ac:dyDescent="0.25">
      <c r="A9" s="1">
        <f>COUNTA(A11:A200)</f>
        <v>10</v>
      </c>
      <c r="B9" s="1">
        <f t="shared" ref="B9:L9" si="3">COUNTA(B11:B200)</f>
        <v>10</v>
      </c>
      <c r="C9" s="1">
        <f t="shared" si="3"/>
        <v>10</v>
      </c>
      <c r="D9" s="1">
        <f t="shared" si="3"/>
        <v>10</v>
      </c>
      <c r="E9" s="1">
        <f t="shared" si="3"/>
        <v>10</v>
      </c>
      <c r="F9" s="1">
        <f t="shared" si="3"/>
        <v>10</v>
      </c>
      <c r="G9" s="1">
        <f t="shared" si="3"/>
        <v>10</v>
      </c>
      <c r="H9" s="1">
        <f t="shared" si="3"/>
        <v>10</v>
      </c>
      <c r="I9" s="1">
        <f t="shared" si="3"/>
        <v>10</v>
      </c>
      <c r="J9" s="1">
        <f t="shared" si="3"/>
        <v>10</v>
      </c>
      <c r="K9" s="1">
        <f t="shared" si="3"/>
        <v>10</v>
      </c>
      <c r="L9" s="1">
        <f t="shared" si="3"/>
        <v>7</v>
      </c>
      <c r="M9" s="1">
        <f t="shared" ref="M9:N9" si="4">COUNTA(M11:M200)</f>
        <v>7</v>
      </c>
      <c r="N9" s="1">
        <f t="shared" si="4"/>
        <v>4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43040</v>
      </c>
      <c r="B11" s="9">
        <v>43028</v>
      </c>
      <c r="C11" s="9">
        <v>43060</v>
      </c>
      <c r="D11" s="2">
        <v>150</v>
      </c>
      <c r="E11" s="11">
        <v>0.06</v>
      </c>
      <c r="F11" s="20">
        <f t="shared" ref="F11:F20" si="5">G11+H11</f>
        <v>256</v>
      </c>
      <c r="G11" s="2">
        <v>256</v>
      </c>
      <c r="H11" s="2">
        <v>0</v>
      </c>
      <c r="I11" s="2">
        <v>0</v>
      </c>
      <c r="J11" s="9">
        <v>43090</v>
      </c>
      <c r="K11" s="2">
        <v>266</v>
      </c>
      <c r="L11" s="2">
        <v>0</v>
      </c>
      <c r="M11" s="2">
        <v>0</v>
      </c>
      <c r="N11" s="9">
        <v>43141</v>
      </c>
      <c r="Q11" s="59"/>
    </row>
    <row r="12" spans="1:19" x14ac:dyDescent="0.25">
      <c r="A12" s="8">
        <v>43070</v>
      </c>
      <c r="B12" s="9">
        <v>43060</v>
      </c>
      <c r="C12" s="9">
        <v>43090</v>
      </c>
      <c r="D12" s="2">
        <v>150</v>
      </c>
      <c r="E12" s="12">
        <v>1.8800000000000001E-2</v>
      </c>
      <c r="F12" s="20">
        <f t="shared" si="5"/>
        <v>165</v>
      </c>
      <c r="G12" s="2">
        <v>165</v>
      </c>
      <c r="H12" s="20">
        <v>0</v>
      </c>
      <c r="I12" s="2">
        <v>1</v>
      </c>
      <c r="J12" s="9">
        <v>43119</v>
      </c>
      <c r="K12" s="2">
        <v>257</v>
      </c>
      <c r="L12" s="2">
        <v>150.65000000000015</v>
      </c>
      <c r="M12" s="2">
        <v>0</v>
      </c>
      <c r="N12" s="9">
        <v>43172</v>
      </c>
      <c r="P12" s="2">
        <f t="shared" ref="P12:P15" si="6">(C12-B12)*24</f>
        <v>720</v>
      </c>
      <c r="Q12" s="59">
        <f t="shared" ref="Q12:Q15" si="7">M12/P12</f>
        <v>0</v>
      </c>
      <c r="R12" s="2">
        <f t="shared" ref="R12:R15" si="8">L12*(1+Q12)</f>
        <v>150.65000000000015</v>
      </c>
      <c r="S12" s="2">
        <f t="shared" ref="S12:S15" si="9">K12/R12</f>
        <v>1.705940922668435</v>
      </c>
    </row>
    <row r="13" spans="1:19" x14ac:dyDescent="0.25">
      <c r="A13" s="8">
        <v>43101</v>
      </c>
      <c r="B13" s="9">
        <v>43090</v>
      </c>
      <c r="C13" s="9">
        <v>43119</v>
      </c>
      <c r="D13" s="2">
        <v>150</v>
      </c>
      <c r="E13" s="12">
        <v>1.8800000000000001E-2</v>
      </c>
      <c r="F13" s="20">
        <f t="shared" si="5"/>
        <v>144.12</v>
      </c>
      <c r="G13" s="2">
        <f>142.88+0.8+0.44</f>
        <v>144.12</v>
      </c>
      <c r="H13" s="2">
        <v>0</v>
      </c>
      <c r="I13" s="2">
        <v>0</v>
      </c>
      <c r="J13" s="9">
        <v>43151</v>
      </c>
      <c r="K13" s="2">
        <v>321</v>
      </c>
      <c r="L13" s="2">
        <v>173.19999999999951</v>
      </c>
      <c r="M13" s="2">
        <v>2</v>
      </c>
      <c r="N13" s="9">
        <v>43201</v>
      </c>
      <c r="P13" s="2">
        <f t="shared" si="6"/>
        <v>696</v>
      </c>
      <c r="Q13" s="59">
        <f t="shared" si="7"/>
        <v>2.8735632183908046E-3</v>
      </c>
      <c r="R13" s="2">
        <f t="shared" si="8"/>
        <v>173.69770114942477</v>
      </c>
      <c r="S13" s="2">
        <f t="shared" si="9"/>
        <v>1.8480382749789952</v>
      </c>
    </row>
    <row r="14" spans="1:19" x14ac:dyDescent="0.25">
      <c r="A14" s="8">
        <v>43132</v>
      </c>
      <c r="B14" s="9">
        <v>43119</v>
      </c>
      <c r="C14" s="9">
        <v>43151</v>
      </c>
      <c r="D14" s="2">
        <v>150</v>
      </c>
      <c r="E14" s="12">
        <v>1.8800000000000001E-2</v>
      </c>
      <c r="F14" s="20">
        <f t="shared" si="5"/>
        <v>178.976</v>
      </c>
      <c r="G14" s="2">
        <v>178.976</v>
      </c>
      <c r="H14" s="20">
        <f t="shared" ref="H14:H20" si="10">I14-I13</f>
        <v>0</v>
      </c>
      <c r="I14" s="2">
        <v>0</v>
      </c>
      <c r="J14" s="9">
        <v>43180</v>
      </c>
      <c r="K14" s="2">
        <v>278</v>
      </c>
      <c r="L14" s="2">
        <v>306.87000000000012</v>
      </c>
      <c r="M14" s="2">
        <v>1</v>
      </c>
      <c r="N14" s="9">
        <v>43232</v>
      </c>
      <c r="P14" s="2">
        <f t="shared" si="6"/>
        <v>768</v>
      </c>
      <c r="Q14" s="59">
        <f t="shared" si="7"/>
        <v>1.3020833333333333E-3</v>
      </c>
      <c r="R14" s="2">
        <f t="shared" si="8"/>
        <v>307.26957031250009</v>
      </c>
      <c r="S14" s="2">
        <f t="shared" si="9"/>
        <v>0.90474302325891798</v>
      </c>
    </row>
    <row r="15" spans="1:19" x14ac:dyDescent="0.25">
      <c r="A15" s="8">
        <v>43160</v>
      </c>
      <c r="B15" s="9">
        <v>43151</v>
      </c>
      <c r="C15" s="9">
        <v>43180</v>
      </c>
      <c r="D15" s="2">
        <v>150</v>
      </c>
      <c r="E15" s="12">
        <v>1.8800000000000001E-2</v>
      </c>
      <c r="F15" s="20">
        <f t="shared" si="5"/>
        <v>201.536</v>
      </c>
      <c r="G15" s="2">
        <v>201.536</v>
      </c>
      <c r="H15" s="20">
        <f t="shared" si="10"/>
        <v>0</v>
      </c>
      <c r="I15" s="2">
        <v>0</v>
      </c>
      <c r="J15" s="9">
        <v>43209</v>
      </c>
      <c r="K15" s="2">
        <v>289</v>
      </c>
      <c r="L15" s="2">
        <v>161.32000000000002</v>
      </c>
      <c r="M15" s="2">
        <v>301</v>
      </c>
      <c r="N15" s="9"/>
      <c r="P15" s="2">
        <f t="shared" si="6"/>
        <v>696</v>
      </c>
      <c r="Q15" s="59">
        <f t="shared" si="7"/>
        <v>0.43247126436781608</v>
      </c>
      <c r="R15" s="2">
        <f t="shared" si="8"/>
        <v>231.08626436781614</v>
      </c>
      <c r="S15" s="2">
        <f t="shared" si="9"/>
        <v>1.2506152228070273</v>
      </c>
    </row>
    <row r="16" spans="1:19" x14ac:dyDescent="0.25">
      <c r="A16" s="8">
        <v>43191</v>
      </c>
      <c r="B16" s="9">
        <v>43180</v>
      </c>
      <c r="C16" s="9">
        <v>43209</v>
      </c>
      <c r="D16" s="2">
        <v>150</v>
      </c>
      <c r="E16" s="12">
        <v>1.8800000000000001E-2</v>
      </c>
      <c r="F16" s="20">
        <f t="shared" si="5"/>
        <v>165.44</v>
      </c>
      <c r="G16" s="2">
        <v>165.44</v>
      </c>
      <c r="H16" s="20">
        <f t="shared" si="10"/>
        <v>0</v>
      </c>
      <c r="I16" s="2">
        <v>0</v>
      </c>
      <c r="J16" s="9">
        <v>43241</v>
      </c>
      <c r="K16" s="2">
        <v>259</v>
      </c>
      <c r="L16" s="2">
        <v>110.87000000000025</v>
      </c>
      <c r="M16" s="2">
        <v>181</v>
      </c>
      <c r="N16" s="9"/>
      <c r="P16" s="2">
        <f t="shared" ref="P16:P20" si="11">(C16-B16)*24</f>
        <v>696</v>
      </c>
      <c r="Q16" s="59">
        <f t="shared" ref="Q16" si="12">M16/P16</f>
        <v>0.26005747126436779</v>
      </c>
      <c r="R16" s="2">
        <f t="shared" ref="R16" si="13">L16*(1+Q16)</f>
        <v>139.70257183908075</v>
      </c>
      <c r="S16" s="2">
        <f t="shared" ref="S16" si="14">K16/R16</f>
        <v>1.8539386683470254</v>
      </c>
    </row>
    <row r="17" spans="1:19" x14ac:dyDescent="0.25">
      <c r="A17" s="8">
        <v>43221</v>
      </c>
      <c r="B17" s="9">
        <v>43209</v>
      </c>
      <c r="C17" s="9">
        <v>43241</v>
      </c>
      <c r="D17" s="2">
        <v>150</v>
      </c>
      <c r="E17" s="12">
        <v>1.8800000000000001E-2</v>
      </c>
      <c r="F17" s="20">
        <f t="shared" si="5"/>
        <v>172.208</v>
      </c>
      <c r="G17" s="2">
        <v>172.208</v>
      </c>
      <c r="H17" s="20">
        <f t="shared" si="10"/>
        <v>0</v>
      </c>
      <c r="I17" s="2">
        <v>0</v>
      </c>
      <c r="J17" s="9">
        <v>43271</v>
      </c>
      <c r="K17" s="2">
        <v>256</v>
      </c>
      <c r="L17" s="2">
        <v>153.46999999999989</v>
      </c>
      <c r="M17" s="2">
        <v>9</v>
      </c>
      <c r="N17" s="9"/>
      <c r="P17" s="2">
        <f t="shared" si="11"/>
        <v>768</v>
      </c>
      <c r="Q17" s="59">
        <f t="shared" ref="Q17" si="15">M17/P17</f>
        <v>1.171875E-2</v>
      </c>
      <c r="R17" s="2">
        <f t="shared" ref="R17" si="16">L17*(1+Q17)</f>
        <v>155.26847656249987</v>
      </c>
      <c r="S17" s="2">
        <f t="shared" ref="S17" si="17">K17/R17</f>
        <v>1.6487570797859468</v>
      </c>
    </row>
    <row r="18" spans="1:19" x14ac:dyDescent="0.25">
      <c r="A18" s="8">
        <v>43252</v>
      </c>
      <c r="B18" s="9">
        <v>43241</v>
      </c>
      <c r="C18" s="9">
        <v>43271</v>
      </c>
      <c r="D18" s="2">
        <v>150</v>
      </c>
      <c r="E18" s="12">
        <v>1.5699999999999999E-2</v>
      </c>
      <c r="F18" s="20">
        <f t="shared" si="5"/>
        <v>132.50800000000001</v>
      </c>
      <c r="G18" s="2">
        <v>132.50800000000001</v>
      </c>
      <c r="H18" s="20">
        <f t="shared" si="10"/>
        <v>0</v>
      </c>
      <c r="I18" s="2">
        <v>0</v>
      </c>
      <c r="J18" s="9">
        <v>43301</v>
      </c>
      <c r="K18" s="2">
        <v>237</v>
      </c>
      <c r="N18" s="9"/>
      <c r="P18" s="2">
        <f t="shared" si="11"/>
        <v>720</v>
      </c>
    </row>
    <row r="19" spans="1:19" x14ac:dyDescent="0.25">
      <c r="A19" s="8">
        <v>43282</v>
      </c>
      <c r="B19" s="9">
        <v>43271</v>
      </c>
      <c r="C19" s="9">
        <v>43301</v>
      </c>
      <c r="D19" s="2">
        <v>150</v>
      </c>
      <c r="E19" s="12">
        <v>1.5699999999999999E-2</v>
      </c>
      <c r="F19" s="20">
        <f t="shared" si="5"/>
        <v>155.11600000000001</v>
      </c>
      <c r="G19" s="2">
        <v>155.11600000000001</v>
      </c>
      <c r="H19" s="20">
        <f t="shared" si="10"/>
        <v>0</v>
      </c>
      <c r="I19" s="2">
        <v>0</v>
      </c>
      <c r="J19" s="9">
        <v>43332</v>
      </c>
      <c r="K19" s="2">
        <v>241</v>
      </c>
      <c r="O19" s="2">
        <f>IF(C19&gt;VLOOKUP(A19,'4001950116'!$A$11:$N$200,3,FALSE),VLOOKUP(A19,'4001950116'!$A$11:$N$200,11,FALSE),VLOOKUP(A18,'4001950116'!$A$11:$N$200,11,FALSE))*E19</f>
        <v>155.11599999999999</v>
      </c>
      <c r="P19" s="2">
        <f t="shared" si="11"/>
        <v>720</v>
      </c>
    </row>
    <row r="20" spans="1:19" x14ac:dyDescent="0.25">
      <c r="A20" s="8">
        <v>43313</v>
      </c>
      <c r="B20" s="9">
        <v>43301</v>
      </c>
      <c r="C20" s="9">
        <v>43332</v>
      </c>
      <c r="D20" s="2">
        <v>150</v>
      </c>
      <c r="E20" s="12">
        <v>1.5699999999999999E-2</v>
      </c>
      <c r="F20" s="20">
        <f t="shared" si="5"/>
        <v>135.24799999999999</v>
      </c>
      <c r="G20" s="2">
        <v>135.24799999999999</v>
      </c>
      <c r="H20" s="20">
        <f t="shared" si="10"/>
        <v>0</v>
      </c>
      <c r="I20" s="2">
        <v>0</v>
      </c>
      <c r="J20" s="9">
        <v>43363</v>
      </c>
      <c r="K20" s="2">
        <v>229</v>
      </c>
      <c r="O20" s="98">
        <f>IF(C20&gt;VLOOKUP(A20,'4001950116'!$A$11:$N$200,3,FALSE),VLOOKUP(A20,'4001950116'!$A$11:$N$200,11,FALSE),VLOOKUP(A19,'4001950116'!$A$11:$N$200,11,FALSE))*E20</f>
        <v>134.392</v>
      </c>
      <c r="P20" s="2">
        <f t="shared" si="11"/>
        <v>744</v>
      </c>
    </row>
    <row r="21" spans="1:19" x14ac:dyDescent="0.25">
      <c r="B21" s="9"/>
      <c r="C21" s="9"/>
      <c r="D21" s="1"/>
      <c r="J21" s="9"/>
    </row>
    <row r="22" spans="1:19" x14ac:dyDescent="0.25">
      <c r="B22" s="9"/>
      <c r="C22" s="9"/>
      <c r="D22" s="1"/>
      <c r="J22" s="9"/>
    </row>
    <row r="23" spans="1:19" x14ac:dyDescent="0.25">
      <c r="B23" s="9"/>
      <c r="C23" s="9"/>
      <c r="D23" s="1"/>
      <c r="J23" s="9"/>
    </row>
    <row r="24" spans="1:19" s="58" customFormat="1" x14ac:dyDescent="0.25">
      <c r="A24" s="57"/>
      <c r="B24" s="9"/>
      <c r="C24" s="9"/>
      <c r="D24" s="57"/>
      <c r="J24" s="9"/>
    </row>
    <row r="25" spans="1:19" x14ac:dyDescent="0.25">
      <c r="A25" s="8"/>
      <c r="B25" s="9"/>
      <c r="C25" s="9"/>
      <c r="D25" s="1"/>
      <c r="J25" s="9"/>
    </row>
    <row r="26" spans="1:19" x14ac:dyDescent="0.25">
      <c r="A26" s="8"/>
      <c r="B26" s="9"/>
      <c r="C26" s="9"/>
      <c r="D26" s="1"/>
      <c r="J26" s="9"/>
    </row>
    <row r="27" spans="1:19" x14ac:dyDescent="0.25">
      <c r="A27" s="8"/>
      <c r="B27" s="9"/>
      <c r="C27" s="9"/>
      <c r="D27" s="1"/>
      <c r="J27" s="9"/>
    </row>
    <row r="28" spans="1:19" x14ac:dyDescent="0.25">
      <c r="A28" s="8"/>
      <c r="B28" s="9"/>
      <c r="C28" s="9"/>
      <c r="D28" s="1"/>
      <c r="J28" s="9"/>
    </row>
    <row r="29" spans="1:19" x14ac:dyDescent="0.25">
      <c r="B29" s="9"/>
      <c r="C29" s="9"/>
      <c r="D29" s="1"/>
      <c r="J29" s="9"/>
    </row>
    <row r="30" spans="1:19" x14ac:dyDescent="0.25">
      <c r="B30" s="9"/>
      <c r="C30" s="9"/>
      <c r="D30" s="1"/>
      <c r="J30" s="9"/>
    </row>
    <row r="31" spans="1:19" x14ac:dyDescent="0.25">
      <c r="B31" s="9"/>
      <c r="C31" s="9"/>
      <c r="D31" s="1"/>
      <c r="J31" s="9"/>
    </row>
    <row r="32" spans="1:19" x14ac:dyDescent="0.25">
      <c r="B32" s="9"/>
      <c r="C32" s="9"/>
      <c r="D32" s="1"/>
      <c r="J32" s="9"/>
    </row>
    <row r="33" spans="10:10" x14ac:dyDescent="0.25">
      <c r="J33" s="9"/>
    </row>
    <row r="34" spans="10:10" x14ac:dyDescent="0.25">
      <c r="J34" s="9"/>
    </row>
  </sheetData>
  <hyperlinks>
    <hyperlink ref="L3" r:id="rId1" xr:uid="{07EE74C5-0BB3-444F-8FB5-80217A0080C9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AEED-EEDD-46FD-A4C2-74A37495FB96}">
  <sheetPr>
    <tabColor theme="5"/>
  </sheetPr>
  <dimension ref="A1:P26"/>
  <sheetViews>
    <sheetView workbookViewId="0">
      <selection activeCell="O20" sqref="O20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2.33203125" style="2" customWidth="1"/>
    <col min="12" max="12" width="8.88671875" style="2"/>
    <col min="13" max="13" width="12" style="2" customWidth="1"/>
    <col min="14" max="14" width="13.109375" style="2" customWidth="1"/>
    <col min="15" max="16384" width="8.88671875" style="2"/>
  </cols>
  <sheetData>
    <row r="1" spans="1:14" x14ac:dyDescent="0.25">
      <c r="A1" s="2" t="s">
        <v>4</v>
      </c>
      <c r="B1" s="4" t="s">
        <v>91</v>
      </c>
    </row>
    <row r="2" spans="1:14" ht="24" x14ac:dyDescent="0.25">
      <c r="A2" s="2" t="s">
        <v>5</v>
      </c>
      <c r="B2" s="17" t="s">
        <v>90</v>
      </c>
      <c r="G2" s="17"/>
      <c r="H2" s="17"/>
      <c r="I2" s="17"/>
    </row>
    <row r="3" spans="1:14" x14ac:dyDescent="0.25">
      <c r="A3" s="2" t="s">
        <v>6</v>
      </c>
      <c r="B3" s="17">
        <v>4001950116</v>
      </c>
    </row>
    <row r="4" spans="1:14" x14ac:dyDescent="0.25">
      <c r="A4" s="2" t="s">
        <v>7</v>
      </c>
      <c r="B4" s="3"/>
    </row>
    <row r="5" spans="1:14" x14ac:dyDescent="0.25">
      <c r="A5" s="1" t="s">
        <v>18</v>
      </c>
      <c r="B5" s="20">
        <f>SUM(K11:K200)</f>
        <v>85760</v>
      </c>
    </row>
    <row r="7" spans="1:14" x14ac:dyDescent="0.25">
      <c r="F7" s="2">
        <f>COUNTIF(F11:F200,"&gt;0")</f>
        <v>0</v>
      </c>
    </row>
    <row r="8" spans="1:14" x14ac:dyDescent="0.25">
      <c r="A8" s="13">
        <f ca="1">OFFSET(A10,A9,0)</f>
        <v>43313</v>
      </c>
      <c r="B8" s="14">
        <f t="shared" ref="B8:M8" ca="1" si="0">OFFSET(B10,B9,0)</f>
        <v>43299</v>
      </c>
      <c r="C8" s="14">
        <f t="shared" ca="1" si="0"/>
        <v>43328</v>
      </c>
      <c r="D8" s="15" t="str">
        <f t="shared" ca="1" si="0"/>
        <v>na</v>
      </c>
      <c r="E8" s="16" t="str">
        <f t="shared" ca="1" si="0"/>
        <v>na</v>
      </c>
      <c r="F8" s="15" t="str">
        <f t="shared" ca="1" si="0"/>
        <v>na</v>
      </c>
      <c r="G8" s="15" t="str">
        <f t="shared" ca="1" si="0"/>
        <v>na</v>
      </c>
      <c r="H8" s="15" t="str">
        <f t="shared" ca="1" si="0"/>
        <v>na</v>
      </c>
      <c r="I8" s="15" t="str">
        <f t="shared" ca="1" si="0"/>
        <v>na</v>
      </c>
      <c r="J8" s="14">
        <f t="shared" ca="1" si="0"/>
        <v>43361</v>
      </c>
      <c r="K8" s="31">
        <f t="shared" ca="1" si="0"/>
        <v>8560</v>
      </c>
      <c r="L8" s="30" t="str">
        <f t="shared" ca="1" si="0"/>
        <v>na</v>
      </c>
      <c r="M8" s="30" t="str">
        <f t="shared" ca="1" si="0"/>
        <v>na</v>
      </c>
      <c r="N8" s="36" t="str">
        <f ca="1">OFFSET(N10,N9,0)</f>
        <v>na</v>
      </c>
    </row>
    <row r="9" spans="1:14" x14ac:dyDescent="0.25">
      <c r="A9" s="1">
        <f>COUNTA(A11:A200)</f>
        <v>10</v>
      </c>
      <c r="B9" s="1">
        <f t="shared" ref="B9:M9" si="1">COUNTA(B11:B200)</f>
        <v>10</v>
      </c>
      <c r="C9" s="1">
        <f t="shared" si="1"/>
        <v>10</v>
      </c>
      <c r="D9" s="1">
        <f t="shared" si="1"/>
        <v>10</v>
      </c>
      <c r="E9" s="1">
        <f t="shared" si="1"/>
        <v>10</v>
      </c>
      <c r="F9" s="1">
        <f t="shared" si="1"/>
        <v>10</v>
      </c>
      <c r="G9" s="1">
        <f t="shared" si="1"/>
        <v>10</v>
      </c>
      <c r="H9" s="1">
        <f t="shared" si="1"/>
        <v>10</v>
      </c>
      <c r="I9" s="1">
        <f t="shared" si="1"/>
        <v>10</v>
      </c>
      <c r="J9" s="1">
        <f t="shared" si="1"/>
        <v>10</v>
      </c>
      <c r="K9" s="1">
        <f t="shared" si="1"/>
        <v>10</v>
      </c>
      <c r="L9" s="1">
        <f t="shared" si="1"/>
        <v>10</v>
      </c>
      <c r="M9" s="1">
        <f t="shared" si="1"/>
        <v>10</v>
      </c>
      <c r="N9" s="1">
        <f>COUNTA(N11:N200)</f>
        <v>10</v>
      </c>
    </row>
    <row r="10" spans="1:14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4" x14ac:dyDescent="0.25">
      <c r="A11" s="8">
        <v>43040</v>
      </c>
      <c r="B11" s="9">
        <v>43040</v>
      </c>
      <c r="C11" s="9">
        <v>43056</v>
      </c>
      <c r="D11" s="2" t="s">
        <v>92</v>
      </c>
      <c r="E11" s="12" t="s">
        <v>92</v>
      </c>
      <c r="F11" s="20" t="s">
        <v>92</v>
      </c>
      <c r="G11" s="2" t="s">
        <v>92</v>
      </c>
      <c r="H11" s="2" t="s">
        <v>92</v>
      </c>
      <c r="I11" s="2" t="s">
        <v>92</v>
      </c>
      <c r="J11" s="9">
        <v>43088</v>
      </c>
      <c r="K11" s="2">
        <v>4280</v>
      </c>
      <c r="L11" s="2" t="s">
        <v>92</v>
      </c>
      <c r="M11" s="2" t="s">
        <v>92</v>
      </c>
      <c r="N11" s="9" t="s">
        <v>92</v>
      </c>
    </row>
    <row r="12" spans="1:14" x14ac:dyDescent="0.25">
      <c r="A12" s="8">
        <v>43070</v>
      </c>
      <c r="B12" s="9">
        <v>43056</v>
      </c>
      <c r="C12" s="9">
        <v>43088</v>
      </c>
      <c r="D12" s="2" t="s">
        <v>92</v>
      </c>
      <c r="E12" s="12" t="s">
        <v>92</v>
      </c>
      <c r="F12" s="20" t="s">
        <v>92</v>
      </c>
      <c r="G12" s="2" t="s">
        <v>92</v>
      </c>
      <c r="H12" s="2" t="s">
        <v>92</v>
      </c>
      <c r="I12" s="2" t="s">
        <v>92</v>
      </c>
      <c r="J12" s="9">
        <v>43117</v>
      </c>
      <c r="K12" s="2">
        <v>8800</v>
      </c>
      <c r="L12" s="2" t="s">
        <v>92</v>
      </c>
      <c r="M12" s="2" t="s">
        <v>92</v>
      </c>
      <c r="N12" s="9" t="s">
        <v>92</v>
      </c>
    </row>
    <row r="13" spans="1:14" x14ac:dyDescent="0.25">
      <c r="A13" s="8">
        <v>43101</v>
      </c>
      <c r="B13" s="9">
        <v>43088</v>
      </c>
      <c r="C13" s="9">
        <v>43117</v>
      </c>
      <c r="D13" s="2" t="s">
        <v>92</v>
      </c>
      <c r="E13" s="12" t="s">
        <v>92</v>
      </c>
      <c r="F13" s="20" t="s">
        <v>92</v>
      </c>
      <c r="G13" s="2" t="s">
        <v>92</v>
      </c>
      <c r="H13" s="2" t="s">
        <v>92</v>
      </c>
      <c r="I13" s="2" t="s">
        <v>92</v>
      </c>
      <c r="J13" s="9">
        <v>43147</v>
      </c>
      <c r="K13" s="2">
        <v>7600</v>
      </c>
      <c r="L13" s="2" t="s">
        <v>92</v>
      </c>
      <c r="M13" s="2" t="s">
        <v>92</v>
      </c>
      <c r="N13" s="9" t="s">
        <v>92</v>
      </c>
    </row>
    <row r="14" spans="1:14" x14ac:dyDescent="0.25">
      <c r="A14" s="8">
        <v>43132</v>
      </c>
      <c r="B14" s="9">
        <v>43117</v>
      </c>
      <c r="C14" s="9">
        <v>43147</v>
      </c>
      <c r="D14" s="2" t="s">
        <v>92</v>
      </c>
      <c r="E14" s="12" t="s">
        <v>92</v>
      </c>
      <c r="F14" s="20" t="s">
        <v>92</v>
      </c>
      <c r="G14" s="2" t="s">
        <v>92</v>
      </c>
      <c r="H14" s="2" t="s">
        <v>92</v>
      </c>
      <c r="I14" s="2" t="s">
        <v>92</v>
      </c>
      <c r="J14" s="9">
        <v>43178</v>
      </c>
      <c r="K14" s="2">
        <f>9640-120</f>
        <v>9520</v>
      </c>
      <c r="L14" s="2" t="s">
        <v>92</v>
      </c>
      <c r="M14" s="2" t="s">
        <v>92</v>
      </c>
      <c r="N14" s="9" t="s">
        <v>92</v>
      </c>
    </row>
    <row r="15" spans="1:14" x14ac:dyDescent="0.25">
      <c r="A15" s="8">
        <v>43160</v>
      </c>
      <c r="B15" s="9">
        <v>43147</v>
      </c>
      <c r="C15" s="9">
        <v>43178</v>
      </c>
      <c r="D15" s="2" t="s">
        <v>92</v>
      </c>
      <c r="E15" s="12" t="s">
        <v>92</v>
      </c>
      <c r="F15" s="20" t="s">
        <v>92</v>
      </c>
      <c r="G15" s="2" t="s">
        <v>92</v>
      </c>
      <c r="H15" s="2" t="s">
        <v>92</v>
      </c>
      <c r="I15" s="2" t="s">
        <v>92</v>
      </c>
      <c r="J15" s="9">
        <v>43207</v>
      </c>
      <c r="K15" s="2">
        <v>10720</v>
      </c>
      <c r="L15" s="2" t="s">
        <v>92</v>
      </c>
      <c r="M15" s="2" t="s">
        <v>92</v>
      </c>
      <c r="N15" s="9" t="s">
        <v>92</v>
      </c>
    </row>
    <row r="16" spans="1:14" x14ac:dyDescent="0.25">
      <c r="A16" s="8">
        <v>43191</v>
      </c>
      <c r="B16" s="9">
        <v>43178</v>
      </c>
      <c r="C16" s="9">
        <v>43207</v>
      </c>
      <c r="D16" s="2" t="s">
        <v>92</v>
      </c>
      <c r="E16" s="12" t="s">
        <v>92</v>
      </c>
      <c r="F16" s="20" t="s">
        <v>92</v>
      </c>
      <c r="G16" s="2" t="s">
        <v>92</v>
      </c>
      <c r="H16" s="2" t="s">
        <v>92</v>
      </c>
      <c r="I16" s="2" t="s">
        <v>92</v>
      </c>
      <c r="J16" s="9">
        <v>43237</v>
      </c>
      <c r="K16" s="2">
        <v>8800</v>
      </c>
      <c r="L16" s="2" t="s">
        <v>92</v>
      </c>
      <c r="M16" s="2" t="s">
        <v>92</v>
      </c>
      <c r="N16" s="9" t="s">
        <v>92</v>
      </c>
    </row>
    <row r="17" spans="1:16" x14ac:dyDescent="0.25">
      <c r="A17" s="8">
        <v>43221</v>
      </c>
      <c r="B17" s="9">
        <v>43207</v>
      </c>
      <c r="C17" s="9">
        <v>43237</v>
      </c>
      <c r="D17" s="2" t="s">
        <v>92</v>
      </c>
      <c r="E17" s="12" t="s">
        <v>92</v>
      </c>
      <c r="F17" s="20" t="s">
        <v>92</v>
      </c>
      <c r="G17" s="2" t="s">
        <v>92</v>
      </c>
      <c r="H17" s="2" t="s">
        <v>92</v>
      </c>
      <c r="I17" s="2" t="s">
        <v>92</v>
      </c>
      <c r="J17" s="9">
        <v>43269</v>
      </c>
      <c r="K17" s="2">
        <v>9160</v>
      </c>
      <c r="L17" s="2" t="s">
        <v>92</v>
      </c>
      <c r="M17" s="2" t="s">
        <v>92</v>
      </c>
      <c r="N17" s="9" t="s">
        <v>92</v>
      </c>
    </row>
    <row r="18" spans="1:16" x14ac:dyDescent="0.25">
      <c r="A18" s="8">
        <v>43252</v>
      </c>
      <c r="B18" s="9">
        <v>43237</v>
      </c>
      <c r="C18" s="9">
        <v>43269</v>
      </c>
      <c r="D18" s="2" t="s">
        <v>92</v>
      </c>
      <c r="E18" s="2" t="s">
        <v>92</v>
      </c>
      <c r="F18" s="2" t="s">
        <v>92</v>
      </c>
      <c r="G18" s="2" t="s">
        <v>92</v>
      </c>
      <c r="H18" s="2" t="s">
        <v>92</v>
      </c>
      <c r="I18" s="2" t="s">
        <v>92</v>
      </c>
      <c r="J18" s="9">
        <v>43299</v>
      </c>
      <c r="K18" s="2">
        <v>8440</v>
      </c>
      <c r="L18" s="2" t="s">
        <v>92</v>
      </c>
      <c r="M18" s="2" t="s">
        <v>92</v>
      </c>
      <c r="N18" s="2" t="s">
        <v>92</v>
      </c>
      <c r="P18" s="2">
        <f>1.05%*K18</f>
        <v>88.62</v>
      </c>
    </row>
    <row r="19" spans="1:16" x14ac:dyDescent="0.25">
      <c r="A19" s="8">
        <v>43282</v>
      </c>
      <c r="B19" s="9">
        <v>43269</v>
      </c>
      <c r="C19" s="9">
        <v>43299</v>
      </c>
      <c r="D19" s="2" t="s">
        <v>92</v>
      </c>
      <c r="E19" s="2" t="s">
        <v>92</v>
      </c>
      <c r="F19" s="2" t="s">
        <v>92</v>
      </c>
      <c r="G19" s="2" t="s">
        <v>92</v>
      </c>
      <c r="H19" s="2" t="s">
        <v>92</v>
      </c>
      <c r="I19" s="2" t="s">
        <v>92</v>
      </c>
      <c r="J19" s="9">
        <v>43328</v>
      </c>
      <c r="K19" s="2">
        <f>10080-200</f>
        <v>9880</v>
      </c>
      <c r="L19" s="2" t="s">
        <v>92</v>
      </c>
      <c r="M19" s="2" t="s">
        <v>92</v>
      </c>
      <c r="N19" s="2" t="s">
        <v>92</v>
      </c>
    </row>
    <row r="20" spans="1:16" x14ac:dyDescent="0.25">
      <c r="A20" s="8">
        <v>43313</v>
      </c>
      <c r="B20" s="9">
        <v>43299</v>
      </c>
      <c r="C20" s="9">
        <v>43328</v>
      </c>
      <c r="D20" s="2" t="s">
        <v>92</v>
      </c>
      <c r="E20" s="2" t="s">
        <v>92</v>
      </c>
      <c r="F20" s="2" t="s">
        <v>92</v>
      </c>
      <c r="G20" s="2" t="s">
        <v>92</v>
      </c>
      <c r="H20" s="2" t="s">
        <v>92</v>
      </c>
      <c r="I20" s="2" t="s">
        <v>92</v>
      </c>
      <c r="J20" s="9">
        <v>43361</v>
      </c>
      <c r="K20" s="2">
        <f>8680-120</f>
        <v>8560</v>
      </c>
      <c r="L20" s="2" t="s">
        <v>92</v>
      </c>
      <c r="M20" s="2" t="s">
        <v>92</v>
      </c>
      <c r="N20" s="2" t="s">
        <v>92</v>
      </c>
      <c r="O20" s="2">
        <f>1.58%*K20</f>
        <v>135.24800000000002</v>
      </c>
    </row>
    <row r="21" spans="1:16" x14ac:dyDescent="0.25">
      <c r="B21" s="9"/>
      <c r="C21" s="9"/>
      <c r="J21" s="9"/>
    </row>
    <row r="22" spans="1:16" x14ac:dyDescent="0.25">
      <c r="B22" s="9"/>
      <c r="C22" s="9"/>
      <c r="J22" s="9"/>
    </row>
    <row r="23" spans="1:16" x14ac:dyDescent="0.25">
      <c r="B23" s="9"/>
      <c r="C23" s="9"/>
      <c r="J23" s="9"/>
    </row>
    <row r="24" spans="1:16" x14ac:dyDescent="0.25">
      <c r="B24" s="9"/>
      <c r="C24" s="9"/>
      <c r="J24" s="9"/>
    </row>
    <row r="25" spans="1:16" x14ac:dyDescent="0.25">
      <c r="B25" s="9"/>
      <c r="C25" s="9"/>
      <c r="J25" s="9"/>
    </row>
    <row r="26" spans="1:16" x14ac:dyDescent="0.25">
      <c r="B26" s="9"/>
      <c r="C26" s="9"/>
      <c r="J26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C874-8448-42E5-80FB-4FA6B20FE4B3}">
  <sheetPr codeName="Planilha4">
    <tabColor rgb="FFFFFF00"/>
  </sheetPr>
  <dimension ref="A1:S36"/>
  <sheetViews>
    <sheetView workbookViewId="0">
      <selection activeCell="K21" sqref="K21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2.33203125" style="2" customWidth="1"/>
    <col min="12" max="12" width="12.44140625" style="2" customWidth="1"/>
    <col min="13" max="13" width="12.33203125" style="2" customWidth="1"/>
    <col min="14" max="14" width="15.33203125" style="2" customWidth="1"/>
    <col min="15" max="16384" width="8.88671875" style="2"/>
  </cols>
  <sheetData>
    <row r="1" spans="1:19" x14ac:dyDescent="0.25">
      <c r="A1" s="2" t="s">
        <v>4</v>
      </c>
      <c r="B1" s="4" t="s">
        <v>26</v>
      </c>
      <c r="E1" s="2">
        <v>4280</v>
      </c>
      <c r="F1" s="2">
        <f>E1*E11</f>
        <v>1284</v>
      </c>
      <c r="G1" s="2">
        <f>F11+H1</f>
        <v>1286.1199999999999</v>
      </c>
      <c r="H1" s="2">
        <v>85.12</v>
      </c>
      <c r="I1" s="2">
        <f>I11-H1</f>
        <v>163.88</v>
      </c>
      <c r="J1" s="2">
        <v>9520</v>
      </c>
      <c r="K1" s="2">
        <f>J1*E14</f>
        <v>297.976</v>
      </c>
      <c r="N1" s="37"/>
      <c r="O1" s="37" t="s">
        <v>87</v>
      </c>
      <c r="P1" s="37" t="s">
        <v>88</v>
      </c>
    </row>
    <row r="2" spans="1:19" x14ac:dyDescent="0.25">
      <c r="A2" s="2" t="s">
        <v>5</v>
      </c>
      <c r="B2" s="5" t="s">
        <v>27</v>
      </c>
      <c r="E2" s="2">
        <v>8800</v>
      </c>
      <c r="F2" s="2">
        <f>E2*E12</f>
        <v>825.43999999999994</v>
      </c>
      <c r="G2" s="2">
        <v>8800</v>
      </c>
      <c r="H2" s="2">
        <f>G2*E16</f>
        <v>275.44</v>
      </c>
      <c r="J2" s="2">
        <v>8800</v>
      </c>
      <c r="K2" s="2">
        <f t="shared" ref="K2:K3" si="0">J2*E15</f>
        <v>275.44</v>
      </c>
      <c r="N2" s="37" t="s">
        <v>82</v>
      </c>
      <c r="O2" s="37">
        <v>750</v>
      </c>
      <c r="P2" s="37">
        <v>0</v>
      </c>
    </row>
    <row r="3" spans="1:19" x14ac:dyDescent="0.25">
      <c r="A3" s="2" t="s">
        <v>6</v>
      </c>
      <c r="B3" s="10">
        <v>2002764784</v>
      </c>
      <c r="E3" s="2">
        <v>7600</v>
      </c>
      <c r="F3" s="2">
        <f>E3*E13</f>
        <v>712.88</v>
      </c>
      <c r="J3" s="2">
        <v>9160</v>
      </c>
      <c r="K3" s="2">
        <f t="shared" si="0"/>
        <v>286.70800000000003</v>
      </c>
      <c r="N3" s="37" t="s">
        <v>83</v>
      </c>
      <c r="O3" s="37">
        <v>750</v>
      </c>
      <c r="P3" s="37">
        <v>0</v>
      </c>
    </row>
    <row r="4" spans="1:19" x14ac:dyDescent="0.25">
      <c r="A4" s="2" t="s">
        <v>7</v>
      </c>
      <c r="B4" s="3">
        <v>43088</v>
      </c>
      <c r="E4" s="2">
        <v>10720</v>
      </c>
      <c r="F4" s="2">
        <f>E4*E15</f>
        <v>335.536</v>
      </c>
      <c r="G4" s="49" t="s">
        <v>93</v>
      </c>
      <c r="H4" s="49"/>
      <c r="N4" s="37" t="s">
        <v>84</v>
      </c>
      <c r="O4" s="37">
        <v>750</v>
      </c>
      <c r="P4" s="37">
        <v>750</v>
      </c>
    </row>
    <row r="5" spans="1:19" x14ac:dyDescent="0.25">
      <c r="A5" s="1" t="s">
        <v>18</v>
      </c>
      <c r="B5" s="20">
        <f>SUM(F11:F200)</f>
        <v>4017.5400000000004</v>
      </c>
      <c r="C5" s="2">
        <f>B5-1500</f>
        <v>2517.5400000000004</v>
      </c>
      <c r="E5" s="37" t="s">
        <v>71</v>
      </c>
      <c r="G5" s="49" t="s">
        <v>94</v>
      </c>
      <c r="H5" s="49"/>
      <c r="N5" s="37" t="s">
        <v>85</v>
      </c>
      <c r="O5" s="37">
        <v>750</v>
      </c>
      <c r="P5" s="37">
        <v>750</v>
      </c>
    </row>
    <row r="6" spans="1:19" ht="14.4" x14ac:dyDescent="0.3">
      <c r="A6" s="1" t="s">
        <v>103</v>
      </c>
      <c r="B6" s="2">
        <f>B5-SUM(D11:D200)</f>
        <v>267.54000000000042</v>
      </c>
      <c r="E6" s="37" t="s">
        <v>72</v>
      </c>
      <c r="G6" s="50" t="s">
        <v>95</v>
      </c>
      <c r="H6" s="49"/>
      <c r="N6" s="37" t="s">
        <v>86</v>
      </c>
      <c r="O6" s="37"/>
      <c r="P6" s="37"/>
      <c r="Q6" s="2">
        <f>O7-B5</f>
        <v>-1017.5400000000004</v>
      </c>
    </row>
    <row r="7" spans="1:19" x14ac:dyDescent="0.25">
      <c r="A7" s="1" t="s">
        <v>108</v>
      </c>
      <c r="B7" s="2">
        <f>SUM(D11:D200)</f>
        <v>3750</v>
      </c>
      <c r="F7" s="2">
        <f>COUNTIF(F11:F200,"&gt;0")</f>
        <v>7</v>
      </c>
      <c r="O7" s="2">
        <f>SUM(O2:O6)</f>
        <v>3000</v>
      </c>
      <c r="P7" s="2">
        <f>SUM(P2:P6)</f>
        <v>1500</v>
      </c>
      <c r="Q7" s="2">
        <f>P6-Q6</f>
        <v>1017.5400000000004</v>
      </c>
    </row>
    <row r="8" spans="1:19" x14ac:dyDescent="0.25">
      <c r="A8" s="13">
        <f ca="1">OFFSET(A10,A9,0)</f>
        <v>43313</v>
      </c>
      <c r="B8" s="14">
        <f t="shared" ref="B8:N8" ca="1" si="1">OFFSET(B10,B9,0)</f>
        <v>43301</v>
      </c>
      <c r="C8" s="14">
        <f t="shared" ca="1" si="1"/>
        <v>43332</v>
      </c>
      <c r="D8" s="15">
        <f t="shared" ca="1" si="1"/>
        <v>0</v>
      </c>
      <c r="E8" s="16">
        <f t="shared" ca="1" si="1"/>
        <v>0</v>
      </c>
      <c r="F8" s="15">
        <f t="shared" ca="1" si="1"/>
        <v>0</v>
      </c>
      <c r="G8" s="15">
        <f t="shared" ca="1" si="1"/>
        <v>0</v>
      </c>
      <c r="H8" s="15">
        <f t="shared" ca="1" si="1"/>
        <v>0</v>
      </c>
      <c r="I8" s="15">
        <f t="shared" ca="1" si="1"/>
        <v>0</v>
      </c>
      <c r="J8" s="14">
        <f t="shared" ca="1" si="1"/>
        <v>43363</v>
      </c>
      <c r="K8" s="31">
        <f t="shared" ca="1" si="1"/>
        <v>1026</v>
      </c>
      <c r="L8" s="30">
        <f t="shared" ca="1" si="1"/>
        <v>1472.42</v>
      </c>
      <c r="M8" s="30">
        <f t="shared" ca="1" si="1"/>
        <v>270</v>
      </c>
      <c r="N8" s="36" t="str">
        <f t="shared" ca="1" si="1"/>
        <v>faturamento dia 8/5 p/ 15/5</v>
      </c>
    </row>
    <row r="9" spans="1:19" x14ac:dyDescent="0.25">
      <c r="A9" s="1">
        <f>COUNTA(A11:A200)</f>
        <v>10</v>
      </c>
      <c r="B9" s="1">
        <f t="shared" ref="B9:N9" si="2">COUNTA(B11:B200)</f>
        <v>10</v>
      </c>
      <c r="C9" s="1">
        <f t="shared" si="2"/>
        <v>10</v>
      </c>
      <c r="D9" s="1">
        <f t="shared" si="2"/>
        <v>10</v>
      </c>
      <c r="E9" s="1">
        <f t="shared" si="2"/>
        <v>10</v>
      </c>
      <c r="F9" s="1">
        <f t="shared" si="2"/>
        <v>10</v>
      </c>
      <c r="G9" s="1">
        <f t="shared" si="2"/>
        <v>10</v>
      </c>
      <c r="H9" s="1">
        <f t="shared" si="2"/>
        <v>9</v>
      </c>
      <c r="I9" s="1">
        <f t="shared" si="2"/>
        <v>10</v>
      </c>
      <c r="J9" s="1">
        <f t="shared" si="2"/>
        <v>10</v>
      </c>
      <c r="K9" s="1">
        <f t="shared" si="2"/>
        <v>10</v>
      </c>
      <c r="L9" s="1">
        <f t="shared" si="2"/>
        <v>6</v>
      </c>
      <c r="M9" s="1">
        <f t="shared" si="2"/>
        <v>6</v>
      </c>
      <c r="N9" s="1">
        <f t="shared" si="2"/>
        <v>5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43040</v>
      </c>
      <c r="B11" s="9">
        <v>43028</v>
      </c>
      <c r="C11" s="9">
        <v>43060</v>
      </c>
      <c r="D11" s="2">
        <v>750</v>
      </c>
      <c r="E11" s="11">
        <v>0.3</v>
      </c>
      <c r="F11" s="20">
        <f>G11+H11</f>
        <v>1201</v>
      </c>
      <c r="G11" s="2">
        <v>952</v>
      </c>
      <c r="H11" s="2">
        <v>249</v>
      </c>
      <c r="I11" s="2">
        <v>249</v>
      </c>
      <c r="J11" s="9">
        <v>43090</v>
      </c>
      <c r="K11" s="2">
        <v>952</v>
      </c>
      <c r="L11" s="2">
        <v>91.450000000000045</v>
      </c>
      <c r="M11" s="2">
        <v>379</v>
      </c>
      <c r="N11" s="2" t="s">
        <v>74</v>
      </c>
      <c r="P11" s="2">
        <f t="shared" ref="P11" si="3">(C11-B11)*24</f>
        <v>768</v>
      </c>
      <c r="Q11" s="59">
        <f t="shared" ref="Q11" si="4">M11/P11</f>
        <v>0.49348958333333331</v>
      </c>
      <c r="R11" s="2">
        <f t="shared" ref="R11" si="5">L11*(1+Q11)</f>
        <v>136.57962239583338</v>
      </c>
      <c r="S11" s="2">
        <f t="shared" ref="S11" si="6">K11/R11</f>
        <v>6.9702931030291273</v>
      </c>
    </row>
    <row r="12" spans="1:19" x14ac:dyDescent="0.25">
      <c r="A12" s="8">
        <v>43070</v>
      </c>
      <c r="B12" s="9">
        <v>43060</v>
      </c>
      <c r="C12" s="9">
        <v>43090</v>
      </c>
      <c r="D12" s="2">
        <v>750</v>
      </c>
      <c r="E12" s="12">
        <v>9.3799999999999994E-2</v>
      </c>
      <c r="F12" s="20">
        <f>G12+H12</f>
        <v>908</v>
      </c>
      <c r="G12" s="2">
        <v>908</v>
      </c>
      <c r="H12" s="20">
        <f>I12-I11</f>
        <v>0</v>
      </c>
      <c r="I12" s="2">
        <v>249</v>
      </c>
      <c r="J12" s="9">
        <v>43119</v>
      </c>
      <c r="K12" s="2">
        <v>1008</v>
      </c>
      <c r="L12" s="2">
        <v>721.89999999999964</v>
      </c>
      <c r="M12" s="2">
        <v>55</v>
      </c>
      <c r="N12" s="2" t="s">
        <v>89</v>
      </c>
      <c r="P12" s="2">
        <f t="shared" ref="P12:P15" si="7">(C12-B12)*24</f>
        <v>720</v>
      </c>
      <c r="Q12" s="59">
        <f t="shared" ref="Q12:Q15" si="8">M12/P12</f>
        <v>7.6388888888888895E-2</v>
      </c>
      <c r="R12" s="2">
        <f t="shared" ref="R12:R15" si="9">L12*(1+Q12)</f>
        <v>777.04513888888846</v>
      </c>
      <c r="S12" s="2">
        <f t="shared" ref="S12:S15" si="10">K12/R12</f>
        <v>1.2972219367350502</v>
      </c>
    </row>
    <row r="13" spans="1:19" x14ac:dyDescent="0.25">
      <c r="A13" s="8">
        <v>43101</v>
      </c>
      <c r="B13" s="9">
        <v>43090</v>
      </c>
      <c r="C13" s="9">
        <v>43119</v>
      </c>
      <c r="D13" s="2">
        <v>750</v>
      </c>
      <c r="E13" s="12">
        <v>9.3799999999999994E-2</v>
      </c>
      <c r="F13" s="2">
        <v>712.88</v>
      </c>
      <c r="G13" s="2">
        <f>F13+85.12</f>
        <v>798</v>
      </c>
      <c r="H13" s="20"/>
      <c r="I13" s="2">
        <v>164.32</v>
      </c>
      <c r="J13" s="9">
        <v>43151</v>
      </c>
      <c r="K13" s="2">
        <v>898</v>
      </c>
      <c r="L13" s="2">
        <v>235.86999999999995</v>
      </c>
      <c r="M13" s="2">
        <v>254</v>
      </c>
      <c r="N13" s="2" t="s">
        <v>96</v>
      </c>
      <c r="P13" s="2">
        <f t="shared" si="7"/>
        <v>696</v>
      </c>
      <c r="Q13" s="59">
        <f t="shared" si="8"/>
        <v>0.36494252873563221</v>
      </c>
      <c r="R13" s="2">
        <f t="shared" si="9"/>
        <v>321.94899425287349</v>
      </c>
      <c r="S13" s="2">
        <f t="shared" si="10"/>
        <v>2.7892617030344553</v>
      </c>
    </row>
    <row r="14" spans="1:19" x14ac:dyDescent="0.25">
      <c r="A14" s="8">
        <v>43132</v>
      </c>
      <c r="B14" s="9">
        <v>43119</v>
      </c>
      <c r="C14" s="9">
        <v>43151</v>
      </c>
      <c r="D14" s="2">
        <v>250</v>
      </c>
      <c r="E14" s="12">
        <v>3.1300000000000001E-2</v>
      </c>
      <c r="F14" s="20">
        <f t="shared" ref="F14:F20" si="11">H14+G14</f>
        <v>297.976</v>
      </c>
      <c r="G14" s="2">
        <f>297.976+164.32</f>
        <v>462.29599999999999</v>
      </c>
      <c r="H14" s="20">
        <f t="shared" ref="H14:H20" si="12">I14-I13</f>
        <v>-164.32</v>
      </c>
      <c r="I14" s="2">
        <v>0</v>
      </c>
      <c r="J14" s="9">
        <v>43180</v>
      </c>
      <c r="K14" s="2">
        <v>1130</v>
      </c>
      <c r="L14" s="2">
        <v>1981.9599999999962</v>
      </c>
      <c r="M14" s="2">
        <v>34</v>
      </c>
      <c r="N14" s="2" t="s">
        <v>98</v>
      </c>
      <c r="P14" s="2">
        <f t="shared" si="7"/>
        <v>768</v>
      </c>
      <c r="Q14" s="59">
        <f t="shared" si="8"/>
        <v>4.4270833333333336E-2</v>
      </c>
      <c r="R14" s="2">
        <f t="shared" si="9"/>
        <v>2069.703020833329</v>
      </c>
      <c r="S14" s="2">
        <f t="shared" si="10"/>
        <v>0.5459720494320125</v>
      </c>
    </row>
    <row r="15" spans="1:19" x14ac:dyDescent="0.25">
      <c r="A15" s="8">
        <v>43160</v>
      </c>
      <c r="B15" s="9">
        <v>43151</v>
      </c>
      <c r="C15" s="9">
        <v>43180</v>
      </c>
      <c r="D15" s="2">
        <v>250</v>
      </c>
      <c r="E15" s="12">
        <v>3.1300000000000001E-2</v>
      </c>
      <c r="F15" s="20">
        <f t="shared" si="11"/>
        <v>335.536</v>
      </c>
      <c r="G15" s="2">
        <v>335.536</v>
      </c>
      <c r="H15" s="20">
        <f t="shared" si="12"/>
        <v>0</v>
      </c>
      <c r="I15" s="2">
        <v>0</v>
      </c>
      <c r="J15" s="9">
        <v>43209</v>
      </c>
      <c r="K15" s="2">
        <v>1143</v>
      </c>
      <c r="L15" s="2">
        <v>2220.0300000000047</v>
      </c>
      <c r="M15" s="2">
        <v>6</v>
      </c>
      <c r="N15" s="2" t="s">
        <v>107</v>
      </c>
      <c r="P15" s="2">
        <f t="shared" si="7"/>
        <v>696</v>
      </c>
      <c r="Q15" s="59">
        <f t="shared" si="8"/>
        <v>8.6206896551724137E-3</v>
      </c>
      <c r="R15" s="2">
        <f t="shared" si="9"/>
        <v>2239.1681896551772</v>
      </c>
      <c r="S15" s="2">
        <f t="shared" si="10"/>
        <v>0.51045741239116893</v>
      </c>
    </row>
    <row r="16" spans="1:19" x14ac:dyDescent="0.25">
      <c r="A16" s="8">
        <v>43191</v>
      </c>
      <c r="B16" s="9">
        <v>43180</v>
      </c>
      <c r="C16" s="9">
        <v>43209</v>
      </c>
      <c r="D16" s="2">
        <v>250</v>
      </c>
      <c r="E16" s="12">
        <v>3.1300000000000001E-2</v>
      </c>
      <c r="F16" s="20">
        <f t="shared" si="11"/>
        <v>275.44</v>
      </c>
      <c r="G16" s="2">
        <v>275.44</v>
      </c>
      <c r="H16" s="20">
        <f t="shared" si="12"/>
        <v>0</v>
      </c>
      <c r="I16" s="2">
        <v>0</v>
      </c>
      <c r="J16" s="9">
        <v>43241</v>
      </c>
      <c r="K16" s="2">
        <v>1155</v>
      </c>
      <c r="L16" s="2">
        <v>1472.42</v>
      </c>
      <c r="M16" s="2">
        <v>270</v>
      </c>
      <c r="P16" s="2">
        <f t="shared" ref="P16:P20" si="13">(C16-B16)*24</f>
        <v>696</v>
      </c>
      <c r="Q16" s="59">
        <f t="shared" ref="Q16" si="14">M16/P16</f>
        <v>0.38793103448275862</v>
      </c>
      <c r="R16" s="2">
        <f t="shared" ref="R16" si="15">L16*(1+Q16)</f>
        <v>2043.6174137931037</v>
      </c>
      <c r="S16" s="2">
        <f t="shared" ref="S16" si="16">K16/R16</f>
        <v>0.5651742797866629</v>
      </c>
    </row>
    <row r="17" spans="1:16" x14ac:dyDescent="0.25">
      <c r="A17" s="8">
        <v>43221</v>
      </c>
      <c r="B17" s="9">
        <v>43209</v>
      </c>
      <c r="C17" s="9">
        <v>43241</v>
      </c>
      <c r="D17" s="2">
        <v>250</v>
      </c>
      <c r="E17" s="12">
        <v>3.1300000000000001E-2</v>
      </c>
      <c r="F17" s="20">
        <f t="shared" si="11"/>
        <v>286.70800000000003</v>
      </c>
      <c r="G17" s="2">
        <v>286.70800000000003</v>
      </c>
      <c r="H17" s="20">
        <f t="shared" si="12"/>
        <v>0</v>
      </c>
      <c r="I17" s="2">
        <v>0</v>
      </c>
      <c r="J17" s="9">
        <v>43271</v>
      </c>
      <c r="K17" s="2">
        <v>1343</v>
      </c>
      <c r="P17" s="2">
        <f t="shared" si="13"/>
        <v>768</v>
      </c>
    </row>
    <row r="18" spans="1:16" x14ac:dyDescent="0.25">
      <c r="A18" s="8">
        <v>43252</v>
      </c>
      <c r="B18" s="9">
        <v>43241</v>
      </c>
      <c r="C18" s="9">
        <v>43271</v>
      </c>
      <c r="D18" s="2">
        <v>250</v>
      </c>
      <c r="E18" s="2">
        <v>0</v>
      </c>
      <c r="F18" s="20">
        <f t="shared" si="11"/>
        <v>0</v>
      </c>
      <c r="G18" s="2">
        <v>0</v>
      </c>
      <c r="H18" s="20">
        <f t="shared" si="12"/>
        <v>0</v>
      </c>
      <c r="I18" s="2">
        <v>0</v>
      </c>
      <c r="J18" s="9">
        <v>43301</v>
      </c>
      <c r="K18" s="2">
        <v>897</v>
      </c>
      <c r="P18" s="2">
        <f t="shared" si="13"/>
        <v>720</v>
      </c>
    </row>
    <row r="19" spans="1:16" x14ac:dyDescent="0.25">
      <c r="A19" s="8">
        <v>43282</v>
      </c>
      <c r="B19" s="9">
        <v>43271</v>
      </c>
      <c r="C19" s="9">
        <v>43301</v>
      </c>
      <c r="D19" s="2">
        <v>250</v>
      </c>
      <c r="E19" s="2">
        <v>0</v>
      </c>
      <c r="F19" s="20">
        <f t="shared" si="11"/>
        <v>0</v>
      </c>
      <c r="G19" s="2">
        <v>0</v>
      </c>
      <c r="H19" s="20">
        <f t="shared" si="12"/>
        <v>0</v>
      </c>
      <c r="I19" s="2">
        <v>0</v>
      </c>
      <c r="J19" s="9">
        <v>43332</v>
      </c>
      <c r="K19" s="2">
        <v>853</v>
      </c>
      <c r="O19" s="2">
        <f>IF(C19&gt;VLOOKUP(A19,'4001950116'!$A$11:$N$200,3,FALSE),VLOOKUP(A19,'4001950116'!$A$11:$N$200,11,FALSE),VLOOKUP(A18,'4001950116'!$A$11:$N$200,11,FALSE))*E19</f>
        <v>0</v>
      </c>
      <c r="P19" s="2">
        <f t="shared" si="13"/>
        <v>720</v>
      </c>
    </row>
    <row r="20" spans="1:16" x14ac:dyDescent="0.25">
      <c r="A20" s="8">
        <v>43313</v>
      </c>
      <c r="B20" s="9">
        <v>43301</v>
      </c>
      <c r="C20" s="9">
        <v>43332</v>
      </c>
      <c r="D20" s="2">
        <v>0</v>
      </c>
      <c r="E20" s="2">
        <v>0</v>
      </c>
      <c r="F20" s="20">
        <f t="shared" si="11"/>
        <v>0</v>
      </c>
      <c r="G20" s="2">
        <v>0</v>
      </c>
      <c r="H20" s="20">
        <f t="shared" si="12"/>
        <v>0</v>
      </c>
      <c r="I20" s="2">
        <v>0</v>
      </c>
      <c r="J20" s="9">
        <v>43363</v>
      </c>
      <c r="K20" s="2">
        <v>1026</v>
      </c>
      <c r="P20" s="2">
        <f t="shared" si="13"/>
        <v>744</v>
      </c>
    </row>
    <row r="21" spans="1:16" x14ac:dyDescent="0.25">
      <c r="B21" s="9"/>
      <c r="C21" s="9"/>
      <c r="J21" s="9"/>
    </row>
    <row r="22" spans="1:16" x14ac:dyDescent="0.25">
      <c r="B22" s="9"/>
      <c r="C22" s="9"/>
      <c r="J22" s="9"/>
    </row>
    <row r="23" spans="1:16" x14ac:dyDescent="0.25">
      <c r="B23" s="9"/>
      <c r="C23" s="9"/>
      <c r="J23" s="9"/>
    </row>
    <row r="24" spans="1:16" x14ac:dyDescent="0.25">
      <c r="B24" s="9"/>
      <c r="C24" s="9"/>
      <c r="J24" s="9"/>
    </row>
    <row r="25" spans="1:16" x14ac:dyDescent="0.25">
      <c r="B25" s="9"/>
      <c r="C25" s="9"/>
      <c r="J25" s="9"/>
    </row>
    <row r="26" spans="1:16" x14ac:dyDescent="0.25">
      <c r="B26" s="9"/>
      <c r="C26" s="9"/>
      <c r="J26" s="9"/>
    </row>
    <row r="27" spans="1:16" x14ac:dyDescent="0.25">
      <c r="B27" s="9"/>
      <c r="C27" s="9"/>
      <c r="J27" s="9"/>
    </row>
    <row r="28" spans="1:16" x14ac:dyDescent="0.25">
      <c r="B28" s="9"/>
      <c r="C28" s="9"/>
      <c r="J28" s="9"/>
    </row>
    <row r="29" spans="1:16" x14ac:dyDescent="0.25">
      <c r="B29" s="9"/>
      <c r="C29" s="9"/>
      <c r="J29" s="9"/>
    </row>
    <row r="30" spans="1:16" x14ac:dyDescent="0.25">
      <c r="B30" s="9"/>
      <c r="C30" s="9"/>
      <c r="J30" s="9"/>
    </row>
    <row r="31" spans="1:16" x14ac:dyDescent="0.25">
      <c r="B31" s="9"/>
      <c r="C31" s="9"/>
      <c r="J31" s="9"/>
    </row>
    <row r="32" spans="1:16" x14ac:dyDescent="0.25">
      <c r="B32" s="9"/>
      <c r="C32" s="9"/>
      <c r="J32" s="9"/>
    </row>
    <row r="33" spans="2:10" x14ac:dyDescent="0.25">
      <c r="B33" s="9"/>
      <c r="C33" s="9"/>
      <c r="J33" s="9"/>
    </row>
    <row r="34" spans="2:10" x14ac:dyDescent="0.25">
      <c r="B34" s="9"/>
      <c r="C34" s="9"/>
      <c r="J34" s="9"/>
    </row>
    <row r="35" spans="2:10" x14ac:dyDescent="0.25">
      <c r="B35" s="9"/>
      <c r="C35" s="9"/>
    </row>
    <row r="36" spans="2:10" x14ac:dyDescent="0.25">
      <c r="B36" s="9"/>
      <c r="C36" s="9"/>
    </row>
  </sheetData>
  <hyperlinks>
    <hyperlink ref="G6" r:id="rId1" xr:uid="{8FCFBDFE-5C39-4020-BE71-F3876670F5B9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6688-FE19-45AE-ADDF-8B63D3062BF7}">
  <sheetPr codeName="Planilha5">
    <tabColor rgb="FFFFFF00"/>
  </sheetPr>
  <dimension ref="A1:S34"/>
  <sheetViews>
    <sheetView workbookViewId="0">
      <selection activeCell="O20" sqref="O20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2.33203125" style="2" customWidth="1"/>
    <col min="12" max="12" width="13" style="2" customWidth="1"/>
    <col min="13" max="13" width="12.44140625" style="2" customWidth="1"/>
    <col min="14" max="14" width="14.5546875" style="2" customWidth="1"/>
    <col min="15" max="16384" width="8.88671875" style="2"/>
  </cols>
  <sheetData>
    <row r="1" spans="1:19" x14ac:dyDescent="0.25">
      <c r="A1" s="2" t="s">
        <v>4</v>
      </c>
      <c r="B1" s="4" t="s">
        <v>28</v>
      </c>
      <c r="E1" s="2">
        <v>4280</v>
      </c>
      <c r="F1" s="2">
        <f t="shared" ref="F1:F6" si="0">E1*E11</f>
        <v>342.40000000000003</v>
      </c>
      <c r="H1" s="2">
        <v>9160</v>
      </c>
      <c r="I1" s="2">
        <f>H1*E17</f>
        <v>229</v>
      </c>
    </row>
    <row r="2" spans="1:19" x14ac:dyDescent="0.25">
      <c r="A2" s="2" t="s">
        <v>5</v>
      </c>
      <c r="B2" s="5" t="s">
        <v>29</v>
      </c>
      <c r="E2" s="2">
        <v>8800</v>
      </c>
      <c r="F2" s="2">
        <f t="shared" si="0"/>
        <v>220</v>
      </c>
      <c r="H2" s="2">
        <v>8440</v>
      </c>
      <c r="I2" s="2">
        <f>H2*E18</f>
        <v>176.39599999999999</v>
      </c>
    </row>
    <row r="3" spans="1:19" x14ac:dyDescent="0.25">
      <c r="A3" s="2" t="s">
        <v>6</v>
      </c>
      <c r="B3" s="10">
        <v>2022806598</v>
      </c>
      <c r="E3" s="2">
        <v>7600</v>
      </c>
      <c r="F3" s="2">
        <f t="shared" si="0"/>
        <v>190</v>
      </c>
      <c r="H3" s="2">
        <v>9880</v>
      </c>
      <c r="I3" s="2">
        <f>H3*E19</f>
        <v>206.49199999999999</v>
      </c>
    </row>
    <row r="4" spans="1:19" x14ac:dyDescent="0.25">
      <c r="A4" s="2" t="s">
        <v>7</v>
      </c>
      <c r="B4" s="3">
        <v>43058</v>
      </c>
      <c r="C4" s="9">
        <f>B4+60</f>
        <v>43118</v>
      </c>
      <c r="E4" s="2">
        <v>9520</v>
      </c>
      <c r="F4" s="2">
        <f t="shared" si="0"/>
        <v>238</v>
      </c>
    </row>
    <row r="5" spans="1:19" x14ac:dyDescent="0.25">
      <c r="A5" s="1" t="s">
        <v>18</v>
      </c>
      <c r="B5" s="20">
        <f>SUM(F11:F200)</f>
        <v>2270.5039999999999</v>
      </c>
      <c r="E5" s="2">
        <v>10720</v>
      </c>
      <c r="F5" s="2">
        <f t="shared" si="0"/>
        <v>268</v>
      </c>
    </row>
    <row r="6" spans="1:19" x14ac:dyDescent="0.25">
      <c r="A6" s="1" t="s">
        <v>103</v>
      </c>
      <c r="B6" s="2">
        <f>B5-SUM(D11:D200)</f>
        <v>270.50399999999991</v>
      </c>
      <c r="E6" s="2">
        <v>8800</v>
      </c>
      <c r="F6" s="2">
        <f t="shared" si="0"/>
        <v>220</v>
      </c>
    </row>
    <row r="7" spans="1:19" x14ac:dyDescent="0.25">
      <c r="A7" s="1" t="s">
        <v>108</v>
      </c>
      <c r="B7" s="2">
        <f>SUM(D11:D200)</f>
        <v>2000</v>
      </c>
      <c r="F7" s="2">
        <f>COUNTIF(F11:F200,"&gt;0")</f>
        <v>10</v>
      </c>
    </row>
    <row r="8" spans="1:19" x14ac:dyDescent="0.25">
      <c r="A8" s="13">
        <f ca="1">OFFSET(A10,A9,0)</f>
        <v>43313</v>
      </c>
      <c r="B8" s="14">
        <f t="shared" ref="B8:N8" ca="1" si="1">OFFSET(B10,B9,0)</f>
        <v>43301</v>
      </c>
      <c r="C8" s="14">
        <f t="shared" ca="1" si="1"/>
        <v>43332</v>
      </c>
      <c r="D8" s="15">
        <f t="shared" ca="1" si="1"/>
        <v>200</v>
      </c>
      <c r="E8" s="16">
        <f t="shared" ca="1" si="1"/>
        <v>2.1100000000000001E-2</v>
      </c>
      <c r="F8" s="15">
        <f t="shared" ca="1" si="1"/>
        <v>180.61599999999999</v>
      </c>
      <c r="G8" s="15">
        <f t="shared" ca="1" si="1"/>
        <v>220</v>
      </c>
      <c r="H8" s="15">
        <f t="shared" ca="1" si="1"/>
        <v>-39.384000000000007</v>
      </c>
      <c r="I8" s="15">
        <f t="shared" ca="1" si="1"/>
        <v>28.411999999999999</v>
      </c>
      <c r="J8" s="14">
        <f t="shared" ca="1" si="1"/>
        <v>43363</v>
      </c>
      <c r="K8" s="31">
        <f t="shared" ca="1" si="1"/>
        <v>250</v>
      </c>
      <c r="L8" s="30">
        <f t="shared" ca="1" si="1"/>
        <v>88.439999999999984</v>
      </c>
      <c r="M8" s="30">
        <f t="shared" ca="1" si="1"/>
        <v>440</v>
      </c>
      <c r="N8" s="36">
        <f t="shared" ca="1" si="1"/>
        <v>43258</v>
      </c>
    </row>
    <row r="9" spans="1:19" x14ac:dyDescent="0.25">
      <c r="A9" s="1">
        <f>COUNTA(A11:A200)</f>
        <v>10</v>
      </c>
      <c r="B9" s="1">
        <f t="shared" ref="B9:N9" si="2">COUNTA(B11:B200)</f>
        <v>10</v>
      </c>
      <c r="C9" s="1">
        <f t="shared" si="2"/>
        <v>10</v>
      </c>
      <c r="D9" s="1">
        <f t="shared" si="2"/>
        <v>10</v>
      </c>
      <c r="E9" s="1">
        <f t="shared" si="2"/>
        <v>10</v>
      </c>
      <c r="F9" s="1">
        <f t="shared" si="2"/>
        <v>10</v>
      </c>
      <c r="G9" s="1">
        <f t="shared" si="2"/>
        <v>10</v>
      </c>
      <c r="H9" s="1">
        <f t="shared" si="2"/>
        <v>10</v>
      </c>
      <c r="I9" s="1">
        <f t="shared" si="2"/>
        <v>10</v>
      </c>
      <c r="J9" s="1">
        <f t="shared" si="2"/>
        <v>10</v>
      </c>
      <c r="K9" s="1">
        <f t="shared" si="2"/>
        <v>10</v>
      </c>
      <c r="L9" s="1">
        <f t="shared" si="2"/>
        <v>6</v>
      </c>
      <c r="M9" s="1">
        <f t="shared" si="2"/>
        <v>6</v>
      </c>
      <c r="N9" s="1">
        <f t="shared" si="2"/>
        <v>6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43040</v>
      </c>
      <c r="B11" s="9">
        <v>43028</v>
      </c>
      <c r="C11" s="9">
        <v>43060</v>
      </c>
      <c r="D11" s="2">
        <v>200</v>
      </c>
      <c r="E11" s="11">
        <v>0.08</v>
      </c>
      <c r="F11" s="20">
        <f>G11+H11</f>
        <v>342</v>
      </c>
      <c r="G11" s="2">
        <v>245</v>
      </c>
      <c r="H11" s="2">
        <v>97</v>
      </c>
      <c r="I11" s="2">
        <v>97</v>
      </c>
      <c r="J11" s="9">
        <v>43090</v>
      </c>
      <c r="K11" s="2">
        <v>245</v>
      </c>
      <c r="L11" s="2">
        <v>227.1899999999998</v>
      </c>
      <c r="M11" s="2">
        <v>15</v>
      </c>
      <c r="N11" s="9">
        <v>43137</v>
      </c>
      <c r="P11" s="2">
        <f t="shared" ref="P11" si="3">(C11-B11)*24</f>
        <v>768</v>
      </c>
      <c r="Q11" s="59">
        <f t="shared" ref="Q11" si="4">M11/P11</f>
        <v>1.953125E-2</v>
      </c>
      <c r="R11" s="2">
        <f t="shared" ref="R11" si="5">L11*(1+Q11)</f>
        <v>231.62730468749979</v>
      </c>
      <c r="S11" s="2">
        <f t="shared" ref="S11" si="6">K11/R11</f>
        <v>1.0577336740611907</v>
      </c>
    </row>
    <row r="12" spans="1:19" x14ac:dyDescent="0.25">
      <c r="A12" s="8">
        <v>43070</v>
      </c>
      <c r="B12" s="9">
        <v>43060</v>
      </c>
      <c r="C12" s="9">
        <v>43090</v>
      </c>
      <c r="D12" s="2">
        <v>200</v>
      </c>
      <c r="E12" s="12">
        <v>2.5000000000000001E-2</v>
      </c>
      <c r="F12" s="20">
        <f>G12+H12</f>
        <v>220</v>
      </c>
      <c r="G12" s="2">
        <v>220</v>
      </c>
      <c r="H12" s="20">
        <f>I12-I11</f>
        <v>0</v>
      </c>
      <c r="I12" s="2">
        <v>97</v>
      </c>
      <c r="J12" s="9">
        <v>43119</v>
      </c>
      <c r="K12" s="2">
        <v>235</v>
      </c>
      <c r="L12" s="2">
        <v>207.17000000000004</v>
      </c>
      <c r="M12" s="2">
        <v>86</v>
      </c>
      <c r="N12" s="9">
        <v>43168</v>
      </c>
      <c r="P12" s="2">
        <f t="shared" ref="P12:P15" si="7">(C12-B12)*24</f>
        <v>720</v>
      </c>
      <c r="Q12" s="59">
        <f t="shared" ref="Q12:Q15" si="8">M12/P12</f>
        <v>0.11944444444444445</v>
      </c>
      <c r="R12" s="2">
        <f t="shared" ref="R12:R15" si="9">L12*(1+Q12)</f>
        <v>231.91530555555562</v>
      </c>
      <c r="S12" s="2">
        <f t="shared" ref="S12:S15" si="10">K12/R12</f>
        <v>1.0133009524190522</v>
      </c>
    </row>
    <row r="13" spans="1:19" x14ac:dyDescent="0.25">
      <c r="A13" s="8">
        <v>43101</v>
      </c>
      <c r="B13" s="9">
        <v>43090</v>
      </c>
      <c r="C13" s="9">
        <v>43119</v>
      </c>
      <c r="D13" s="2">
        <v>200</v>
      </c>
      <c r="E13" s="12">
        <v>2.5000000000000001E-2</v>
      </c>
      <c r="F13" s="2">
        <v>190</v>
      </c>
      <c r="G13" s="2">
        <f>F13+2</f>
        <v>192</v>
      </c>
      <c r="H13" s="2">
        <v>0</v>
      </c>
      <c r="I13" s="2">
        <v>95.4</v>
      </c>
      <c r="J13" s="9">
        <v>43151</v>
      </c>
      <c r="K13" s="2">
        <v>222</v>
      </c>
      <c r="L13" s="2">
        <v>6.6899999999999995</v>
      </c>
      <c r="M13" s="2">
        <v>677</v>
      </c>
      <c r="N13" s="9">
        <v>43168</v>
      </c>
      <c r="P13" s="2">
        <f t="shared" si="7"/>
        <v>696</v>
      </c>
      <c r="Q13" s="59">
        <f t="shared" si="8"/>
        <v>0.9727011494252874</v>
      </c>
      <c r="R13" s="2">
        <f t="shared" si="9"/>
        <v>13.197370689655173</v>
      </c>
      <c r="S13" s="2">
        <f t="shared" si="10"/>
        <v>16.821532502229086</v>
      </c>
    </row>
    <row r="14" spans="1:19" x14ac:dyDescent="0.25">
      <c r="A14" s="8">
        <v>43132</v>
      </c>
      <c r="B14" s="9">
        <v>43119</v>
      </c>
      <c r="C14" s="9">
        <v>43151</v>
      </c>
      <c r="D14" s="2">
        <v>200</v>
      </c>
      <c r="E14" s="12">
        <v>2.5000000000000001E-2</v>
      </c>
      <c r="F14" s="20">
        <f t="shared" ref="F14:F20" si="11">G14+H14</f>
        <v>238</v>
      </c>
      <c r="G14" s="2">
        <f>238+46</f>
        <v>284</v>
      </c>
      <c r="H14" s="20">
        <f t="shared" ref="H14:H20" si="12">I14-I13</f>
        <v>-46.000000000000007</v>
      </c>
      <c r="I14" s="2">
        <v>49.4</v>
      </c>
      <c r="J14" s="9">
        <v>43180</v>
      </c>
      <c r="K14" s="2">
        <v>314</v>
      </c>
      <c r="L14" s="2">
        <v>193.34000000000015</v>
      </c>
      <c r="M14" s="2">
        <v>275</v>
      </c>
      <c r="N14" s="9">
        <v>43197</v>
      </c>
      <c r="P14" s="2">
        <f t="shared" si="7"/>
        <v>768</v>
      </c>
      <c r="Q14" s="59">
        <f t="shared" si="8"/>
        <v>0.35807291666666669</v>
      </c>
      <c r="R14" s="2">
        <f t="shared" si="9"/>
        <v>262.56981770833357</v>
      </c>
      <c r="S14" s="2">
        <f t="shared" si="10"/>
        <v>1.1958724073487983</v>
      </c>
    </row>
    <row r="15" spans="1:19" x14ac:dyDescent="0.25">
      <c r="A15" s="8">
        <v>43160</v>
      </c>
      <c r="B15" s="9">
        <v>43151</v>
      </c>
      <c r="C15" s="9">
        <v>43180</v>
      </c>
      <c r="D15" s="2">
        <v>200</v>
      </c>
      <c r="E15" s="12">
        <v>2.5000000000000001E-2</v>
      </c>
      <c r="F15" s="20">
        <f t="shared" si="11"/>
        <v>268</v>
      </c>
      <c r="G15" s="2">
        <v>244</v>
      </c>
      <c r="H15" s="20">
        <f t="shared" si="12"/>
        <v>24.000000000000007</v>
      </c>
      <c r="I15" s="2">
        <v>73.400000000000006</v>
      </c>
      <c r="J15" s="9">
        <v>43209</v>
      </c>
      <c r="K15" s="2">
        <v>244</v>
      </c>
      <c r="L15" s="2">
        <v>240.18000000000009</v>
      </c>
      <c r="M15" s="2">
        <v>2</v>
      </c>
      <c r="N15" s="9">
        <v>43228</v>
      </c>
      <c r="P15" s="2">
        <f t="shared" si="7"/>
        <v>696</v>
      </c>
      <c r="Q15" s="59">
        <f t="shared" si="8"/>
        <v>2.8735632183908046E-3</v>
      </c>
      <c r="R15" s="2">
        <f t="shared" si="9"/>
        <v>240.87017241379317</v>
      </c>
      <c r="S15" s="2">
        <f t="shared" si="10"/>
        <v>1.0129938362846773</v>
      </c>
    </row>
    <row r="16" spans="1:19" x14ac:dyDescent="0.25">
      <c r="A16" s="8">
        <v>43191</v>
      </c>
      <c r="B16" s="9">
        <v>43180</v>
      </c>
      <c r="C16" s="9">
        <v>43209</v>
      </c>
      <c r="D16" s="2">
        <v>200</v>
      </c>
      <c r="E16" s="12">
        <v>2.5000000000000001E-2</v>
      </c>
      <c r="F16" s="20">
        <f t="shared" si="11"/>
        <v>220</v>
      </c>
      <c r="G16" s="2">
        <v>220</v>
      </c>
      <c r="H16" s="20">
        <f t="shared" si="12"/>
        <v>0</v>
      </c>
      <c r="I16" s="2">
        <v>73.400000000000006</v>
      </c>
      <c r="J16" s="9">
        <v>43241</v>
      </c>
      <c r="K16" s="2">
        <v>235</v>
      </c>
      <c r="L16" s="2">
        <v>88.439999999999984</v>
      </c>
      <c r="M16" s="2">
        <v>440</v>
      </c>
      <c r="N16" s="9">
        <v>43258</v>
      </c>
      <c r="P16" s="2">
        <f t="shared" ref="P16:P20" si="13">(C16-B16)*24</f>
        <v>696</v>
      </c>
      <c r="Q16" s="59">
        <f t="shared" ref="Q16" si="14">M16/P16</f>
        <v>0.63218390804597702</v>
      </c>
      <c r="R16" s="2">
        <f t="shared" ref="R16" si="15">L16*(1+Q16)</f>
        <v>144.35034482758618</v>
      </c>
      <c r="S16" s="2">
        <f t="shared" ref="S16" si="16">K16/R16</f>
        <v>1.6279836413323907</v>
      </c>
    </row>
    <row r="17" spans="1:16" x14ac:dyDescent="0.25">
      <c r="A17" s="8">
        <v>43221</v>
      </c>
      <c r="B17" s="9">
        <v>43209</v>
      </c>
      <c r="C17" s="9">
        <v>43241</v>
      </c>
      <c r="D17" s="2">
        <v>200</v>
      </c>
      <c r="E17" s="12">
        <v>2.5000000000000001E-2</v>
      </c>
      <c r="F17" s="20">
        <f t="shared" si="11"/>
        <v>229</v>
      </c>
      <c r="G17" s="2">
        <v>227</v>
      </c>
      <c r="H17" s="20">
        <f t="shared" si="12"/>
        <v>2</v>
      </c>
      <c r="I17" s="2">
        <v>75.400000000000006</v>
      </c>
      <c r="J17" s="9">
        <v>43271</v>
      </c>
      <c r="K17" s="2">
        <v>227</v>
      </c>
      <c r="P17" s="2">
        <f t="shared" si="13"/>
        <v>768</v>
      </c>
    </row>
    <row r="18" spans="1:16" x14ac:dyDescent="0.25">
      <c r="A18" s="8">
        <v>43252</v>
      </c>
      <c r="B18" s="9">
        <v>43241</v>
      </c>
      <c r="C18" s="9">
        <v>43271</v>
      </c>
      <c r="D18" s="2">
        <v>200</v>
      </c>
      <c r="E18" s="12">
        <v>2.0899999999999998E-2</v>
      </c>
      <c r="F18" s="20">
        <f t="shared" si="11"/>
        <v>176.39600000000002</v>
      </c>
      <c r="G18" s="2">
        <f>7.604+176.396</f>
        <v>184</v>
      </c>
      <c r="H18" s="20">
        <f t="shared" si="12"/>
        <v>-7.6039999999999992</v>
      </c>
      <c r="I18" s="2">
        <v>67.796000000000006</v>
      </c>
      <c r="J18" s="9">
        <v>43301</v>
      </c>
      <c r="K18" s="2">
        <v>214</v>
      </c>
      <c r="P18" s="2">
        <f t="shared" si="13"/>
        <v>720</v>
      </c>
    </row>
    <row r="19" spans="1:16" x14ac:dyDescent="0.25">
      <c r="A19" s="8">
        <v>43282</v>
      </c>
      <c r="B19" s="9">
        <v>43271</v>
      </c>
      <c r="C19" s="9">
        <v>43301</v>
      </c>
      <c r="D19" s="2">
        <v>200</v>
      </c>
      <c r="E19" s="12">
        <v>2.0899999999999998E-2</v>
      </c>
      <c r="F19" s="20">
        <f t="shared" si="11"/>
        <v>206.49199999999999</v>
      </c>
      <c r="G19" s="2">
        <v>206.49199999999999</v>
      </c>
      <c r="H19" s="20">
        <f t="shared" si="12"/>
        <v>0</v>
      </c>
      <c r="I19" s="2">
        <v>67.796000000000006</v>
      </c>
      <c r="J19" s="9">
        <v>43332</v>
      </c>
      <c r="K19" s="2">
        <v>227</v>
      </c>
      <c r="O19" s="2">
        <f>IF(C19&gt;VLOOKUP(A19,'4001950116'!$A$11:$N$200,3,FALSE),VLOOKUP(A19,'4001950116'!$A$11:$N$200,11,FALSE),VLOOKUP(A18,'4001950116'!$A$11:$N$200,11,FALSE))*E19</f>
        <v>206.49199999999999</v>
      </c>
      <c r="P19" s="2">
        <f t="shared" si="13"/>
        <v>720</v>
      </c>
    </row>
    <row r="20" spans="1:16" x14ac:dyDescent="0.25">
      <c r="A20" s="8">
        <v>43313</v>
      </c>
      <c r="B20" s="9">
        <v>43301</v>
      </c>
      <c r="C20" s="9">
        <v>43332</v>
      </c>
      <c r="D20" s="2">
        <v>200</v>
      </c>
      <c r="E20" s="12">
        <v>2.1100000000000001E-2</v>
      </c>
      <c r="F20" s="20">
        <f t="shared" si="11"/>
        <v>180.61599999999999</v>
      </c>
      <c r="G20" s="2">
        <f>180.616+39.384</f>
        <v>220</v>
      </c>
      <c r="H20" s="20">
        <f t="shared" si="12"/>
        <v>-39.384000000000007</v>
      </c>
      <c r="I20" s="2">
        <v>28.411999999999999</v>
      </c>
      <c r="J20" s="9">
        <v>43363</v>
      </c>
      <c r="K20" s="2">
        <v>250</v>
      </c>
      <c r="O20" s="98">
        <f>IF(C20&gt;VLOOKUP(A20,'4001950116'!$A$11:$N$200,3,FALSE),VLOOKUP(A20,'4001950116'!$A$11:$N$200,11,FALSE),VLOOKUP(A19,'4001950116'!$A$11:$N$200,11,FALSE))*E20</f>
        <v>180.61600000000001</v>
      </c>
      <c r="P20" s="2">
        <f t="shared" si="13"/>
        <v>744</v>
      </c>
    </row>
    <row r="21" spans="1:16" x14ac:dyDescent="0.25">
      <c r="B21" s="9"/>
      <c r="C21" s="9"/>
      <c r="J21" s="9"/>
    </row>
    <row r="22" spans="1:16" x14ac:dyDescent="0.25">
      <c r="B22" s="9"/>
      <c r="C22" s="9"/>
      <c r="J22" s="9"/>
    </row>
    <row r="23" spans="1:16" x14ac:dyDescent="0.25">
      <c r="B23" s="9"/>
      <c r="C23" s="9"/>
      <c r="J23" s="9"/>
    </row>
    <row r="24" spans="1:16" x14ac:dyDescent="0.25">
      <c r="B24" s="9"/>
      <c r="C24" s="9"/>
      <c r="J24" s="9"/>
    </row>
    <row r="25" spans="1:16" x14ac:dyDescent="0.25">
      <c r="B25" s="9"/>
      <c r="C25" s="9"/>
      <c r="J25" s="9"/>
    </row>
    <row r="26" spans="1:16" x14ac:dyDescent="0.25">
      <c r="B26" s="9"/>
      <c r="C26" s="9"/>
      <c r="J26" s="9"/>
    </row>
    <row r="27" spans="1:16" x14ac:dyDescent="0.25">
      <c r="B27" s="9"/>
      <c r="C27" s="9"/>
      <c r="J27" s="9"/>
    </row>
    <row r="28" spans="1:16" x14ac:dyDescent="0.25">
      <c r="B28" s="9"/>
      <c r="C28" s="9"/>
      <c r="J28" s="9"/>
    </row>
    <row r="29" spans="1:16" x14ac:dyDescent="0.25">
      <c r="B29" s="9"/>
      <c r="C29" s="9"/>
      <c r="J29" s="9"/>
    </row>
    <row r="30" spans="1:16" x14ac:dyDescent="0.25">
      <c r="B30" s="9"/>
      <c r="C30" s="9"/>
      <c r="J30" s="9"/>
    </row>
    <row r="31" spans="1:16" x14ac:dyDescent="0.25">
      <c r="B31" s="9"/>
      <c r="C31" s="9"/>
      <c r="J31" s="9"/>
    </row>
    <row r="32" spans="1:16" x14ac:dyDescent="0.25">
      <c r="B32" s="9"/>
      <c r="C32" s="9"/>
      <c r="J32" s="9"/>
    </row>
    <row r="33" spans="2:10" x14ac:dyDescent="0.25">
      <c r="B33" s="9"/>
      <c r="C33" s="9"/>
      <c r="J33" s="9"/>
    </row>
    <row r="34" spans="2:10" x14ac:dyDescent="0.25">
      <c r="B34" s="9"/>
      <c r="C34" s="9"/>
      <c r="J34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1E4E-638B-49E0-8DE5-034CB05253BD}">
  <sheetPr codeName="Planilha6"/>
  <dimension ref="A1:S29"/>
  <sheetViews>
    <sheetView workbookViewId="0">
      <selection activeCell="Q19" sqref="Q19:S20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3" width="15" style="2" customWidth="1"/>
    <col min="4" max="4" width="11.109375" style="2" customWidth="1"/>
    <col min="5" max="5" width="12.6640625" style="2" customWidth="1"/>
    <col min="6" max="10" width="15" style="2" customWidth="1"/>
    <col min="11" max="11" width="12.33203125" style="2" customWidth="1"/>
    <col min="12" max="12" width="13.109375" style="2" customWidth="1"/>
    <col min="13" max="13" width="11" style="2" customWidth="1"/>
    <col min="14" max="14" width="13" style="2" customWidth="1"/>
    <col min="15" max="16384" width="8.88671875" style="2"/>
  </cols>
  <sheetData>
    <row r="1" spans="1:19" x14ac:dyDescent="0.25">
      <c r="A1" s="2" t="s">
        <v>4</v>
      </c>
      <c r="B1" s="4" t="s">
        <v>30</v>
      </c>
      <c r="E1" s="2">
        <v>4280</v>
      </c>
      <c r="F1" s="2">
        <f>E1*E11</f>
        <v>171.20000000000002</v>
      </c>
      <c r="G1" s="2" t="s">
        <v>58</v>
      </c>
      <c r="J1" s="2">
        <v>9160</v>
      </c>
      <c r="K1" s="2">
        <f>J1*E17</f>
        <v>114.5</v>
      </c>
    </row>
    <row r="2" spans="1:19" x14ac:dyDescent="0.25">
      <c r="A2" s="2" t="s">
        <v>5</v>
      </c>
      <c r="B2" s="5" t="s">
        <v>31</v>
      </c>
      <c r="E2" s="2">
        <v>8800</v>
      </c>
      <c r="F2" s="2">
        <f>E2*E12</f>
        <v>110</v>
      </c>
      <c r="G2" s="2" t="s">
        <v>57</v>
      </c>
      <c r="J2" s="2">
        <v>8440</v>
      </c>
      <c r="K2" s="2">
        <f>J2*E18</f>
        <v>88.62</v>
      </c>
    </row>
    <row r="3" spans="1:19" x14ac:dyDescent="0.25">
      <c r="A3" s="2" t="s">
        <v>6</v>
      </c>
      <c r="B3" s="10">
        <v>4000332114</v>
      </c>
      <c r="E3" s="2">
        <v>9520</v>
      </c>
      <c r="F3" s="2">
        <f>E3*E14</f>
        <v>119</v>
      </c>
      <c r="J3" s="2">
        <v>9880</v>
      </c>
      <c r="K3" s="2">
        <f>J3*E19</f>
        <v>103.74000000000001</v>
      </c>
    </row>
    <row r="4" spans="1:19" x14ac:dyDescent="0.25">
      <c r="A4" s="2" t="s">
        <v>7</v>
      </c>
      <c r="B4" s="3">
        <v>43103</v>
      </c>
      <c r="E4" s="2">
        <v>10720</v>
      </c>
      <c r="F4" s="2">
        <f>E4*E15</f>
        <v>134</v>
      </c>
    </row>
    <row r="5" spans="1:19" x14ac:dyDescent="0.25">
      <c r="A5" s="1" t="s">
        <v>18</v>
      </c>
      <c r="B5" s="20">
        <f>SUM(F11:F200)</f>
        <v>1135.94</v>
      </c>
      <c r="E5" s="2">
        <v>8800</v>
      </c>
      <c r="F5" s="2">
        <f>E5*E16</f>
        <v>110</v>
      </c>
    </row>
    <row r="6" spans="1:19" x14ac:dyDescent="0.25">
      <c r="A6" s="1" t="s">
        <v>103</v>
      </c>
      <c r="B6" s="2">
        <f>B5-B7</f>
        <v>335.94000000000005</v>
      </c>
      <c r="F6" s="2" t="s">
        <v>76</v>
      </c>
    </row>
    <row r="7" spans="1:19" x14ac:dyDescent="0.25">
      <c r="A7" s="1" t="s">
        <v>108</v>
      </c>
      <c r="B7" s="2">
        <f>SUM(D13:D200)</f>
        <v>800</v>
      </c>
      <c r="F7" s="2">
        <f>COUNTIF(F11:F200,"&gt;0")</f>
        <v>10</v>
      </c>
    </row>
    <row r="8" spans="1:19" x14ac:dyDescent="0.25">
      <c r="A8" s="13">
        <f ca="1">OFFSET(A10,A9,0)</f>
        <v>43313</v>
      </c>
      <c r="B8" s="14">
        <f t="shared" ref="B8:M8" ca="1" si="0">OFFSET(B10,B9,0)</f>
        <v>43306</v>
      </c>
      <c r="C8" s="14">
        <f t="shared" ca="1" si="0"/>
        <v>43335</v>
      </c>
      <c r="D8" s="15">
        <f t="shared" ca="1" si="0"/>
        <v>100</v>
      </c>
      <c r="E8" s="16">
        <f t="shared" ca="1" si="0"/>
        <v>1.0500000000000001E-2</v>
      </c>
      <c r="F8" s="15">
        <f t="shared" ca="1" si="0"/>
        <v>89.88</v>
      </c>
      <c r="G8" s="15">
        <f t="shared" ca="1" si="0"/>
        <v>89.88</v>
      </c>
      <c r="H8" s="15">
        <f t="shared" ca="1" si="0"/>
        <v>0</v>
      </c>
      <c r="I8" s="15">
        <f t="shared" ca="1" si="0"/>
        <v>0</v>
      </c>
      <c r="J8" s="14">
        <f t="shared" ca="1" si="0"/>
        <v>43368</v>
      </c>
      <c r="K8" s="31">
        <f t="shared" ca="1" si="0"/>
        <v>164</v>
      </c>
      <c r="L8" s="30">
        <f t="shared" ca="1" si="0"/>
        <v>102.99999999999991</v>
      </c>
      <c r="M8" s="30">
        <f t="shared" ca="1" si="0"/>
        <v>474</v>
      </c>
      <c r="N8" s="36" t="str">
        <f ca="1">OFFSET(N10,N9,0)</f>
        <v>dia 1/6 enviar novo pagseguro - libera 1/6</v>
      </c>
    </row>
    <row r="9" spans="1:19" x14ac:dyDescent="0.25">
      <c r="A9" s="1">
        <f>COUNTA(A11:A200)</f>
        <v>10</v>
      </c>
      <c r="B9" s="1">
        <f t="shared" ref="B9:N9" si="1">COUNTA(B11:B200)</f>
        <v>10</v>
      </c>
      <c r="C9" s="1">
        <f t="shared" si="1"/>
        <v>10</v>
      </c>
      <c r="D9" s="1">
        <f t="shared" si="1"/>
        <v>10</v>
      </c>
      <c r="E9" s="1">
        <f t="shared" si="1"/>
        <v>10</v>
      </c>
      <c r="F9" s="1">
        <f t="shared" si="1"/>
        <v>10</v>
      </c>
      <c r="G9" s="1">
        <f t="shared" si="1"/>
        <v>10</v>
      </c>
      <c r="H9" s="1">
        <f t="shared" si="1"/>
        <v>10</v>
      </c>
      <c r="I9" s="1">
        <f t="shared" si="1"/>
        <v>10</v>
      </c>
      <c r="J9" s="1">
        <f t="shared" si="1"/>
        <v>10</v>
      </c>
      <c r="K9" s="1">
        <f t="shared" si="1"/>
        <v>10</v>
      </c>
      <c r="L9" s="1">
        <f t="shared" si="1"/>
        <v>10</v>
      </c>
      <c r="M9" s="1">
        <f t="shared" si="1"/>
        <v>10</v>
      </c>
      <c r="N9" s="1">
        <f t="shared" si="1"/>
        <v>5</v>
      </c>
    </row>
    <row r="10" spans="1:19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9" x14ac:dyDescent="0.25">
      <c r="A11" s="8">
        <v>43040</v>
      </c>
      <c r="B11" s="9">
        <v>43034</v>
      </c>
      <c r="C11" s="9">
        <v>43063</v>
      </c>
      <c r="D11" s="2">
        <v>100</v>
      </c>
      <c r="E11" s="11">
        <v>0.04</v>
      </c>
      <c r="F11" s="38">
        <f>G11+H11</f>
        <v>171.2</v>
      </c>
      <c r="G11" s="2">
        <v>171</v>
      </c>
      <c r="H11" s="2">
        <v>0.2</v>
      </c>
      <c r="I11" s="2">
        <v>0.2</v>
      </c>
      <c r="J11" s="9">
        <v>43460</v>
      </c>
      <c r="K11" s="2">
        <v>0</v>
      </c>
      <c r="L11" s="2">
        <v>0</v>
      </c>
      <c r="M11" s="2">
        <v>0</v>
      </c>
      <c r="N11" s="9">
        <v>43133</v>
      </c>
    </row>
    <row r="12" spans="1:19" ht="14.4" x14ac:dyDescent="0.3">
      <c r="A12" s="8">
        <v>43070</v>
      </c>
      <c r="B12" s="9">
        <v>43063</v>
      </c>
      <c r="C12" s="9">
        <v>43095</v>
      </c>
      <c r="D12" s="2">
        <v>100</v>
      </c>
      <c r="E12" s="12">
        <v>1.2500000000000001E-2</v>
      </c>
      <c r="F12" s="20">
        <f>G12+H12</f>
        <v>110</v>
      </c>
      <c r="G12" s="2">
        <v>110</v>
      </c>
      <c r="H12" s="20">
        <v>0</v>
      </c>
      <c r="I12" s="2">
        <v>0.2</v>
      </c>
      <c r="J12" s="9">
        <v>43124</v>
      </c>
      <c r="K12" s="2">
        <v>178</v>
      </c>
      <c r="L12" s="32">
        <v>175.59999999999997</v>
      </c>
      <c r="M12" s="32">
        <v>56</v>
      </c>
      <c r="N12" s="2" t="s">
        <v>80</v>
      </c>
      <c r="P12" s="2">
        <f t="shared" ref="P12" si="2">(C12-B12)*24</f>
        <v>768</v>
      </c>
      <c r="Q12" s="59">
        <f t="shared" ref="Q12" si="3">M12/P12</f>
        <v>7.2916666666666671E-2</v>
      </c>
      <c r="R12" s="2">
        <f t="shared" ref="R12" si="4">L12*(1+Q12)</f>
        <v>188.40416666666664</v>
      </c>
      <c r="S12" s="2">
        <f t="shared" ref="S12" si="5">K12/R12</f>
        <v>0.94477740672755839</v>
      </c>
    </row>
    <row r="13" spans="1:19" x14ac:dyDescent="0.25">
      <c r="A13" s="8">
        <v>43101</v>
      </c>
      <c r="B13" s="9">
        <v>43095</v>
      </c>
      <c r="C13" s="9">
        <v>43124</v>
      </c>
      <c r="D13" s="2">
        <v>100</v>
      </c>
      <c r="E13" s="12">
        <v>1.2500000000000001E-2</v>
      </c>
      <c r="F13" s="2">
        <v>95</v>
      </c>
      <c r="G13" s="2">
        <f>F13+0.2</f>
        <v>95.2</v>
      </c>
      <c r="H13" s="2">
        <v>0</v>
      </c>
      <c r="I13" s="2">
        <v>0</v>
      </c>
      <c r="J13" s="9">
        <v>43154</v>
      </c>
      <c r="K13" s="2">
        <v>203</v>
      </c>
      <c r="L13" s="2">
        <v>183.41000000000039</v>
      </c>
      <c r="M13" s="2">
        <v>125</v>
      </c>
      <c r="N13" s="2" t="s">
        <v>102</v>
      </c>
      <c r="P13" s="2">
        <f t="shared" ref="P13:P15" si="6">(C13-B13)*24</f>
        <v>696</v>
      </c>
      <c r="Q13" s="59">
        <f t="shared" ref="Q13:Q15" si="7">M13/P13</f>
        <v>0.17959770114942528</v>
      </c>
      <c r="R13" s="2">
        <f t="shared" ref="R13:R15" si="8">L13*(1+Q13)</f>
        <v>216.35001436781653</v>
      </c>
      <c r="S13" s="2">
        <f t="shared" ref="S13:S15" si="9">K13/R13</f>
        <v>0.9382943680090533</v>
      </c>
    </row>
    <row r="14" spans="1:19" ht="14.4" x14ac:dyDescent="0.3">
      <c r="A14" s="8">
        <v>43132</v>
      </c>
      <c r="B14" s="9">
        <v>43124</v>
      </c>
      <c r="C14" s="9">
        <v>43154</v>
      </c>
      <c r="D14" s="2">
        <v>100</v>
      </c>
      <c r="E14" s="12">
        <v>1.2500000000000001E-2</v>
      </c>
      <c r="F14" s="20">
        <f t="shared" ref="F14:F20" si="10">G14+H14</f>
        <v>119</v>
      </c>
      <c r="G14" s="2">
        <v>119</v>
      </c>
      <c r="H14" s="20">
        <f t="shared" ref="H14:H20" si="11">I14-I13</f>
        <v>0</v>
      </c>
      <c r="I14" s="2">
        <v>0</v>
      </c>
      <c r="J14" s="9">
        <v>43185</v>
      </c>
      <c r="K14" s="2">
        <v>171</v>
      </c>
      <c r="L14" s="53">
        <v>264.18999999999983</v>
      </c>
      <c r="M14" s="53">
        <v>196</v>
      </c>
      <c r="N14" s="2" t="s">
        <v>106</v>
      </c>
      <c r="P14" s="2">
        <f t="shared" si="6"/>
        <v>720</v>
      </c>
      <c r="Q14" s="59">
        <f t="shared" si="7"/>
        <v>0.2722222222222222</v>
      </c>
      <c r="R14" s="2">
        <f t="shared" si="8"/>
        <v>336.10838888888867</v>
      </c>
      <c r="S14" s="2">
        <f t="shared" si="9"/>
        <v>0.50876445115010061</v>
      </c>
    </row>
    <row r="15" spans="1:19" x14ac:dyDescent="0.25">
      <c r="A15" s="8">
        <v>43160</v>
      </c>
      <c r="B15" s="9">
        <v>43154</v>
      </c>
      <c r="C15" s="9">
        <v>43185</v>
      </c>
      <c r="D15" s="2">
        <v>100</v>
      </c>
      <c r="E15" s="12">
        <v>1.2500000000000001E-2</v>
      </c>
      <c r="F15" s="20">
        <f t="shared" si="10"/>
        <v>134</v>
      </c>
      <c r="G15" s="2">
        <v>134</v>
      </c>
      <c r="H15" s="20">
        <f t="shared" si="11"/>
        <v>0</v>
      </c>
      <c r="I15" s="2">
        <v>0</v>
      </c>
      <c r="J15" s="9">
        <v>43214</v>
      </c>
      <c r="K15" s="2">
        <v>194</v>
      </c>
      <c r="L15" s="2">
        <v>343.03999999999968</v>
      </c>
      <c r="M15" s="2">
        <v>43</v>
      </c>
      <c r="N15" s="2" t="s">
        <v>112</v>
      </c>
      <c r="P15" s="2">
        <f t="shared" si="6"/>
        <v>744</v>
      </c>
      <c r="Q15" s="59">
        <f t="shared" si="7"/>
        <v>5.779569892473118E-2</v>
      </c>
      <c r="R15" s="2">
        <f t="shared" si="8"/>
        <v>362.86623655913945</v>
      </c>
      <c r="S15" s="2">
        <f t="shared" si="9"/>
        <v>0.53463227066699592</v>
      </c>
    </row>
    <row r="16" spans="1:19" x14ac:dyDescent="0.25">
      <c r="A16" s="8">
        <v>43191</v>
      </c>
      <c r="B16" s="9">
        <v>43185</v>
      </c>
      <c r="C16" s="9">
        <v>43214</v>
      </c>
      <c r="D16" s="2">
        <v>100</v>
      </c>
      <c r="E16" s="12">
        <v>1.2500000000000001E-2</v>
      </c>
      <c r="F16" s="20">
        <f t="shared" si="10"/>
        <v>110</v>
      </c>
      <c r="G16" s="2">
        <v>110</v>
      </c>
      <c r="H16" s="20">
        <f t="shared" si="11"/>
        <v>0</v>
      </c>
      <c r="I16" s="2">
        <v>0</v>
      </c>
      <c r="J16" s="9">
        <v>43244</v>
      </c>
      <c r="K16" s="2">
        <v>169</v>
      </c>
      <c r="L16" s="2">
        <v>314.61000000000024</v>
      </c>
      <c r="M16" s="2">
        <v>0</v>
      </c>
      <c r="P16" s="2">
        <f t="shared" ref="P16:P17" si="12">(C16-B16)*24</f>
        <v>696</v>
      </c>
      <c r="Q16" s="59">
        <f t="shared" ref="Q16" si="13">M16/P16</f>
        <v>0</v>
      </c>
      <c r="R16" s="2">
        <f t="shared" ref="R16" si="14">L16*(1+Q16)</f>
        <v>314.61000000000024</v>
      </c>
      <c r="S16" s="2">
        <f t="shared" ref="S16" si="15">K16/R16</f>
        <v>0.53717300785098965</v>
      </c>
    </row>
    <row r="17" spans="1:19" x14ac:dyDescent="0.25">
      <c r="A17" s="8">
        <v>43221</v>
      </c>
      <c r="B17" s="9">
        <v>43214</v>
      </c>
      <c r="C17" s="9">
        <v>43244</v>
      </c>
      <c r="D17" s="2">
        <v>100</v>
      </c>
      <c r="E17" s="12">
        <v>1.2500000000000001E-2</v>
      </c>
      <c r="F17" s="20">
        <f t="shared" si="10"/>
        <v>114.5</v>
      </c>
      <c r="G17" s="2">
        <v>114.5</v>
      </c>
      <c r="H17" s="20">
        <f t="shared" si="11"/>
        <v>0</v>
      </c>
      <c r="I17" s="2">
        <v>0</v>
      </c>
      <c r="J17" s="9">
        <v>43276</v>
      </c>
      <c r="K17" s="2">
        <v>155</v>
      </c>
      <c r="L17" s="2">
        <v>242.76000000000028</v>
      </c>
      <c r="M17" s="2">
        <v>53</v>
      </c>
      <c r="P17" s="2">
        <f t="shared" si="12"/>
        <v>720</v>
      </c>
      <c r="Q17" s="59">
        <f t="shared" ref="Q17" si="16">M17/P17</f>
        <v>7.3611111111111113E-2</v>
      </c>
      <c r="R17" s="2">
        <f t="shared" ref="R17:R18" si="17">L17*(1+Q17)</f>
        <v>260.62983333333364</v>
      </c>
      <c r="S17" s="2">
        <f t="shared" ref="S17" si="18">K17/R17</f>
        <v>0.59471319156990787</v>
      </c>
    </row>
    <row r="18" spans="1:19" ht="14.4" x14ac:dyDescent="0.3">
      <c r="A18" s="8">
        <v>43252</v>
      </c>
      <c r="B18" s="9">
        <v>43244</v>
      </c>
      <c r="C18" s="9">
        <v>43276</v>
      </c>
      <c r="D18" s="2">
        <v>100</v>
      </c>
      <c r="E18" s="12">
        <v>1.0500000000000001E-2</v>
      </c>
      <c r="F18" s="20">
        <f t="shared" si="10"/>
        <v>88.62</v>
      </c>
      <c r="G18" s="2">
        <v>88.62</v>
      </c>
      <c r="H18" s="20">
        <f t="shared" si="11"/>
        <v>0</v>
      </c>
      <c r="I18" s="2">
        <v>0</v>
      </c>
      <c r="J18" s="9">
        <v>43306</v>
      </c>
      <c r="K18" s="2">
        <v>146</v>
      </c>
      <c r="L18" s="53">
        <v>103.17999999999999</v>
      </c>
      <c r="M18" s="53">
        <v>141</v>
      </c>
      <c r="P18" s="2">
        <f t="shared" ref="P18:P20" si="19">(C18-B18)*24</f>
        <v>768</v>
      </c>
      <c r="Q18" s="59">
        <f t="shared" ref="Q18" si="20">M18/P18</f>
        <v>0.18359375</v>
      </c>
      <c r="R18" s="2">
        <f t="shared" si="17"/>
        <v>122.12320312499999</v>
      </c>
      <c r="S18" s="2">
        <f t="shared" ref="S18" si="21">K18/R18</f>
        <v>1.1955140076907478</v>
      </c>
    </row>
    <row r="19" spans="1:19" x14ac:dyDescent="0.25">
      <c r="A19" s="8">
        <v>43282</v>
      </c>
      <c r="B19" s="9">
        <v>43276</v>
      </c>
      <c r="C19" s="9">
        <v>43306</v>
      </c>
      <c r="D19" s="2">
        <v>100</v>
      </c>
      <c r="E19" s="12">
        <v>1.0500000000000001E-2</v>
      </c>
      <c r="F19" s="20">
        <f t="shared" si="10"/>
        <v>103.74</v>
      </c>
      <c r="G19" s="2">
        <v>103.74</v>
      </c>
      <c r="H19" s="20">
        <f t="shared" si="11"/>
        <v>0</v>
      </c>
      <c r="I19" s="2">
        <v>0</v>
      </c>
      <c r="J19" s="9">
        <v>43335</v>
      </c>
      <c r="K19" s="2">
        <v>142</v>
      </c>
      <c r="L19" s="2">
        <v>106.1399999999999</v>
      </c>
      <c r="M19" s="2">
        <v>261</v>
      </c>
      <c r="O19" s="2">
        <f>IF(C19&gt;VLOOKUP(A19,'4001950116'!$A$11:$N$200,3,FALSE),VLOOKUP(A19,'4001950116'!$A$11:$N$200,11,FALSE),VLOOKUP(A18,'4001950116'!$A$11:$N$200,11,FALSE))*E19</f>
        <v>103.74000000000001</v>
      </c>
      <c r="P19" s="2">
        <f t="shared" si="19"/>
        <v>720</v>
      </c>
      <c r="Q19" s="59">
        <f t="shared" ref="Q19" si="22">M19/P19</f>
        <v>0.36249999999999999</v>
      </c>
      <c r="R19" s="2">
        <f t="shared" ref="R19" si="23">L19*(1+Q19)</f>
        <v>144.61574999999988</v>
      </c>
      <c r="S19" s="2">
        <f t="shared" ref="S19" si="24">K19/R19</f>
        <v>0.98191241272129848</v>
      </c>
    </row>
    <row r="20" spans="1:19" x14ac:dyDescent="0.25">
      <c r="A20" s="8">
        <v>43313</v>
      </c>
      <c r="B20" s="9">
        <v>43306</v>
      </c>
      <c r="C20" s="9">
        <v>43335</v>
      </c>
      <c r="D20" s="2">
        <v>100</v>
      </c>
      <c r="E20" s="12">
        <v>1.0500000000000001E-2</v>
      </c>
      <c r="F20" s="20">
        <f t="shared" si="10"/>
        <v>89.88</v>
      </c>
      <c r="G20" s="2">
        <v>89.88</v>
      </c>
      <c r="H20" s="20">
        <f t="shared" si="11"/>
        <v>0</v>
      </c>
      <c r="I20" s="2">
        <v>0</v>
      </c>
      <c r="J20" s="9">
        <v>43368</v>
      </c>
      <c r="K20" s="2">
        <v>164</v>
      </c>
      <c r="L20" s="2">
        <v>102.99999999999991</v>
      </c>
      <c r="M20" s="2">
        <v>474</v>
      </c>
      <c r="O20" s="2">
        <f>IF(C20&gt;VLOOKUP(A20,'4001950116'!$A$11:$N$200,3,FALSE),VLOOKUP(A20,'4001950116'!$A$11:$N$200,11,FALSE),VLOOKUP(A19,'4001950116'!$A$11:$N$200,11,FALSE))*E20</f>
        <v>89.88000000000001</v>
      </c>
      <c r="P20" s="2">
        <f t="shared" si="19"/>
        <v>696</v>
      </c>
      <c r="Q20" s="59">
        <f t="shared" ref="Q20" si="25">M20/P20</f>
        <v>0.68103448275862066</v>
      </c>
      <c r="R20" s="2">
        <f t="shared" ref="R20" si="26">L20*(1+Q20)</f>
        <v>173.14655172413777</v>
      </c>
      <c r="S20" s="2">
        <f t="shared" ref="S20" si="27">K20/R20</f>
        <v>0.94717450833955774</v>
      </c>
    </row>
    <row r="21" spans="1:19" x14ac:dyDescent="0.25">
      <c r="B21" s="9"/>
      <c r="C21" s="9"/>
      <c r="J21" s="9"/>
    </row>
    <row r="22" spans="1:19" x14ac:dyDescent="0.25">
      <c r="B22" s="9"/>
      <c r="C22" s="9"/>
      <c r="J22" s="9"/>
    </row>
    <row r="23" spans="1:19" x14ac:dyDescent="0.25">
      <c r="B23" s="9"/>
      <c r="C23" s="9"/>
      <c r="J23" s="9"/>
    </row>
    <row r="24" spans="1:19" x14ac:dyDescent="0.25">
      <c r="B24" s="9"/>
      <c r="C24" s="9"/>
      <c r="J24" s="9"/>
    </row>
    <row r="25" spans="1:19" x14ac:dyDescent="0.25">
      <c r="B25" s="9"/>
      <c r="C25" s="9"/>
      <c r="J25" s="9"/>
    </row>
    <row r="26" spans="1:19" x14ac:dyDescent="0.25">
      <c r="B26" s="9"/>
      <c r="C26" s="9"/>
      <c r="J26" s="9"/>
    </row>
    <row r="27" spans="1:19" x14ac:dyDescent="0.25">
      <c r="B27" s="9"/>
      <c r="C27" s="9"/>
      <c r="J27" s="9"/>
    </row>
    <row r="28" spans="1:19" x14ac:dyDescent="0.25">
      <c r="B28" s="9"/>
      <c r="C28" s="9"/>
      <c r="J28" s="9"/>
    </row>
    <row r="29" spans="1:19" x14ac:dyDescent="0.25">
      <c r="B29" s="9"/>
      <c r="C29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73A-FD6D-4B8D-8F86-778A1CF5C889}">
  <sheetPr codeName="Planilha7">
    <tabColor rgb="FFFFFF00"/>
  </sheetPr>
  <dimension ref="A1:R33"/>
  <sheetViews>
    <sheetView topLeftCell="B1" workbookViewId="0">
      <selection activeCell="P18" sqref="P18"/>
    </sheetView>
  </sheetViews>
  <sheetFormatPr defaultColWidth="8.88671875" defaultRowHeight="13.8" x14ac:dyDescent="0.25"/>
  <cols>
    <col min="1" max="1" width="19" style="1" customWidth="1"/>
    <col min="2" max="2" width="16.6640625" style="2" customWidth="1"/>
    <col min="3" max="10" width="15" style="2" customWidth="1"/>
    <col min="11" max="11" width="10.88671875" style="2" customWidth="1"/>
    <col min="12" max="12" width="11.88671875" style="2" customWidth="1"/>
    <col min="13" max="13" width="10" style="2" customWidth="1"/>
    <col min="14" max="14" width="15.33203125" style="2" customWidth="1"/>
    <col min="15" max="16384" width="8.88671875" style="2"/>
  </cols>
  <sheetData>
    <row r="1" spans="1:18" x14ac:dyDescent="0.25">
      <c r="A1" s="2" t="s">
        <v>4</v>
      </c>
      <c r="B1" s="4" t="s">
        <v>32</v>
      </c>
    </row>
    <row r="2" spans="1:18" x14ac:dyDescent="0.25">
      <c r="A2" s="2" t="s">
        <v>5</v>
      </c>
      <c r="B2" s="5" t="s">
        <v>33</v>
      </c>
      <c r="P2" s="2" t="s">
        <v>83</v>
      </c>
      <c r="Q2" s="2">
        <v>8800</v>
      </c>
      <c r="R2" s="2">
        <f>Q2*E11</f>
        <v>55.44</v>
      </c>
    </row>
    <row r="3" spans="1:18" x14ac:dyDescent="0.25">
      <c r="A3" s="2" t="s">
        <v>6</v>
      </c>
      <c r="B3" s="10">
        <v>2076499308</v>
      </c>
      <c r="P3" s="2" t="s">
        <v>84</v>
      </c>
      <c r="Q3" s="2">
        <v>7600</v>
      </c>
      <c r="R3" s="2">
        <f t="shared" ref="R3:R8" si="0">Q3*E12</f>
        <v>47.88</v>
      </c>
    </row>
    <row r="4" spans="1:18" x14ac:dyDescent="0.25">
      <c r="A4" s="2" t="s">
        <v>7</v>
      </c>
      <c r="B4" s="3">
        <v>43071</v>
      </c>
      <c r="P4" s="2" t="s">
        <v>85</v>
      </c>
      <c r="Q4" s="2">
        <v>9520</v>
      </c>
      <c r="R4" s="2">
        <f t="shared" si="0"/>
        <v>59.975999999999999</v>
      </c>
    </row>
    <row r="5" spans="1:18" x14ac:dyDescent="0.25">
      <c r="A5" s="1" t="s">
        <v>18</v>
      </c>
      <c r="B5" s="20">
        <f>SUM(F11:F200)</f>
        <v>469.24399999999997</v>
      </c>
      <c r="P5" s="2" t="s">
        <v>86</v>
      </c>
      <c r="Q5" s="2">
        <v>10720</v>
      </c>
      <c r="R5" s="2">
        <f t="shared" si="0"/>
        <v>67.536000000000001</v>
      </c>
    </row>
    <row r="6" spans="1:18" x14ac:dyDescent="0.25">
      <c r="A6" s="1" t="s">
        <v>103</v>
      </c>
      <c r="B6" s="2">
        <f>B5-SUM(D11:D200)</f>
        <v>69.243999999999971</v>
      </c>
      <c r="P6" s="2" t="s">
        <v>165</v>
      </c>
      <c r="Q6" s="2">
        <v>8800</v>
      </c>
      <c r="R6" s="2">
        <f t="shared" si="0"/>
        <v>55.44</v>
      </c>
    </row>
    <row r="7" spans="1:18" x14ac:dyDescent="0.25">
      <c r="A7" s="1" t="s">
        <v>108</v>
      </c>
      <c r="B7" s="2">
        <f>SUM(D11:D200)</f>
        <v>400</v>
      </c>
      <c r="F7" s="2">
        <f>COUNTIF(F11:F200,"&gt;0")</f>
        <v>8</v>
      </c>
      <c r="P7" s="2" t="s">
        <v>166</v>
      </c>
      <c r="Q7" s="2">
        <v>9160</v>
      </c>
      <c r="R7" s="2">
        <f t="shared" si="0"/>
        <v>47.631999999999998</v>
      </c>
    </row>
    <row r="8" spans="1:18" x14ac:dyDescent="0.25">
      <c r="A8" s="13">
        <f ca="1">OFFSET(A10,A9,0)</f>
        <v>43313</v>
      </c>
      <c r="B8" s="14">
        <f t="shared" ref="B8:N8" ca="1" si="1">OFFSET(B10,B9,0)</f>
        <v>43297</v>
      </c>
      <c r="C8" s="14">
        <f t="shared" ca="1" si="1"/>
        <v>43326</v>
      </c>
      <c r="D8" s="15">
        <f t="shared" ca="1" si="1"/>
        <v>50</v>
      </c>
      <c r="E8" s="16">
        <f t="shared" ca="1" si="1"/>
        <v>5.3E-3</v>
      </c>
      <c r="F8" s="15">
        <f t="shared" ca="1" si="1"/>
        <v>51.375999999999998</v>
      </c>
      <c r="G8" s="15">
        <f t="shared" ca="1" si="1"/>
        <v>51</v>
      </c>
      <c r="H8" s="15">
        <f t="shared" ca="1" si="1"/>
        <v>0.376</v>
      </c>
      <c r="I8" s="15">
        <f t="shared" ca="1" si="1"/>
        <v>0.376</v>
      </c>
      <c r="J8" s="14">
        <f t="shared" ca="1" si="1"/>
        <v>43357</v>
      </c>
      <c r="K8" s="31">
        <f t="shared" ca="1" si="1"/>
        <v>81</v>
      </c>
      <c r="L8" s="30">
        <f t="shared" ca="1" si="1"/>
        <v>0</v>
      </c>
      <c r="M8" s="30">
        <f t="shared" ca="1" si="1"/>
        <v>0</v>
      </c>
      <c r="N8" s="36">
        <f t="shared" ca="1" si="1"/>
        <v>43253</v>
      </c>
      <c r="P8" s="2" t="s">
        <v>167</v>
      </c>
      <c r="Q8" s="2">
        <v>8440</v>
      </c>
      <c r="R8" s="2">
        <f t="shared" si="0"/>
        <v>43.887999999999998</v>
      </c>
    </row>
    <row r="9" spans="1:18" x14ac:dyDescent="0.25">
      <c r="A9" s="1">
        <f>COUNTA(A11:A200)</f>
        <v>8</v>
      </c>
      <c r="B9" s="1">
        <f t="shared" ref="B9:N9" si="2">COUNTA(B11:B200)</f>
        <v>8</v>
      </c>
      <c r="C9" s="1">
        <f t="shared" si="2"/>
        <v>8</v>
      </c>
      <c r="D9" s="1">
        <f t="shared" si="2"/>
        <v>8</v>
      </c>
      <c r="E9" s="1">
        <f t="shared" si="2"/>
        <v>8</v>
      </c>
      <c r="F9" s="1">
        <f t="shared" si="2"/>
        <v>8</v>
      </c>
      <c r="G9" s="1">
        <f t="shared" si="2"/>
        <v>8</v>
      </c>
      <c r="H9" s="1">
        <f t="shared" si="2"/>
        <v>8</v>
      </c>
      <c r="I9" s="1">
        <f t="shared" si="2"/>
        <v>8</v>
      </c>
      <c r="J9" s="1">
        <f t="shared" si="2"/>
        <v>8</v>
      </c>
      <c r="K9" s="1">
        <f t="shared" si="2"/>
        <v>8</v>
      </c>
      <c r="L9" s="1">
        <f t="shared" si="2"/>
        <v>3</v>
      </c>
      <c r="M9" s="1">
        <f t="shared" si="2"/>
        <v>3</v>
      </c>
      <c r="N9" s="1">
        <f t="shared" si="2"/>
        <v>5</v>
      </c>
      <c r="P9" s="2" t="s">
        <v>168</v>
      </c>
    </row>
    <row r="10" spans="1:18" s="7" customFormat="1" ht="41.4" x14ac:dyDescent="0.3">
      <c r="A10" s="6" t="s">
        <v>8</v>
      </c>
      <c r="B10" s="7" t="s">
        <v>9</v>
      </c>
      <c r="C10" s="7" t="s">
        <v>10</v>
      </c>
      <c r="D10" s="7" t="s">
        <v>1</v>
      </c>
      <c r="E10" s="7" t="s">
        <v>11</v>
      </c>
      <c r="F10" s="7" t="s">
        <v>15</v>
      </c>
      <c r="G10" s="7" t="s">
        <v>12</v>
      </c>
      <c r="H10" s="7" t="s">
        <v>13</v>
      </c>
      <c r="I10" s="7" t="s">
        <v>0</v>
      </c>
      <c r="J10" s="7" t="s">
        <v>14</v>
      </c>
      <c r="K10" s="7" t="s">
        <v>65</v>
      </c>
      <c r="L10" s="7" t="s">
        <v>64</v>
      </c>
      <c r="M10" s="7" t="s">
        <v>66</v>
      </c>
      <c r="N10" s="7" t="s">
        <v>69</v>
      </c>
    </row>
    <row r="11" spans="1:18" x14ac:dyDescent="0.25">
      <c r="A11" s="8">
        <v>43070</v>
      </c>
      <c r="B11" s="9">
        <v>43053</v>
      </c>
      <c r="C11" s="9">
        <v>43084</v>
      </c>
      <c r="D11" s="2">
        <v>50</v>
      </c>
      <c r="E11" s="12">
        <v>6.3E-3</v>
      </c>
      <c r="F11" s="20">
        <f>G11+H11</f>
        <v>85</v>
      </c>
      <c r="G11" s="2">
        <v>51</v>
      </c>
      <c r="H11" s="2">
        <v>34</v>
      </c>
      <c r="I11" s="2">
        <v>34.6</v>
      </c>
      <c r="J11" s="9">
        <v>43115</v>
      </c>
      <c r="K11" s="2">
        <v>0</v>
      </c>
      <c r="L11" s="2">
        <v>0</v>
      </c>
      <c r="M11" s="2">
        <v>0</v>
      </c>
      <c r="N11" s="9">
        <v>43101</v>
      </c>
    </row>
    <row r="12" spans="1:18" x14ac:dyDescent="0.25">
      <c r="A12" s="8">
        <v>43101</v>
      </c>
      <c r="B12" s="9">
        <v>43084</v>
      </c>
      <c r="C12" s="9">
        <v>43115</v>
      </c>
      <c r="D12" s="2">
        <v>50</v>
      </c>
      <c r="E12" s="12">
        <v>6.3E-3</v>
      </c>
      <c r="F12" s="20">
        <v>55.44</v>
      </c>
      <c r="G12" s="2">
        <f>29.4+36.4</f>
        <v>65.8</v>
      </c>
      <c r="H12" s="20">
        <f t="shared" ref="H12:H18" si="3">I12-I11</f>
        <v>-8.5600000000000023</v>
      </c>
      <c r="I12" s="2">
        <v>26.04</v>
      </c>
      <c r="J12" s="9">
        <v>43145</v>
      </c>
      <c r="K12" s="2">
        <v>94</v>
      </c>
      <c r="L12" s="34">
        <v>0</v>
      </c>
      <c r="M12" s="34">
        <v>0</v>
      </c>
      <c r="N12" s="9">
        <v>43132</v>
      </c>
    </row>
    <row r="13" spans="1:18" x14ac:dyDescent="0.25">
      <c r="A13" s="8">
        <v>43132</v>
      </c>
      <c r="B13" s="9">
        <v>43115</v>
      </c>
      <c r="C13" s="9">
        <v>43145</v>
      </c>
      <c r="D13" s="2">
        <v>50</v>
      </c>
      <c r="E13" s="12">
        <v>6.3E-3</v>
      </c>
      <c r="F13" s="20">
        <f t="shared" ref="F13:F18" si="4">G13+H13</f>
        <v>47.88</v>
      </c>
      <c r="G13" s="2">
        <f>42.96+26.04</f>
        <v>69</v>
      </c>
      <c r="H13" s="20">
        <f t="shared" si="3"/>
        <v>-21.119999999999997</v>
      </c>
      <c r="I13" s="2">
        <v>4.92</v>
      </c>
      <c r="J13" s="9">
        <v>43174</v>
      </c>
      <c r="K13" s="2">
        <v>99</v>
      </c>
      <c r="L13" s="2">
        <v>0</v>
      </c>
      <c r="M13" s="2">
        <v>0</v>
      </c>
      <c r="N13" s="9">
        <v>43192</v>
      </c>
    </row>
    <row r="14" spans="1:18" x14ac:dyDescent="0.25">
      <c r="A14" s="8">
        <v>43191</v>
      </c>
      <c r="B14" s="9">
        <v>43174</v>
      </c>
      <c r="C14" s="9">
        <v>43203</v>
      </c>
      <c r="D14" s="2">
        <v>50</v>
      </c>
      <c r="E14" s="12">
        <v>6.3E-3</v>
      </c>
      <c r="F14" s="20">
        <f t="shared" si="4"/>
        <v>72.512</v>
      </c>
      <c r="G14" s="2">
        <f>51.104+9.896</f>
        <v>61</v>
      </c>
      <c r="H14" s="20">
        <f t="shared" si="3"/>
        <v>11.511999999999999</v>
      </c>
      <c r="I14" s="2">
        <v>16.431999999999999</v>
      </c>
      <c r="J14" s="9">
        <v>43235</v>
      </c>
      <c r="K14" s="2">
        <v>91</v>
      </c>
      <c r="N14" s="9">
        <v>43223</v>
      </c>
    </row>
    <row r="15" spans="1:18" x14ac:dyDescent="0.25">
      <c r="A15" s="8">
        <v>43221</v>
      </c>
      <c r="B15" s="9">
        <v>43203</v>
      </c>
      <c r="C15" s="9">
        <v>43235</v>
      </c>
      <c r="D15" s="2">
        <v>50</v>
      </c>
      <c r="E15" s="12">
        <v>6.3E-3</v>
      </c>
      <c r="F15" s="20">
        <f t="shared" si="4"/>
        <v>55.44</v>
      </c>
      <c r="G15" s="2">
        <f>48.568+16.432</f>
        <v>65</v>
      </c>
      <c r="H15" s="20">
        <f t="shared" si="3"/>
        <v>-9.5599999999999987</v>
      </c>
      <c r="I15" s="2">
        <v>6.8719999999999999</v>
      </c>
      <c r="J15" s="9">
        <v>43265</v>
      </c>
      <c r="K15" s="2">
        <v>95</v>
      </c>
      <c r="N15" s="9">
        <v>43253</v>
      </c>
    </row>
    <row r="16" spans="1:18" x14ac:dyDescent="0.25">
      <c r="A16" s="8">
        <v>43252</v>
      </c>
      <c r="B16" s="9">
        <v>43235</v>
      </c>
      <c r="C16" s="9">
        <v>43265</v>
      </c>
      <c r="D16" s="2">
        <v>50</v>
      </c>
      <c r="E16" s="12">
        <v>5.1999999999999998E-3</v>
      </c>
      <c r="F16" s="20">
        <f t="shared" si="4"/>
        <v>57.707999999999998</v>
      </c>
      <c r="G16" s="2">
        <f>52.128+6.872</f>
        <v>59</v>
      </c>
      <c r="H16" s="20">
        <f t="shared" si="3"/>
        <v>-1.2919999999999998</v>
      </c>
      <c r="I16" s="2">
        <v>5.58</v>
      </c>
      <c r="J16" s="9">
        <v>43297</v>
      </c>
      <c r="K16" s="2">
        <v>89</v>
      </c>
    </row>
    <row r="17" spans="1:15" x14ac:dyDescent="0.25">
      <c r="A17" s="8">
        <v>43282</v>
      </c>
      <c r="B17" s="9">
        <v>43265</v>
      </c>
      <c r="C17" s="9">
        <v>43297</v>
      </c>
      <c r="D17" s="2">
        <v>50</v>
      </c>
      <c r="E17" s="12">
        <v>5.1999999999999998E-3</v>
      </c>
      <c r="F17" s="20">
        <f t="shared" si="4"/>
        <v>43.887999999999998</v>
      </c>
      <c r="G17" s="2">
        <f>43.888+5.58</f>
        <v>49.467999999999996</v>
      </c>
      <c r="H17" s="20">
        <f t="shared" si="3"/>
        <v>-5.58</v>
      </c>
      <c r="I17" s="2">
        <v>0</v>
      </c>
      <c r="J17" s="9">
        <v>43326</v>
      </c>
      <c r="K17" s="2">
        <v>92</v>
      </c>
    </row>
    <row r="18" spans="1:15" x14ac:dyDescent="0.25">
      <c r="A18" s="8">
        <v>43313</v>
      </c>
      <c r="B18" s="9">
        <v>43297</v>
      </c>
      <c r="C18" s="9">
        <v>43326</v>
      </c>
      <c r="D18" s="2">
        <v>50</v>
      </c>
      <c r="E18" s="12">
        <v>5.3E-3</v>
      </c>
      <c r="F18" s="20">
        <f t="shared" si="4"/>
        <v>51.375999999999998</v>
      </c>
      <c r="G18" s="2">
        <v>51</v>
      </c>
      <c r="H18" s="20">
        <f t="shared" si="3"/>
        <v>0.376</v>
      </c>
      <c r="I18" s="2">
        <v>0.376</v>
      </c>
      <c r="J18" s="9">
        <v>43357</v>
      </c>
      <c r="K18" s="2">
        <v>81</v>
      </c>
      <c r="O18" s="2">
        <f>IF(C18&gt;VLOOKUP(A18,'4001950116'!$A$11:$N$200,3,FALSE),VLOOKUP(A18,'4001950116'!$A$11:$N$200,11,FALSE),VLOOKUP(A17,'4001950116'!$A$11:$N$200,11,FALSE))*E18</f>
        <v>52.363999999999997</v>
      </c>
    </row>
    <row r="19" spans="1:15" x14ac:dyDescent="0.25">
      <c r="B19" s="9"/>
      <c r="C19" s="9"/>
      <c r="J19" s="9"/>
    </row>
    <row r="20" spans="1:15" x14ac:dyDescent="0.25">
      <c r="B20" s="9"/>
      <c r="C20" s="9"/>
      <c r="J20" s="9"/>
    </row>
    <row r="21" spans="1:15" x14ac:dyDescent="0.25">
      <c r="B21" s="9"/>
      <c r="C21" s="9"/>
      <c r="J21" s="9"/>
    </row>
    <row r="22" spans="1:15" x14ac:dyDescent="0.25">
      <c r="B22" s="9"/>
      <c r="C22" s="9"/>
      <c r="J22" s="9"/>
    </row>
    <row r="23" spans="1:15" x14ac:dyDescent="0.25">
      <c r="B23" s="9"/>
      <c r="C23" s="9"/>
      <c r="J23" s="9"/>
    </row>
    <row r="24" spans="1:15" x14ac:dyDescent="0.25">
      <c r="B24" s="9"/>
      <c r="C24" s="9"/>
      <c r="J24" s="9"/>
    </row>
    <row r="25" spans="1:15" x14ac:dyDescent="0.25">
      <c r="B25" s="9"/>
      <c r="C25" s="9"/>
      <c r="J25" s="9"/>
    </row>
    <row r="26" spans="1:15" x14ac:dyDescent="0.25">
      <c r="B26" s="9"/>
      <c r="C26" s="9"/>
      <c r="J26" s="9"/>
    </row>
    <row r="27" spans="1:15" x14ac:dyDescent="0.25">
      <c r="B27" s="9"/>
      <c r="C27" s="9"/>
      <c r="J27" s="9"/>
    </row>
    <row r="28" spans="1:15" x14ac:dyDescent="0.25">
      <c r="B28" s="9"/>
      <c r="C28" s="9"/>
      <c r="J28" s="9"/>
    </row>
    <row r="29" spans="1:15" x14ac:dyDescent="0.25">
      <c r="B29" s="9"/>
      <c r="C29" s="9"/>
      <c r="J29" s="9"/>
    </row>
    <row r="30" spans="1:15" x14ac:dyDescent="0.25">
      <c r="B30" s="9"/>
      <c r="C30" s="9"/>
      <c r="J30" s="9"/>
    </row>
    <row r="31" spans="1:15" x14ac:dyDescent="0.25">
      <c r="B31" s="9"/>
      <c r="C31" s="9"/>
      <c r="J31" s="9"/>
    </row>
    <row r="32" spans="1:15" x14ac:dyDescent="0.25">
      <c r="B32" s="9"/>
      <c r="C32" s="9"/>
      <c r="J32" s="9"/>
    </row>
    <row r="33" spans="10:10" x14ac:dyDescent="0.25">
      <c r="J33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50</vt:i4>
      </vt:variant>
    </vt:vector>
  </HeadingPairs>
  <TitlesOfParts>
    <vt:vector size="50" baseType="lpstr">
      <vt:lpstr>Alocação Jun-18</vt:lpstr>
      <vt:lpstr>Acompanhamento</vt:lpstr>
      <vt:lpstr>Planilha1</vt:lpstr>
      <vt:lpstr>4001912941</vt:lpstr>
      <vt:lpstr>2082483477</vt:lpstr>
      <vt:lpstr>2002764784</vt:lpstr>
      <vt:lpstr>2022806598</vt:lpstr>
      <vt:lpstr>4000332114</vt:lpstr>
      <vt:lpstr>2076499308</vt:lpstr>
      <vt:lpstr>2096000791</vt:lpstr>
      <vt:lpstr>2021510989</vt:lpstr>
      <vt:lpstr>2094430918</vt:lpstr>
      <vt:lpstr>4000016164</vt:lpstr>
      <vt:lpstr>2020707291</vt:lpstr>
      <vt:lpstr>2021874891</vt:lpstr>
      <vt:lpstr>2021507732</vt:lpstr>
      <vt:lpstr>2083993169</vt:lpstr>
      <vt:lpstr>2002369052</vt:lpstr>
      <vt:lpstr>2024636746</vt:lpstr>
      <vt:lpstr>2095370447</vt:lpstr>
      <vt:lpstr>2020707304</vt:lpstr>
      <vt:lpstr>2094715921</vt:lpstr>
      <vt:lpstr>2020565933</vt:lpstr>
      <vt:lpstr>2020565925</vt:lpstr>
      <vt:lpstr>2023301279</vt:lpstr>
      <vt:lpstr>2096377569</vt:lpstr>
      <vt:lpstr>2021489297</vt:lpstr>
      <vt:lpstr>4000744926</vt:lpstr>
      <vt:lpstr>2095645349</vt:lpstr>
      <vt:lpstr>4000322911</vt:lpstr>
      <vt:lpstr>2023657588</vt:lpstr>
      <vt:lpstr>2081906269</vt:lpstr>
      <vt:lpstr>4001739070</vt:lpstr>
      <vt:lpstr>2022489622</vt:lpstr>
      <vt:lpstr>2027542238</vt:lpstr>
      <vt:lpstr>4000103128</vt:lpstr>
      <vt:lpstr>2021015171</vt:lpstr>
      <vt:lpstr>2089356314</vt:lpstr>
      <vt:lpstr>2092281541</vt:lpstr>
      <vt:lpstr>2020708769</vt:lpstr>
      <vt:lpstr>4000166813</vt:lpstr>
      <vt:lpstr>2023788763</vt:lpstr>
      <vt:lpstr>2023733187</vt:lpstr>
      <vt:lpstr>2021334722</vt:lpstr>
      <vt:lpstr>4001162864</vt:lpstr>
      <vt:lpstr>2022844457</vt:lpstr>
      <vt:lpstr>2091065836</vt:lpstr>
      <vt:lpstr>2021226580</vt:lpstr>
      <vt:lpstr>2091065828</vt:lpstr>
      <vt:lpstr>4001950116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Januario</dc:creator>
  <cp:lastModifiedBy>Alexandra Januario</cp:lastModifiedBy>
  <cp:lastPrinted>2018-04-17T13:39:52Z</cp:lastPrinted>
  <dcterms:created xsi:type="dcterms:W3CDTF">2018-01-10T18:50:34Z</dcterms:created>
  <dcterms:modified xsi:type="dcterms:W3CDTF">2018-09-17T16:29:16Z</dcterms:modified>
</cp:coreProperties>
</file>