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queryTables/queryTable28.xml" ContentType="application/vnd.openxmlformats-officedocument.spreadsheetml.queryTable+xml"/>
  <Override PartName="/xl/tables/table30.xml" ContentType="application/vnd.openxmlformats-officedocument.spreadsheetml.table+xml"/>
  <Override PartName="/xl/queryTables/queryTable29.xml" ContentType="application/vnd.openxmlformats-officedocument.spreadsheetml.queryTable+xml"/>
  <Override PartName="/xl/tables/table31.xml" ContentType="application/vnd.openxmlformats-officedocument.spreadsheetml.table+xml"/>
  <Override PartName="/xl/queryTables/queryTable30.xml" ContentType="application/vnd.openxmlformats-officedocument.spreadsheetml.queryTable+xml"/>
  <Override PartName="/xl/tables/table32.xml" ContentType="application/vnd.openxmlformats-officedocument.spreadsheetml.table+xml"/>
  <Override PartName="/xl/queryTables/queryTable31.xml" ContentType="application/vnd.openxmlformats-officedocument.spreadsheetml.queryTable+xml"/>
  <Override PartName="/xl/tables/table33.xml" ContentType="application/vnd.openxmlformats-officedocument.spreadsheetml.table+xml"/>
  <Override PartName="/xl/queryTables/queryTable32.xml" ContentType="application/vnd.openxmlformats-officedocument.spreadsheetml.queryTable+xml"/>
  <Override PartName="/xl/tables/table34.xml" ContentType="application/vnd.openxmlformats-officedocument.spreadsheetml.table+xml"/>
  <Override PartName="/xl/queryTables/queryTable33.xml" ContentType="application/vnd.openxmlformats-officedocument.spreadsheetml.queryTable+xml"/>
  <Override PartName="/xl/tables/table35.xml" ContentType="application/vnd.openxmlformats-officedocument.spreadsheetml.table+xml"/>
  <Override PartName="/xl/queryTables/queryTable34.xml" ContentType="application/vnd.openxmlformats-officedocument.spreadsheetml.queryTable+xml"/>
  <Override PartName="/xl/tables/table36.xml" ContentType="application/vnd.openxmlformats-officedocument.spreadsheetml.table+xml"/>
  <Override PartName="/xl/queryTables/queryTable35.xml" ContentType="application/vnd.openxmlformats-officedocument.spreadsheetml.queryTable+xml"/>
  <Override PartName="/xl/tables/table37.xml" ContentType="application/vnd.openxmlformats-officedocument.spreadsheetml.table+xml"/>
  <Override PartName="/xl/queryTables/queryTable36.xml" ContentType="application/vnd.openxmlformats-officedocument.spreadsheetml.queryTable+xml"/>
  <Override PartName="/xl/tables/table38.xml" ContentType="application/vnd.openxmlformats-officedocument.spreadsheetml.table+xml"/>
  <Override PartName="/xl/queryTables/queryTable37.xml" ContentType="application/vnd.openxmlformats-officedocument.spreadsheetml.queryTable+xml"/>
  <Override PartName="/xl/tables/table39.xml" ContentType="application/vnd.openxmlformats-officedocument.spreadsheetml.table+xml"/>
  <Override PartName="/xl/queryTables/queryTable38.xml" ContentType="application/vnd.openxmlformats-officedocument.spreadsheetml.queryTable+xml"/>
  <Override PartName="/xl/tables/table40.xml" ContentType="application/vnd.openxmlformats-officedocument.spreadsheetml.table+xml"/>
  <Override PartName="/xl/queryTables/queryTable39.xml" ContentType="application/vnd.openxmlformats-officedocument.spreadsheetml.queryTable+xml"/>
  <Override PartName="/xl/tables/table41.xml" ContentType="application/vnd.openxmlformats-officedocument.spreadsheetml.table+xml"/>
  <Override PartName="/xl/queryTables/queryTable40.xml" ContentType="application/vnd.openxmlformats-officedocument.spreadsheetml.queryTable+xml"/>
  <Override PartName="/xl/tables/table42.xml" ContentType="application/vnd.openxmlformats-officedocument.spreadsheetml.table+xml"/>
  <Override PartName="/xl/queryTables/queryTable41.xml" ContentType="application/vnd.openxmlformats-officedocument.spreadsheetml.queryTable+xml"/>
  <Override PartName="/xl/tables/table43.xml" ContentType="application/vnd.openxmlformats-officedocument.spreadsheetml.table+xml"/>
  <Override PartName="/xl/queryTables/queryTable42.xml" ContentType="application/vnd.openxmlformats-officedocument.spreadsheetml.queryTable+xml"/>
  <Override PartName="/xl/tables/table44.xml" ContentType="application/vnd.openxmlformats-officedocument.spreadsheetml.table+xml"/>
  <Override PartName="/xl/queryTables/queryTable43.xml" ContentType="application/vnd.openxmlformats-officedocument.spreadsheetml.queryTable+xml"/>
  <Override PartName="/xl/tables/table45.xml" ContentType="application/vnd.openxmlformats-officedocument.spreadsheetml.table+xml"/>
  <Override PartName="/xl/queryTables/queryTable44.xml" ContentType="application/vnd.openxmlformats-officedocument.spreadsheetml.queryTable+xml"/>
  <Override PartName="/xl/tables/table46.xml" ContentType="application/vnd.openxmlformats-officedocument.spreadsheetml.table+xml"/>
  <Override PartName="/xl/queryTables/queryTable45.xml" ContentType="application/vnd.openxmlformats-officedocument.spreadsheetml.queryTable+xml"/>
  <Override PartName="/xl/tables/table47.xml" ContentType="application/vnd.openxmlformats-officedocument.spreadsheetml.table+xml"/>
  <Override PartName="/xl/queryTables/queryTable46.xml" ContentType="application/vnd.openxmlformats-officedocument.spreadsheetml.queryTable+xml"/>
  <Override PartName="/xl/tables/table48.xml" ContentType="application/vnd.openxmlformats-officedocument.spreadsheetml.table+xml"/>
  <Override PartName="/xl/queryTables/queryTable47.xml" ContentType="application/vnd.openxmlformats-officedocument.spreadsheetml.queryTable+xml"/>
  <Override PartName="/xl/tables/table49.xml" ContentType="application/vnd.openxmlformats-officedocument.spreadsheetml.table+xml"/>
  <Override PartName="/xl/queryTables/queryTable48.xml" ContentType="application/vnd.openxmlformats-officedocument.spreadsheetml.queryTable+xml"/>
  <Override PartName="/xl/tables/table50.xml" ContentType="application/vnd.openxmlformats-officedocument.spreadsheetml.table+xml"/>
  <Override PartName="/xl/queryTables/queryTable49.xml" ContentType="application/vnd.openxmlformats-officedocument.spreadsheetml.queryTable+xml"/>
  <Override PartName="/xl/tables/table51.xml" ContentType="application/vnd.openxmlformats-officedocument.spreadsheetml.table+xml"/>
  <Override PartName="/xl/queryTables/queryTable50.xml" ContentType="application/vnd.openxmlformats-officedocument.spreadsheetml.queryTable+xml"/>
  <Override PartName="/xl/tables/table52.xml" ContentType="application/vnd.openxmlformats-officedocument.spreadsheetml.table+xml"/>
  <Override PartName="/xl/queryTables/queryTable51.xml" ContentType="application/vnd.openxmlformats-officedocument.spreadsheetml.queryTable+xml"/>
  <Override PartName="/xl/tables/table53.xml" ContentType="application/vnd.openxmlformats-officedocument.spreadsheetml.table+xml"/>
  <Override PartName="/xl/queryTables/queryTable52.xml" ContentType="application/vnd.openxmlformats-officedocument.spreadsheetml.queryTable+xml"/>
  <Override PartName="/xl/tables/table54.xml" ContentType="application/vnd.openxmlformats-officedocument.spreadsheetml.table+xml"/>
  <Override PartName="/xl/queryTables/queryTable53.xml" ContentType="application/vnd.openxmlformats-officedocument.spreadsheetml.queryTable+xml"/>
  <Override PartName="/xl/tables/table55.xml" ContentType="application/vnd.openxmlformats-officedocument.spreadsheetml.table+xml"/>
  <Override PartName="/xl/queryTables/queryTable54.xml" ContentType="application/vnd.openxmlformats-officedocument.spreadsheetml.queryTable+xml"/>
  <Override PartName="/xl/tables/table56.xml" ContentType="application/vnd.openxmlformats-officedocument.spreadsheetml.table+xml"/>
  <Override PartName="/xl/queryTables/queryTable55.xml" ContentType="application/vnd.openxmlformats-officedocument.spreadsheetml.queryTable+xml"/>
  <Override PartName="/xl/tables/table57.xml" ContentType="application/vnd.openxmlformats-officedocument.spreadsheetml.table+xml"/>
  <Override PartName="/xl/queryTables/queryTable56.xml" ContentType="application/vnd.openxmlformats-officedocument.spreadsheetml.queryTable+xml"/>
  <Override PartName="/xl/tables/table58.xml" ContentType="application/vnd.openxmlformats-officedocument.spreadsheetml.table+xml"/>
  <Override PartName="/xl/queryTables/queryTable57.xml" ContentType="application/vnd.openxmlformats-officedocument.spreadsheetml.queryTable+xml"/>
  <Override PartName="/xl/tables/table59.xml" ContentType="application/vnd.openxmlformats-officedocument.spreadsheetml.table+xml"/>
  <Override PartName="/xl/queryTables/queryTable58.xml" ContentType="application/vnd.openxmlformats-officedocument.spreadsheetml.queryTable+xml"/>
  <Override PartName="/xl/tables/table60.xml" ContentType="application/vnd.openxmlformats-officedocument.spreadsheetml.table+xml"/>
  <Override PartName="/xl/queryTables/queryTable59.xml" ContentType="application/vnd.openxmlformats-officedocument.spreadsheetml.queryTable+xml"/>
  <Override PartName="/xl/tables/table61.xml" ContentType="application/vnd.openxmlformats-officedocument.spreadsheetml.table+xml"/>
  <Override PartName="/xl/queryTables/queryTable60.xml" ContentType="application/vnd.openxmlformats-officedocument.spreadsheetml.queryTable+xml"/>
  <Override PartName="/xl/tables/table62.xml" ContentType="application/vnd.openxmlformats-officedocument.spreadsheetml.table+xml"/>
  <Override PartName="/xl/queryTables/queryTable61.xml" ContentType="application/vnd.openxmlformats-officedocument.spreadsheetml.queryTable+xml"/>
  <Override PartName="/xl/tables/table63.xml" ContentType="application/vnd.openxmlformats-officedocument.spreadsheetml.table+xml"/>
  <Override PartName="/xl/queryTables/queryTable62.xml" ContentType="application/vnd.openxmlformats-officedocument.spreadsheetml.queryTable+xml"/>
  <Override PartName="/xl/tables/table64.xml" ContentType="application/vnd.openxmlformats-officedocument.spreadsheetml.table+xml"/>
  <Override PartName="/xl/queryTables/queryTable63.xml" ContentType="application/vnd.openxmlformats-officedocument.spreadsheetml.queryTable+xml"/>
  <Override PartName="/xl/tables/table65.xml" ContentType="application/vnd.openxmlformats-officedocument.spreadsheetml.table+xml"/>
  <Override PartName="/xl/queryTables/queryTable64.xml" ContentType="application/vnd.openxmlformats-officedocument.spreadsheetml.queryTable+xml"/>
  <Override PartName="/xl/tables/table66.xml" ContentType="application/vnd.openxmlformats-officedocument.spreadsheetml.table+xml"/>
  <Override PartName="/xl/queryTables/queryTable65.xml" ContentType="application/vnd.openxmlformats-officedocument.spreadsheetml.queryTable+xml"/>
  <Override PartName="/xl/tables/table67.xml" ContentType="application/vnd.openxmlformats-officedocument.spreadsheetml.table+xml"/>
  <Override PartName="/xl/queryTables/queryTable66.xml" ContentType="application/vnd.openxmlformats-officedocument.spreadsheetml.queryTable+xml"/>
  <Override PartName="/xl/tables/table68.xml" ContentType="application/vnd.openxmlformats-officedocument.spreadsheetml.table+xml"/>
  <Override PartName="/xl/queryTables/queryTable67.xml" ContentType="application/vnd.openxmlformats-officedocument.spreadsheetml.queryTable+xml"/>
  <Override PartName="/xl/tables/table69.xml" ContentType="application/vnd.openxmlformats-officedocument.spreadsheetml.table+xml"/>
  <Override PartName="/xl/queryTables/queryTable68.xml" ContentType="application/vnd.openxmlformats-officedocument.spreadsheetml.queryTable+xml"/>
  <Override PartName="/xl/tables/table70.xml" ContentType="application/vnd.openxmlformats-officedocument.spreadsheetml.table+xml"/>
  <Override PartName="/xl/queryTables/queryTable69.xml" ContentType="application/vnd.openxmlformats-officedocument.spreadsheetml.queryTable+xml"/>
  <Override PartName="/xl/tables/table71.xml" ContentType="application/vnd.openxmlformats-officedocument.spreadsheetml.table+xml"/>
  <Override PartName="/xl/queryTables/queryTable70.xml" ContentType="application/vnd.openxmlformats-officedocument.spreadsheetml.queryTable+xml"/>
  <Override PartName="/xl/tables/table72.xml" ContentType="application/vnd.openxmlformats-officedocument.spreadsheetml.table+xml"/>
  <Override PartName="/xl/queryTables/queryTable71.xml" ContentType="application/vnd.openxmlformats-officedocument.spreadsheetml.queryTable+xml"/>
  <Override PartName="/xl/tables/table73.xml" ContentType="application/vnd.openxmlformats-officedocument.spreadsheetml.table+xml"/>
  <Override PartName="/xl/queryTables/queryTable72.xml" ContentType="application/vnd.openxmlformats-officedocument.spreadsheetml.queryTable+xml"/>
  <Override PartName="/xl/tables/table74.xml" ContentType="application/vnd.openxmlformats-officedocument.spreadsheetml.table+xml"/>
  <Override PartName="/xl/queryTables/queryTable73.xml" ContentType="application/vnd.openxmlformats-officedocument.spreadsheetml.queryTable+xml"/>
  <Override PartName="/xl/tables/table75.xml" ContentType="application/vnd.openxmlformats-officedocument.spreadsheetml.table+xml"/>
  <Override PartName="/xl/queryTables/queryTable74.xml" ContentType="application/vnd.openxmlformats-officedocument.spreadsheetml.queryTable+xml"/>
  <Override PartName="/xl/tables/table76.xml" ContentType="application/vnd.openxmlformats-officedocument.spreadsheetml.table+xml"/>
  <Override PartName="/xl/queryTables/queryTable75.xml" ContentType="application/vnd.openxmlformats-officedocument.spreadsheetml.queryTable+xml"/>
  <Override PartName="/xl/tables/table77.xml" ContentType="application/vnd.openxmlformats-officedocument.spreadsheetml.table+xml"/>
  <Override PartName="/xl/queryTables/queryTable76.xml" ContentType="application/vnd.openxmlformats-officedocument.spreadsheetml.queryTable+xml"/>
  <Override PartName="/xl/tables/table78.xml" ContentType="application/vnd.openxmlformats-officedocument.spreadsheetml.table+xml"/>
  <Override PartName="/xl/queryTables/queryTable77.xml" ContentType="application/vnd.openxmlformats-officedocument.spreadsheetml.queryTable+xml"/>
  <Override PartName="/xl/tables/table79.xml" ContentType="application/vnd.openxmlformats-officedocument.spreadsheetml.table+xml"/>
  <Override PartName="/xl/queryTables/queryTable78.xml" ContentType="application/vnd.openxmlformats-officedocument.spreadsheetml.queryTable+xml"/>
  <Override PartName="/xl/tables/table80.xml" ContentType="application/vnd.openxmlformats-officedocument.spreadsheetml.table+xml"/>
  <Override PartName="/xl/queryTables/queryTable79.xml" ContentType="application/vnd.openxmlformats-officedocument.spreadsheetml.queryTable+xml"/>
  <Override PartName="/xl/tables/table81.xml" ContentType="application/vnd.openxmlformats-officedocument.spreadsheetml.table+xml"/>
  <Override PartName="/xl/queryTables/queryTable80.xml" ContentType="application/vnd.openxmlformats-officedocument.spreadsheetml.queryTable+xml"/>
  <Override PartName="/xl/tables/table82.xml" ContentType="application/vnd.openxmlformats-officedocument.spreadsheetml.table+xml"/>
  <Override PartName="/xl/queryTables/queryTable81.xml" ContentType="application/vnd.openxmlformats-officedocument.spreadsheetml.queryTable+xml"/>
  <Override PartName="/xl/tables/table83.xml" ContentType="application/vnd.openxmlformats-officedocument.spreadsheetml.table+xml"/>
  <Override PartName="/xl/queryTables/queryTable82.xml" ContentType="application/vnd.openxmlformats-officedocument.spreadsheetml.queryTable+xml"/>
  <Override PartName="/xl/tables/table84.xml" ContentType="application/vnd.openxmlformats-officedocument.spreadsheetml.table+xml"/>
  <Override PartName="/xl/queryTables/queryTable83.xml" ContentType="application/vnd.openxmlformats-officedocument.spreadsheetml.queryTable+xml"/>
  <Override PartName="/xl/tables/table85.xml" ContentType="application/vnd.openxmlformats-officedocument.spreadsheetml.table+xml"/>
  <Override PartName="/xl/queryTables/queryTable84.xml" ContentType="application/vnd.openxmlformats-officedocument.spreadsheetml.queryTable+xml"/>
  <Override PartName="/xl/tables/table86.xml" ContentType="application/vnd.openxmlformats-officedocument.spreadsheetml.table+xml"/>
  <Override PartName="/xl/queryTables/queryTable85.xml" ContentType="application/vnd.openxmlformats-officedocument.spreadsheetml.queryTable+xml"/>
  <Override PartName="/xl/tables/table87.xml" ContentType="application/vnd.openxmlformats-officedocument.spreadsheetml.table+xml"/>
  <Override PartName="/xl/queryTables/queryTable86.xml" ContentType="application/vnd.openxmlformats-officedocument.spreadsheetml.queryTable+xml"/>
  <Override PartName="/xl/tables/table88.xml" ContentType="application/vnd.openxmlformats-officedocument.spreadsheetml.table+xml"/>
  <Override PartName="/xl/queryTables/queryTable87.xml" ContentType="application/vnd.openxmlformats-officedocument.spreadsheetml.queryTable+xml"/>
  <Override PartName="/xl/tables/table89.xml" ContentType="application/vnd.openxmlformats-officedocument.spreadsheetml.table+xml"/>
  <Override PartName="/xl/queryTables/queryTable88.xml" ContentType="application/vnd.openxmlformats-officedocument.spreadsheetml.queryTable+xml"/>
  <Override PartName="/xl/tables/table90.xml" ContentType="application/vnd.openxmlformats-officedocument.spreadsheetml.table+xml"/>
  <Override PartName="/xl/queryTables/queryTable89.xml" ContentType="application/vnd.openxmlformats-officedocument.spreadsheetml.queryTable+xml"/>
  <Override PartName="/xl/tables/table91.xml" ContentType="application/vnd.openxmlformats-officedocument.spreadsheetml.table+xml"/>
  <Override PartName="/xl/queryTables/queryTable90.xml" ContentType="application/vnd.openxmlformats-officedocument.spreadsheetml.queryTable+xml"/>
  <Override PartName="/xl/tables/table92.xml" ContentType="application/vnd.openxmlformats-officedocument.spreadsheetml.table+xml"/>
  <Override PartName="/xl/queryTables/queryTable91.xml" ContentType="application/vnd.openxmlformats-officedocument.spreadsheetml.queryTable+xml"/>
  <Override PartName="/xl/tables/table93.xml" ContentType="application/vnd.openxmlformats-officedocument.spreadsheetml.table+xml"/>
  <Override PartName="/xl/queryTables/queryTable92.xml" ContentType="application/vnd.openxmlformats-officedocument.spreadsheetml.queryTable+xml"/>
  <Override PartName="/xl/tables/table94.xml" ContentType="application/vnd.openxmlformats-officedocument.spreadsheetml.table+xml"/>
  <Override PartName="/xl/queryTables/queryTable93.xml" ContentType="application/vnd.openxmlformats-officedocument.spreadsheetml.queryTable+xml"/>
  <Override PartName="/xl/tables/table95.xml" ContentType="application/vnd.openxmlformats-officedocument.spreadsheetml.table+xml"/>
  <Override PartName="/xl/queryTables/queryTable94.xml" ContentType="application/vnd.openxmlformats-officedocument.spreadsheetml.queryTable+xml"/>
  <Override PartName="/xl/tables/table96.xml" ContentType="application/vnd.openxmlformats-officedocument.spreadsheetml.table+xml"/>
  <Override PartName="/xl/queryTables/queryTable95.xml" ContentType="application/vnd.openxmlformats-officedocument.spreadsheetml.queryTable+xml"/>
  <Override PartName="/xl/tables/table97.xml" ContentType="application/vnd.openxmlformats-officedocument.spreadsheetml.table+xml"/>
  <Override PartName="/xl/queryTables/queryTable96.xml" ContentType="application/vnd.openxmlformats-officedocument.spreadsheetml.queryTable+xml"/>
  <Override PartName="/xl/tables/table98.xml" ContentType="application/vnd.openxmlformats-officedocument.spreadsheetml.table+xml"/>
  <Override PartName="/xl/queryTables/queryTable97.xml" ContentType="application/vnd.openxmlformats-officedocument.spreadsheetml.queryTable+xml"/>
  <Override PartName="/xl/tables/table99.xml" ContentType="application/vnd.openxmlformats-officedocument.spreadsheetml.table+xml"/>
  <Override PartName="/xl/queryTables/queryTable98.xml" ContentType="application/vnd.openxmlformats-officedocument.spreadsheetml.queryTable+xml"/>
  <Override PartName="/xl/tables/table100.xml" ContentType="application/vnd.openxmlformats-officedocument.spreadsheetml.table+xml"/>
  <Override PartName="/xl/queryTables/queryTable99.xml" ContentType="application/vnd.openxmlformats-officedocument.spreadsheetml.queryTable+xml"/>
  <Override PartName="/xl/tables/table101.xml" ContentType="application/vnd.openxmlformats-officedocument.spreadsheetml.table+xml"/>
  <Override PartName="/xl/queryTables/queryTable100.xml" ContentType="application/vnd.openxmlformats-officedocument.spreadsheetml.queryTable+xml"/>
  <Override PartName="/xl/tables/table102.xml" ContentType="application/vnd.openxmlformats-officedocument.spreadsheetml.table+xml"/>
  <Override PartName="/xl/queryTables/queryTable10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EBC5EDAC-FCC9-492E-AB52-E9A363CC7A92}" xr6:coauthVersionLast="47" xr6:coauthVersionMax="47" xr10:uidLastSave="{00000000-0000-0000-0000-000000000000}"/>
  <bookViews>
    <workbookView xWindow="-120" yWindow="-120" windowWidth="28095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CurrentDate">AverageVolume!$J$9</definedName>
    <definedName name="ExternalData_1" localSheetId="4" hidden="1">AverageVolume!$B$3:$F$17</definedName>
    <definedName name="ExternalData_1" localSheetId="3" hidden="1">TargetInput!$A$1:$K$7317</definedName>
    <definedName name="ExternalData_101" localSheetId="4" hidden="1">AverageVolume!$B$18:$F$32</definedName>
    <definedName name="ExternalData_102" localSheetId="4" hidden="1">AverageVolume!$B$33:$F$47</definedName>
    <definedName name="ExternalData_103" localSheetId="4" hidden="1">AverageVolume!$B$48:$F$62</definedName>
    <definedName name="ExternalData_104" localSheetId="4" hidden="1">AverageVolume!$B$63:$F$77</definedName>
    <definedName name="ExternalData_105" localSheetId="4" hidden="1">AverageVolume!$B$78:$F$92</definedName>
    <definedName name="ExternalData_106" localSheetId="4" hidden="1">AverageVolume!$B$93:$F$107</definedName>
    <definedName name="ExternalData_107" localSheetId="4" hidden="1">AverageVolume!$B$108:$F$122</definedName>
    <definedName name="ExternalData_108" localSheetId="4" hidden="1">AverageVolume!$B$123:$F$137</definedName>
    <definedName name="ExternalData_109" localSheetId="4" hidden="1">AverageVolume!$B$138:$F$152</definedName>
    <definedName name="ExternalData_110" localSheetId="4" hidden="1">AverageVolume!$B$153:$F$167</definedName>
    <definedName name="ExternalData_111" localSheetId="4" hidden="1">AverageVolume!$B$168:$F$182</definedName>
    <definedName name="ExternalData_112" localSheetId="4" hidden="1">AverageVolume!$B$183:$F$197</definedName>
    <definedName name="ExternalData_113" localSheetId="4" hidden="1">AverageVolume!$B$198:$F$212</definedName>
    <definedName name="ExternalData_114" localSheetId="4" hidden="1">AverageVolume!$B$213:$F$227</definedName>
    <definedName name="ExternalData_115" localSheetId="4" hidden="1">AverageVolume!$B$228:$F$242</definedName>
    <definedName name="ExternalData_116" localSheetId="4" hidden="1">AverageVolume!$B$243:$F$257</definedName>
    <definedName name="ExternalData_117" localSheetId="4" hidden="1">AverageVolume!$B$258:$F$272</definedName>
    <definedName name="ExternalData_118" localSheetId="4" hidden="1">AverageVolume!$B$273:$F$287</definedName>
    <definedName name="ExternalData_119" localSheetId="4" hidden="1">AverageVolume!$B$288:$F$302</definedName>
    <definedName name="ExternalData_120" localSheetId="4" hidden="1">AverageVolume!$B$303:$F$317</definedName>
    <definedName name="ExternalData_121" localSheetId="4" hidden="1">AverageVolume!$B$318:$F$332</definedName>
    <definedName name="ExternalData_122" localSheetId="4" hidden="1">AverageVolume!$B$333:$F$347</definedName>
    <definedName name="ExternalData_123" localSheetId="4" hidden="1">AverageVolume!$B$348:$F$362</definedName>
    <definedName name="ExternalData_124" localSheetId="4" hidden="1">AverageVolume!$B$363:$F$377</definedName>
    <definedName name="ExternalData_125" localSheetId="4" hidden="1">AverageVolume!$B$378:$F$392</definedName>
    <definedName name="ExternalData_126" localSheetId="4" hidden="1">AverageVolume!$B$393:$F$407</definedName>
    <definedName name="ExternalData_127" localSheetId="4" hidden="1">AverageVolume!$B$408:$F$422</definedName>
    <definedName name="ExternalData_128" localSheetId="4" hidden="1">AverageVolume!$B$423:$F$437</definedName>
    <definedName name="ExternalData_129" localSheetId="4" hidden="1">AverageVolume!$B$438:$F$452</definedName>
    <definedName name="ExternalData_130" localSheetId="4" hidden="1">AverageVolume!$B$453:$F$467</definedName>
    <definedName name="ExternalData_131" localSheetId="4" hidden="1">AverageVolume!$B$468:$F$482</definedName>
    <definedName name="ExternalData_132" localSheetId="4" hidden="1">AverageVolume!$B$483:$F$497</definedName>
    <definedName name="ExternalData_133" localSheetId="4" hidden="1">AverageVolume!$B$498:$F$512</definedName>
    <definedName name="ExternalData_134" localSheetId="4" hidden="1">AverageVolume!$B$513:$F$527</definedName>
    <definedName name="ExternalData_135" localSheetId="4" hidden="1">AverageVolume!$B$528:$F$542</definedName>
    <definedName name="ExternalData_136" localSheetId="4" hidden="1">AverageVolume!$B$543:$F$557</definedName>
    <definedName name="ExternalData_137" localSheetId="4" hidden="1">AverageVolume!$B$558:$F$572</definedName>
    <definedName name="ExternalData_138" localSheetId="4" hidden="1">AverageVolume!$B$573:$F$587</definedName>
    <definedName name="ExternalData_139" localSheetId="4" hidden="1">AverageVolume!$B$588:$F$602</definedName>
    <definedName name="ExternalData_140" localSheetId="4" hidden="1">AverageVolume!$B$603:$F$617</definedName>
    <definedName name="ExternalData_141" localSheetId="4" hidden="1">AverageVolume!$B$618:$F$632</definedName>
    <definedName name="ExternalData_142" localSheetId="4" hidden="1">AverageVolume!$B$633:$F$647</definedName>
    <definedName name="ExternalData_143" localSheetId="4" hidden="1">AverageVolume!$B$648:$F$662</definedName>
    <definedName name="ExternalData_144" localSheetId="4" hidden="1">AverageVolume!$B$663:$F$677</definedName>
    <definedName name="ExternalData_145" localSheetId="4" hidden="1">AverageVolume!$B$678:$F$692</definedName>
    <definedName name="ExternalData_146" localSheetId="4" hidden="1">AverageVolume!$B$693:$F$707</definedName>
    <definedName name="ExternalData_147" localSheetId="4" hidden="1">AverageVolume!$B$708:$F$722</definedName>
    <definedName name="ExternalData_148" localSheetId="4" hidden="1">AverageVolume!$B$723:$F$737</definedName>
    <definedName name="ExternalData_149" localSheetId="4" hidden="1">AverageVolume!$B$738:$F$752</definedName>
    <definedName name="ExternalData_150" localSheetId="4" hidden="1">AverageVolume!$B$753:$F$767</definedName>
    <definedName name="ExternalData_151" localSheetId="4" hidden="1">AverageVolume!$B$768:$F$782</definedName>
    <definedName name="ExternalData_152" localSheetId="4" hidden="1">AverageVolume!$B$783:$F$797</definedName>
    <definedName name="ExternalData_153" localSheetId="4" hidden="1">AverageVolume!$B$798:$F$812</definedName>
    <definedName name="ExternalData_154" localSheetId="4" hidden="1">AverageVolume!$B$813:$F$827</definedName>
    <definedName name="ExternalData_155" localSheetId="4" hidden="1">AverageVolume!$B$828:$F$842</definedName>
    <definedName name="ExternalData_156" localSheetId="4" hidden="1">AverageVolume!$B$843:$F$857</definedName>
    <definedName name="ExternalData_157" localSheetId="4" hidden="1">AverageVolume!$B$858:$F$872</definedName>
    <definedName name="ExternalData_158" localSheetId="4" hidden="1">AverageVolume!$B$873:$F$887</definedName>
    <definedName name="ExternalData_159" localSheetId="4" hidden="1">AverageVolume!$B$888:$F$902</definedName>
    <definedName name="ExternalData_160" localSheetId="4" hidden="1">AverageVolume!$B$903:$F$917</definedName>
    <definedName name="ExternalData_161" localSheetId="4" hidden="1">AverageVolume!$B$918:$F$932</definedName>
    <definedName name="ExternalData_162" localSheetId="4" hidden="1">AverageVolume!$B$933:$F$947</definedName>
    <definedName name="ExternalData_163" localSheetId="4" hidden="1">AverageVolume!$B$948:$F$962</definedName>
    <definedName name="ExternalData_164" localSheetId="4" hidden="1">AverageVolume!$B$963:$F$977</definedName>
    <definedName name="ExternalData_165" localSheetId="4" hidden="1">AverageVolume!$B$978:$F$992</definedName>
    <definedName name="ExternalData_166" localSheetId="4" hidden="1">AverageVolume!$B$993:$F$1007</definedName>
    <definedName name="ExternalData_167" localSheetId="4" hidden="1">AverageVolume!$B$1008:$F$1022</definedName>
    <definedName name="ExternalData_168" localSheetId="4" hidden="1">AverageVolume!$B$1023:$F$1037</definedName>
    <definedName name="ExternalData_169" localSheetId="4" hidden="1">AverageVolume!$B$1038:$F$1052</definedName>
    <definedName name="ExternalData_170" localSheetId="4" hidden="1">AverageVolume!$B$1053:$F$1067</definedName>
    <definedName name="ExternalData_171" localSheetId="4" hidden="1">AverageVolume!$B$1068:$F$1082</definedName>
    <definedName name="ExternalData_172" localSheetId="4" hidden="1">AverageVolume!$B$1083:$F$1097</definedName>
    <definedName name="ExternalData_173" localSheetId="4" hidden="1">AverageVolume!$B$1098:$F$1112</definedName>
    <definedName name="ExternalData_174" localSheetId="4" hidden="1">AverageVolume!$B$1113:$F$1127</definedName>
    <definedName name="ExternalData_175" localSheetId="4" hidden="1">AverageVolume!$B$1128:$F$1142</definedName>
    <definedName name="ExternalData_176" localSheetId="4" hidden="1">AverageVolume!$B$1143:$F$1157</definedName>
    <definedName name="ExternalData_177" localSheetId="4" hidden="1">AverageVolume!$B$1158:$F$1172</definedName>
    <definedName name="ExternalData_178" localSheetId="4" hidden="1">AverageVolume!$B$1173:$F$1187</definedName>
    <definedName name="ExternalData_179" localSheetId="4" hidden="1">AverageVolume!$B$1188:$F$1202</definedName>
    <definedName name="ExternalData_180" localSheetId="4" hidden="1">AverageVolume!$B$1203:$F$1217</definedName>
    <definedName name="ExternalData_181" localSheetId="4" hidden="1">AverageVolume!$B$1218:$F$1232</definedName>
    <definedName name="ExternalData_182" localSheetId="4" hidden="1">AverageVolume!$B$1233:$F$1247</definedName>
    <definedName name="ExternalData_183" localSheetId="4" hidden="1">AverageVolume!$B$1248:$F$1262</definedName>
    <definedName name="ExternalData_184" localSheetId="4" hidden="1">AverageVolume!$B$1263:$F$1277</definedName>
    <definedName name="ExternalData_185" localSheetId="4" hidden="1">AverageVolume!$B$1278:$F$1292</definedName>
    <definedName name="ExternalData_186" localSheetId="4" hidden="1">AverageVolume!$B$1293:$F$1307</definedName>
    <definedName name="ExternalData_187" localSheetId="4" hidden="1">AverageVolume!$B$1308:$F$1322</definedName>
    <definedName name="ExternalData_188" localSheetId="4" hidden="1">AverageVolume!$B$1323:$F$1337</definedName>
    <definedName name="ExternalData_189" localSheetId="4" hidden="1">AverageVolume!$B$1338:$F$1352</definedName>
    <definedName name="ExternalData_190" localSheetId="4" hidden="1">AverageVolume!$B$1353:$F$1367</definedName>
    <definedName name="ExternalData_191" localSheetId="4" hidden="1">AverageVolume!$B$1368:$F$1382</definedName>
    <definedName name="ExternalData_192" localSheetId="4" hidden="1">AverageVolume!$B$1383:$F$1397</definedName>
    <definedName name="ExternalData_193" localSheetId="4" hidden="1">AverageVolume!$B$1398:$F$1412</definedName>
    <definedName name="ExternalData_194" localSheetId="4" hidden="1">AverageVolume!$B$1413:$F$1427</definedName>
    <definedName name="ExternalData_195" localSheetId="4" hidden="1">AverageVolume!$B$1428:$F$1442</definedName>
    <definedName name="ExternalData_196" localSheetId="4" hidden="1">AverageVolume!$B$1443:$F$1457</definedName>
    <definedName name="ExternalData_197" localSheetId="4" hidden="1">AverageVolume!$B$1458:$F$1472</definedName>
    <definedName name="ExternalData_198" localSheetId="4" hidden="1">AverageVolume!$B$1473:$F$1487</definedName>
    <definedName name="ExternalData_199" localSheetId="4" hidden="1">AverageVolume!$B$1488:$F$1502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input099">AverageVolume!$A$1473</definedName>
    <definedName name="input100">AverageVolume!$A$1488</definedName>
    <definedName name="Jita">TradeSheet!$BE$44</definedName>
    <definedName name="ShippingCost">TradeSheet!$BG$8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099">AverageVolume!$A$1474</definedName>
    <definedName name="swagURL100">AverageVolume!$A$1489</definedName>
    <definedName name="swagURL3">AverageVolume!$A$34</definedName>
    <definedName name="Target">TradeSheet!$BE$49</definedName>
    <definedName name="TaxRate">TradeSheet!$BG$10</definedName>
    <definedName name="TimeZone">AverageVolume!$J$8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8" l="1"/>
  <c r="G4" i="8"/>
  <c r="G5" i="8"/>
  <c r="G6" i="8"/>
  <c r="G8" i="8"/>
  <c r="G9" i="8"/>
  <c r="G10" i="8"/>
  <c r="G11" i="8"/>
  <c r="G12" i="8"/>
  <c r="G13" i="8"/>
  <c r="G14" i="8"/>
  <c r="G15" i="8"/>
  <c r="G16" i="8"/>
  <c r="G17" i="8"/>
  <c r="J9" i="8"/>
  <c r="A21" i="8" s="1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B35" i="7"/>
  <c r="D35" i="7" s="1"/>
  <c r="B17" i="7"/>
  <c r="D17" i="7" s="1"/>
  <c r="B65" i="7"/>
  <c r="D65" i="7" s="1"/>
  <c r="B357" i="3"/>
  <c r="B270" i="3"/>
  <c r="B181" i="3"/>
  <c r="B95" i="3"/>
  <c r="B5" i="3"/>
  <c r="B47" i="7"/>
  <c r="J7" i="8"/>
  <c r="B1" i="8" s="1"/>
  <c r="H4" i="8" a="1"/>
  <c r="H4" i="8" s="1"/>
  <c r="I1490" i="8" a="1"/>
  <c r="I1490" i="8" s="1"/>
  <c r="I1491" i="8" a="1"/>
  <c r="I1491" i="8" s="1"/>
  <c r="I1492" i="8" a="1"/>
  <c r="I1492" i="8" s="1"/>
  <c r="I1493" i="8" a="1"/>
  <c r="I1493" i="8" s="1"/>
  <c r="I1494" i="8" a="1"/>
  <c r="I1494" i="8" s="1"/>
  <c r="I1495" i="8" a="1"/>
  <c r="I1495" i="8" s="1"/>
  <c r="I1496" i="8" a="1"/>
  <c r="I1496" i="8" s="1"/>
  <c r="I1497" i="8" a="1"/>
  <c r="I1497" i="8" s="1"/>
  <c r="I1498" i="8" a="1"/>
  <c r="I1498" i="8" s="1"/>
  <c r="I1499" i="8" a="1"/>
  <c r="I1499" i="8" s="1"/>
  <c r="I1500" i="8" a="1"/>
  <c r="I1500" i="8" s="1"/>
  <c r="I1501" i="8" a="1"/>
  <c r="I1501" i="8" s="1"/>
  <c r="I1502" i="8" a="1"/>
  <c r="I1502" i="8" s="1"/>
  <c r="I1489" i="8" a="1"/>
  <c r="I1489" i="8" s="1"/>
  <c r="J1490" i="8" a="1"/>
  <c r="J1490" i="8" s="1"/>
  <c r="J1491" i="8" a="1"/>
  <c r="J1491" i="8" s="1"/>
  <c r="J1492" i="8" a="1"/>
  <c r="J1492" i="8" s="1"/>
  <c r="J1493" i="8" a="1"/>
  <c r="J1493" i="8" s="1"/>
  <c r="J1494" i="8" a="1"/>
  <c r="J1494" i="8" s="1"/>
  <c r="J1495" i="8" a="1"/>
  <c r="J1495" i="8" s="1"/>
  <c r="J1496" i="8" a="1"/>
  <c r="J1496" i="8" s="1"/>
  <c r="J1497" i="8" a="1"/>
  <c r="J1497" i="8" s="1"/>
  <c r="J1498" i="8" a="1"/>
  <c r="J1498" i="8" s="1"/>
  <c r="J1499" i="8" a="1"/>
  <c r="J1499" i="8" s="1"/>
  <c r="J1500" i="8" a="1"/>
  <c r="J1500" i="8" s="1"/>
  <c r="J1501" i="8" a="1"/>
  <c r="J1501" i="8" s="1"/>
  <c r="J1502" i="8" a="1"/>
  <c r="J1502" i="8" s="1"/>
  <c r="J1489" i="8" a="1"/>
  <c r="J1489" i="8" s="1"/>
  <c r="A1488" i="8"/>
  <c r="A1494" i="8"/>
  <c r="A1492" i="8"/>
  <c r="A1473" i="8"/>
  <c r="A1479" i="8"/>
  <c r="A1477" i="8"/>
  <c r="A1476" i="8"/>
  <c r="A1458" i="8"/>
  <c r="A1464" i="8"/>
  <c r="A1462" i="8"/>
  <c r="A1461" i="8"/>
  <c r="A1443" i="8"/>
  <c r="A1449" i="8"/>
  <c r="A1447" i="8"/>
  <c r="A1446" i="8"/>
  <c r="A1428" i="8"/>
  <c r="A1434" i="8"/>
  <c r="A1432" i="8"/>
  <c r="A1431" i="8"/>
  <c r="A1413" i="8"/>
  <c r="A1419" i="8"/>
  <c r="A1417" i="8"/>
  <c r="A1416" i="8"/>
  <c r="A1398" i="8"/>
  <c r="A1404" i="8"/>
  <c r="A1402" i="8"/>
  <c r="A1401" i="8"/>
  <c r="A1383" i="8"/>
  <c r="A1389" i="8"/>
  <c r="A1387" i="8"/>
  <c r="A1386" i="8"/>
  <c r="A1368" i="8"/>
  <c r="A1374" i="8"/>
  <c r="A1372" i="8"/>
  <c r="A1371" i="8"/>
  <c r="A1353" i="8"/>
  <c r="A1359" i="8"/>
  <c r="A1357" i="8"/>
  <c r="A1356" i="8"/>
  <c r="A1338" i="8"/>
  <c r="A1344" i="8"/>
  <c r="A1342" i="8"/>
  <c r="A1341" i="8"/>
  <c r="A1323" i="8"/>
  <c r="A1329" i="8"/>
  <c r="A1327" i="8"/>
  <c r="A1326" i="8"/>
  <c r="A1308" i="8"/>
  <c r="A1314" i="8"/>
  <c r="A1312" i="8"/>
  <c r="A1311" i="8"/>
  <c r="A1293" i="8"/>
  <c r="A1299" i="8"/>
  <c r="A1297" i="8"/>
  <c r="A1296" i="8"/>
  <c r="A1278" i="8"/>
  <c r="A1284" i="8"/>
  <c r="A1282" i="8"/>
  <c r="A1281" i="8"/>
  <c r="A1263" i="8"/>
  <c r="A1269" i="8"/>
  <c r="A1267" i="8"/>
  <c r="A1266" i="8"/>
  <c r="A1248" i="8"/>
  <c r="A1254" i="8"/>
  <c r="A1252" i="8"/>
  <c r="A1251" i="8"/>
  <c r="A1233" i="8"/>
  <c r="A1239" i="8"/>
  <c r="A1237" i="8"/>
  <c r="A1236" i="8"/>
  <c r="A1218" i="8"/>
  <c r="A1224" i="8"/>
  <c r="A1222" i="8"/>
  <c r="A1221" i="8"/>
  <c r="A1203" i="8"/>
  <c r="A1209" i="8"/>
  <c r="A1207" i="8"/>
  <c r="A1206" i="8"/>
  <c r="A1188" i="8"/>
  <c r="A1194" i="8"/>
  <c r="A1192" i="8"/>
  <c r="A1191" i="8"/>
  <c r="A1173" i="8"/>
  <c r="A1179" i="8"/>
  <c r="A1177" i="8"/>
  <c r="A1176" i="8"/>
  <c r="A1158" i="8"/>
  <c r="A1164" i="8"/>
  <c r="A1162" i="8"/>
  <c r="A1161" i="8"/>
  <c r="A1143" i="8"/>
  <c r="A1149" i="8"/>
  <c r="A1147" i="8"/>
  <c r="A1146" i="8"/>
  <c r="A1128" i="8"/>
  <c r="A1134" i="8"/>
  <c r="A1132" i="8"/>
  <c r="A1131" i="8"/>
  <c r="B2" i="7"/>
  <c r="B353" i="3"/>
  <c r="B188" i="3"/>
  <c r="B103" i="3"/>
  <c r="B57" i="3"/>
  <c r="B4" i="3"/>
  <c r="A1113" i="8"/>
  <c r="A1119" i="8"/>
  <c r="A1117" i="8"/>
  <c r="A1116" i="8"/>
  <c r="A1098" i="8"/>
  <c r="A1104" i="8"/>
  <c r="A1102" i="8"/>
  <c r="A1101" i="8"/>
  <c r="A1083" i="8"/>
  <c r="A1089" i="8"/>
  <c r="A1087" i="8"/>
  <c r="A1086" i="8"/>
  <c r="A1068" i="8"/>
  <c r="A1074" i="8"/>
  <c r="A1072" i="8"/>
  <c r="A1071" i="8"/>
  <c r="A1053" i="8"/>
  <c r="A1059" i="8"/>
  <c r="A1057" i="8"/>
  <c r="A1056" i="8"/>
  <c r="A1038" i="8"/>
  <c r="A1041" i="8"/>
  <c r="A1042" i="8"/>
  <c r="A1044" i="8"/>
  <c r="A1023" i="8"/>
  <c r="A1029" i="8"/>
  <c r="A1027" i="8"/>
  <c r="A1026" i="8"/>
  <c r="A1008" i="8"/>
  <c r="A1014" i="8"/>
  <c r="A1012" i="8"/>
  <c r="A1011" i="8"/>
  <c r="A993" i="8"/>
  <c r="A999" i="8"/>
  <c r="A997" i="8"/>
  <c r="A996" i="8"/>
  <c r="A978" i="8"/>
  <c r="A984" i="8"/>
  <c r="A982" i="8"/>
  <c r="A981" i="8"/>
  <c r="A963" i="8"/>
  <c r="A969" i="8"/>
  <c r="A967" i="8"/>
  <c r="A966" i="8"/>
  <c r="A948" i="8"/>
  <c r="A954" i="8"/>
  <c r="A952" i="8"/>
  <c r="A951" i="8"/>
  <c r="A933" i="8"/>
  <c r="A939" i="8"/>
  <c r="A937" i="8"/>
  <c r="A936" i="8"/>
  <c r="A918" i="8"/>
  <c r="A924" i="8"/>
  <c r="A922" i="8"/>
  <c r="A921" i="8"/>
  <c r="A903" i="8"/>
  <c r="A909" i="8"/>
  <c r="A907" i="8"/>
  <c r="A906" i="8"/>
  <c r="A888" i="8"/>
  <c r="A894" i="8"/>
  <c r="A892" i="8"/>
  <c r="A891" i="8"/>
  <c r="A873" i="8"/>
  <c r="A879" i="8"/>
  <c r="A877" i="8"/>
  <c r="A876" i="8"/>
  <c r="A858" i="8"/>
  <c r="A864" i="8"/>
  <c r="A862" i="8"/>
  <c r="A861" i="8"/>
  <c r="A843" i="8"/>
  <c r="A849" i="8"/>
  <c r="A847" i="8"/>
  <c r="A846" i="8"/>
  <c r="A828" i="8"/>
  <c r="A834" i="8"/>
  <c r="A832" i="8"/>
  <c r="A831" i="8"/>
  <c r="A813" i="8"/>
  <c r="A819" i="8"/>
  <c r="A817" i="8"/>
  <c r="A816" i="8"/>
  <c r="A798" i="8"/>
  <c r="A804" i="8"/>
  <c r="A802" i="8"/>
  <c r="A801" i="8"/>
  <c r="A783" i="8"/>
  <c r="A789" i="8"/>
  <c r="A787" i="8"/>
  <c r="A786" i="8"/>
  <c r="A768" i="8"/>
  <c r="A774" i="8"/>
  <c r="A772" i="8"/>
  <c r="A771" i="8"/>
  <c r="A753" i="8"/>
  <c r="A759" i="8"/>
  <c r="A757" i="8"/>
  <c r="A756" i="8"/>
  <c r="A738" i="8"/>
  <c r="A744" i="8"/>
  <c r="A742" i="8"/>
  <c r="A741" i="8"/>
  <c r="A723" i="8"/>
  <c r="A729" i="8"/>
  <c r="A727" i="8"/>
  <c r="A726" i="8"/>
  <c r="A708" i="8"/>
  <c r="A714" i="8"/>
  <c r="A712" i="8"/>
  <c r="A711" i="8"/>
  <c r="A693" i="8"/>
  <c r="A699" i="8"/>
  <c r="A697" i="8"/>
  <c r="A696" i="8"/>
  <c r="A678" i="8"/>
  <c r="A684" i="8"/>
  <c r="A682" i="8"/>
  <c r="A681" i="8"/>
  <c r="A663" i="8"/>
  <c r="A669" i="8"/>
  <c r="A667" i="8"/>
  <c r="A666" i="8"/>
  <c r="A648" i="8"/>
  <c r="A654" i="8"/>
  <c r="A652" i="8"/>
  <c r="A651" i="8"/>
  <c r="A633" i="8"/>
  <c r="A639" i="8"/>
  <c r="A637" i="8"/>
  <c r="A636" i="8"/>
  <c r="A618" i="8"/>
  <c r="A624" i="8"/>
  <c r="A622" i="8"/>
  <c r="A621" i="8"/>
  <c r="A603" i="8"/>
  <c r="A609" i="8"/>
  <c r="A607" i="8"/>
  <c r="A606" i="8"/>
  <c r="A588" i="8"/>
  <c r="A594" i="8"/>
  <c r="A592" i="8"/>
  <c r="A591" i="8"/>
  <c r="A573" i="8"/>
  <c r="A579" i="8"/>
  <c r="A577" i="8"/>
  <c r="A576" i="8"/>
  <c r="A558" i="8"/>
  <c r="A564" i="8"/>
  <c r="A562" i="8"/>
  <c r="A561" i="8"/>
  <c r="A543" i="8"/>
  <c r="A549" i="8"/>
  <c r="A547" i="8"/>
  <c r="A546" i="8"/>
  <c r="A528" i="8"/>
  <c r="A534" i="8"/>
  <c r="A532" i="8"/>
  <c r="A531" i="8"/>
  <c r="A513" i="8"/>
  <c r="A519" i="8"/>
  <c r="A517" i="8"/>
  <c r="A516" i="8"/>
  <c r="A498" i="8"/>
  <c r="A504" i="8"/>
  <c r="A502" i="8"/>
  <c r="A501" i="8"/>
  <c r="A483" i="8"/>
  <c r="A489" i="8"/>
  <c r="A487" i="8"/>
  <c r="A486" i="8"/>
  <c r="A468" i="8"/>
  <c r="A474" i="8"/>
  <c r="A472" i="8"/>
  <c r="A471" i="8"/>
  <c r="A453" i="8"/>
  <c r="A459" i="8"/>
  <c r="A457" i="8"/>
  <c r="A456" i="8"/>
  <c r="A438" i="8"/>
  <c r="A444" i="8"/>
  <c r="A442" i="8"/>
  <c r="A441" i="8"/>
  <c r="A423" i="8"/>
  <c r="A429" i="8"/>
  <c r="A427" i="8"/>
  <c r="A426" i="8"/>
  <c r="A408" i="8"/>
  <c r="A393" i="8"/>
  <c r="A414" i="8"/>
  <c r="A412" i="8"/>
  <c r="A411" i="8"/>
  <c r="A399" i="8"/>
  <c r="A397" i="8"/>
  <c r="A396" i="8"/>
  <c r="A378" i="8"/>
  <c r="A384" i="8"/>
  <c r="A382" i="8"/>
  <c r="A381" i="8"/>
  <c r="A363" i="8"/>
  <c r="A369" i="8"/>
  <c r="A367" i="8"/>
  <c r="A366" i="8"/>
  <c r="A348" i="8"/>
  <c r="A354" i="8"/>
  <c r="A352" i="8"/>
  <c r="A351" i="8"/>
  <c r="A333" i="8"/>
  <c r="A339" i="8"/>
  <c r="A337" i="8"/>
  <c r="A336" i="8"/>
  <c r="B2" i="3"/>
  <c r="A318" i="8"/>
  <c r="A324" i="8"/>
  <c r="A322" i="8"/>
  <c r="A321" i="8"/>
  <c r="A303" i="8"/>
  <c r="A309" i="8"/>
  <c r="A307" i="8"/>
  <c r="A306" i="8"/>
  <c r="A288" i="8"/>
  <c r="A294" i="8"/>
  <c r="A292" i="8"/>
  <c r="A291" i="8"/>
  <c r="A273" i="8"/>
  <c r="A258" i="8"/>
  <c r="A243" i="8"/>
  <c r="A228" i="8"/>
  <c r="A213" i="8"/>
  <c r="A198" i="8"/>
  <c r="A183" i="8"/>
  <c r="A168" i="8"/>
  <c r="A153" i="8"/>
  <c r="A138" i="8"/>
  <c r="A123" i="8"/>
  <c r="A108" i="8"/>
  <c r="A93" i="8"/>
  <c r="A78" i="8"/>
  <c r="A63" i="8"/>
  <c r="A48" i="8"/>
  <c r="A33" i="8"/>
  <c r="A18" i="8"/>
  <c r="A3" i="8"/>
  <c r="B3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45" i="7"/>
  <c r="BE39" i="3"/>
  <c r="BE36" i="3"/>
  <c r="A276" i="8" l="1"/>
  <c r="A261" i="8"/>
  <c r="A246" i="8"/>
  <c r="A231" i="8"/>
  <c r="A216" i="8"/>
  <c r="A201" i="8"/>
  <c r="A186" i="8"/>
  <c r="A171" i="8"/>
  <c r="A156" i="8"/>
  <c r="A141" i="8"/>
  <c r="A126" i="8"/>
  <c r="A111" i="8"/>
  <c r="A96" i="8"/>
  <c r="A81" i="8"/>
  <c r="A66" i="8"/>
  <c r="A51" i="8"/>
  <c r="A36" i="8"/>
  <c r="A24" i="8"/>
  <c r="A23" i="8"/>
  <c r="A6" i="8"/>
  <c r="A9" i="8" s="1"/>
  <c r="A1491" i="8"/>
  <c r="J35" i="7"/>
  <c r="I35" i="7"/>
  <c r="K35" i="7" s="1"/>
  <c r="H35" i="7"/>
  <c r="F35" i="7"/>
  <c r="G35" i="7" s="1"/>
  <c r="J17" i="7"/>
  <c r="I17" i="7"/>
  <c r="H17" i="7"/>
  <c r="F17" i="7"/>
  <c r="G17" i="7" s="1"/>
  <c r="J65" i="7"/>
  <c r="I65" i="7"/>
  <c r="H65" i="7"/>
  <c r="F65" i="7"/>
  <c r="G65" i="7" s="1"/>
  <c r="D47" i="7"/>
  <c r="F47" i="7"/>
  <c r="A4" i="8"/>
  <c r="A1414" i="8"/>
  <c r="A784" i="8"/>
  <c r="A1219" i="8"/>
  <c r="A1054" i="8"/>
  <c r="A1384" i="8"/>
  <c r="A1429" i="8"/>
  <c r="A1474" i="8"/>
  <c r="A964" i="8"/>
  <c r="A79" i="8"/>
  <c r="A214" i="8"/>
  <c r="A259" i="8"/>
  <c r="A304" i="8"/>
  <c r="A1249" i="8"/>
  <c r="A484" i="8"/>
  <c r="A664" i="8"/>
  <c r="A1129" i="8"/>
  <c r="A1099" i="8"/>
  <c r="A1339" i="8"/>
  <c r="A124" i="8"/>
  <c r="A349" i="8"/>
  <c r="A619" i="8"/>
  <c r="A889" i="8"/>
  <c r="A979" i="8"/>
  <c r="A1114" i="8"/>
  <c r="A1264" i="8"/>
  <c r="A1354" i="8"/>
  <c r="A919" i="8"/>
  <c r="A1294" i="8"/>
  <c r="A169" i="8"/>
  <c r="A529" i="8"/>
  <c r="A709" i="8"/>
  <c r="A799" i="8"/>
  <c r="A934" i="8"/>
  <c r="A1024" i="8"/>
  <c r="A1309" i="8"/>
  <c r="A19" i="8" a="1"/>
  <c r="A19" i="8" s="1"/>
  <c r="A1444" i="8"/>
  <c r="A1009" i="8"/>
  <c r="A49" i="8"/>
  <c r="A439" i="8"/>
  <c r="A574" i="8"/>
  <c r="A754" i="8"/>
  <c r="A844" i="8"/>
  <c r="A1069" i="8"/>
  <c r="A34" i="8"/>
  <c r="A94" i="8"/>
  <c r="A139" i="8"/>
  <c r="A184" i="8"/>
  <c r="A229" i="8"/>
  <c r="A274" i="8"/>
  <c r="A319" i="8"/>
  <c r="A364" i="8"/>
  <c r="A499" i="8"/>
  <c r="A634" i="8"/>
  <c r="A724" i="8"/>
  <c r="A769" i="8"/>
  <c r="A1144" i="8"/>
  <c r="A874" i="8"/>
  <c r="A544" i="8"/>
  <c r="A859" i="8"/>
  <c r="A1279" i="8"/>
  <c r="A409" i="8"/>
  <c r="A679" i="8"/>
  <c r="A814" i="8"/>
  <c r="A904" i="8"/>
  <c r="A949" i="8"/>
  <c r="A994" i="8"/>
  <c r="A1039" i="8"/>
  <c r="A1084" i="8"/>
  <c r="A1234" i="8"/>
  <c r="A1324" i="8"/>
  <c r="A829" i="8"/>
  <c r="A454" i="8"/>
  <c r="A64" i="8"/>
  <c r="A244" i="8"/>
  <c r="A589" i="8"/>
  <c r="A109" i="8"/>
  <c r="A154" i="8"/>
  <c r="A199" i="8"/>
  <c r="A289" i="8"/>
  <c r="A334" i="8"/>
  <c r="A379" i="8"/>
  <c r="A424" i="8"/>
  <c r="A469" i="8"/>
  <c r="A514" i="8"/>
  <c r="A559" i="8"/>
  <c r="A604" i="8"/>
  <c r="A649" i="8"/>
  <c r="A694" i="8"/>
  <c r="A739" i="8"/>
  <c r="A1159" i="8"/>
  <c r="A1204" i="8"/>
  <c r="A1174" i="8"/>
  <c r="A1399" i="8"/>
  <c r="A1489" i="8"/>
  <c r="A1189" i="8"/>
  <c r="A1369" i="8"/>
  <c r="A1459" i="8"/>
  <c r="A394" i="8"/>
  <c r="D45" i="7"/>
  <c r="D2" i="7"/>
  <c r="F45" i="7"/>
  <c r="F379" i="3"/>
  <c r="B12" i="7"/>
  <c r="D12" i="7" s="1"/>
  <c r="B67" i="7"/>
  <c r="D67" i="7" s="1"/>
  <c r="B64" i="7"/>
  <c r="D64" i="7" s="1"/>
  <c r="B63" i="7"/>
  <c r="D63" i="7" s="1"/>
  <c r="B62" i="7"/>
  <c r="D62" i="7" s="1"/>
  <c r="F189" i="3"/>
  <c r="B5" i="7"/>
  <c r="D5" i="7" s="1"/>
  <c r="B20" i="7"/>
  <c r="D20" i="7" s="1"/>
  <c r="B53" i="7"/>
  <c r="D53" i="7" s="1"/>
  <c r="B24" i="7"/>
  <c r="D24" i="7" s="1"/>
  <c r="B4" i="7"/>
  <c r="D4" i="7" s="1"/>
  <c r="B23" i="7"/>
  <c r="D23" i="7" s="1"/>
  <c r="B38" i="7"/>
  <c r="D38" i="7" s="1"/>
  <c r="B29" i="7"/>
  <c r="D29" i="7" s="1"/>
  <c r="B27" i="7"/>
  <c r="D27" i="7" s="1"/>
  <c r="B66" i="7"/>
  <c r="D66" i="7" s="1"/>
  <c r="B72" i="7"/>
  <c r="D72" i="7" s="1"/>
  <c r="B34" i="7"/>
  <c r="D34" i="7" s="1"/>
  <c r="B32" i="7"/>
  <c r="D32" i="7" s="1"/>
  <c r="B36" i="7"/>
  <c r="D36" i="7" s="1"/>
  <c r="B71" i="7"/>
  <c r="D71" i="7" s="1"/>
  <c r="B37" i="7"/>
  <c r="D37" i="7" s="1"/>
  <c r="B22" i="7"/>
  <c r="D22" i="7" s="1"/>
  <c r="B28" i="7"/>
  <c r="D28" i="7" s="1"/>
  <c r="B70" i="7"/>
  <c r="D70" i="7" s="1"/>
  <c r="B69" i="7"/>
  <c r="D69" i="7" s="1"/>
  <c r="B68" i="7"/>
  <c r="D68" i="7" s="1"/>
  <c r="B61" i="7"/>
  <c r="D61" i="7" s="1"/>
  <c r="B33" i="7"/>
  <c r="D33" i="7" s="1"/>
  <c r="B31" i="7"/>
  <c r="D31" i="7" s="1"/>
  <c r="B26" i="7"/>
  <c r="D26" i="7" s="1"/>
  <c r="B39" i="7"/>
  <c r="D39" i="7" s="1"/>
  <c r="B30" i="7"/>
  <c r="D30" i="7" s="1"/>
  <c r="B25" i="7"/>
  <c r="D25" i="7" s="1"/>
  <c r="B75" i="7"/>
  <c r="D75" i="7" s="1"/>
  <c r="B74" i="7"/>
  <c r="D74" i="7" s="1"/>
  <c r="B19" i="7"/>
  <c r="D19" i="7" s="1"/>
  <c r="B18" i="7"/>
  <c r="D18" i="7" s="1"/>
  <c r="B78" i="7"/>
  <c r="D78" i="7" s="1"/>
  <c r="B16" i="7"/>
  <c r="D16" i="7" s="1"/>
  <c r="B77" i="7"/>
  <c r="D77" i="7" s="1"/>
  <c r="B14" i="7"/>
  <c r="D14" i="7" s="1"/>
  <c r="B49" i="7"/>
  <c r="F49" i="7" s="1"/>
  <c r="B56" i="7"/>
  <c r="F56" i="7" s="1"/>
  <c r="B42" i="7"/>
  <c r="D42" i="7" s="1"/>
  <c r="B41" i="7"/>
  <c r="D41" i="7" s="1"/>
  <c r="B10" i="7"/>
  <c r="D10" i="7" s="1"/>
  <c r="B55" i="7"/>
  <c r="D55" i="7" s="1"/>
  <c r="B54" i="7"/>
  <c r="D54" i="7" s="1"/>
  <c r="B13" i="7"/>
  <c r="D13" i="7" s="1"/>
  <c r="B6" i="7"/>
  <c r="F6" i="7" s="1"/>
  <c r="B9" i="7"/>
  <c r="D9" i="7" s="1"/>
  <c r="B8" i="7"/>
  <c r="D8" i="7" s="1"/>
  <c r="B73" i="7"/>
  <c r="D73" i="7" s="1"/>
  <c r="B43" i="7"/>
  <c r="D43" i="7" s="1"/>
  <c r="B15" i="7"/>
  <c r="D15" i="7" s="1"/>
  <c r="B46" i="7"/>
  <c r="D46" i="7" s="1"/>
  <c r="B44" i="7"/>
  <c r="D44" i="7" s="1"/>
  <c r="B57" i="7"/>
  <c r="D57" i="7" s="1"/>
  <c r="B58" i="7"/>
  <c r="D58" i="7" s="1"/>
  <c r="B21" i="7"/>
  <c r="D21" i="7" s="1"/>
  <c r="B76" i="7"/>
  <c r="D76" i="7" s="1"/>
  <c r="B48" i="7"/>
  <c r="D48" i="7" s="1"/>
  <c r="B11" i="7"/>
  <c r="D11" i="7" s="1"/>
  <c r="B7" i="7"/>
  <c r="D7" i="7" s="1"/>
  <c r="B52" i="7"/>
  <c r="D52" i="7" s="1"/>
  <c r="B60" i="7"/>
  <c r="D60" i="7" s="1"/>
  <c r="B59" i="7"/>
  <c r="F59" i="7" s="1"/>
  <c r="B40" i="7"/>
  <c r="F40" i="7" s="1"/>
  <c r="B50" i="7"/>
  <c r="F50" i="7" s="1"/>
  <c r="B391" i="3"/>
  <c r="B392" i="3"/>
  <c r="B393" i="3"/>
  <c r="B394" i="3"/>
  <c r="B395" i="3"/>
  <c r="B396" i="3"/>
  <c r="A279" i="8" l="1"/>
  <c r="A278" i="8"/>
  <c r="A264" i="8"/>
  <c r="A263" i="8"/>
  <c r="A249" i="8"/>
  <c r="A248" i="8"/>
  <c r="A234" i="8"/>
  <c r="A233" i="8"/>
  <c r="A219" i="8"/>
  <c r="A218" i="8"/>
  <c r="A204" i="8"/>
  <c r="A203" i="8"/>
  <c r="A25" i="8"/>
  <c r="A189" i="8"/>
  <c r="A188" i="8"/>
  <c r="A174" i="8"/>
  <c r="A173" i="8"/>
  <c r="A159" i="8"/>
  <c r="A158" i="8"/>
  <c r="A144" i="8"/>
  <c r="A143" i="8"/>
  <c r="A129" i="8"/>
  <c r="A128" i="8"/>
  <c r="A114" i="8"/>
  <c r="A113" i="8"/>
  <c r="A99" i="8"/>
  <c r="A98" i="8"/>
  <c r="A84" i="8"/>
  <c r="A83" i="8"/>
  <c r="A69" i="8"/>
  <c r="A68" i="8"/>
  <c r="A54" i="8"/>
  <c r="A53" i="8"/>
  <c r="A39" i="8"/>
  <c r="A38" i="8"/>
  <c r="A8" i="8"/>
  <c r="A10" i="8" s="1"/>
  <c r="K65" i="7"/>
  <c r="K17" i="7"/>
  <c r="G45" i="7"/>
  <c r="I47" i="7"/>
  <c r="G47" i="7"/>
  <c r="D50" i="7"/>
  <c r="D56" i="7"/>
  <c r="D49" i="7"/>
  <c r="D59" i="7"/>
  <c r="D6" i="7"/>
  <c r="D40" i="7"/>
  <c r="I12" i="7"/>
  <c r="F12" i="7"/>
  <c r="G12" i="7" s="1"/>
  <c r="I67" i="7"/>
  <c r="F67" i="7"/>
  <c r="G67" i="7" s="1"/>
  <c r="I64" i="7"/>
  <c r="F64" i="7"/>
  <c r="G64" i="7" s="1"/>
  <c r="I63" i="7"/>
  <c r="F63" i="7"/>
  <c r="G63" i="7" s="1"/>
  <c r="I62" i="7"/>
  <c r="F62" i="7"/>
  <c r="G62" i="7" s="1"/>
  <c r="I5" i="7"/>
  <c r="F5" i="7"/>
  <c r="G5" i="7" s="1"/>
  <c r="I29" i="7"/>
  <c r="I69" i="7"/>
  <c r="I18" i="7"/>
  <c r="I13" i="7"/>
  <c r="I27" i="7"/>
  <c r="I68" i="7"/>
  <c r="I78" i="7"/>
  <c r="I66" i="7"/>
  <c r="I61" i="7"/>
  <c r="I16" i="7"/>
  <c r="I9" i="7"/>
  <c r="I72" i="7"/>
  <c r="I33" i="7"/>
  <c r="I77" i="7"/>
  <c r="I8" i="7"/>
  <c r="I34" i="7"/>
  <c r="I31" i="7"/>
  <c r="I14" i="7"/>
  <c r="I73" i="7"/>
  <c r="I32" i="7"/>
  <c r="I26" i="7"/>
  <c r="I20" i="7"/>
  <c r="I36" i="7"/>
  <c r="I39" i="7"/>
  <c r="I53" i="7"/>
  <c r="I71" i="7"/>
  <c r="I30" i="7"/>
  <c r="I42" i="7"/>
  <c r="I15" i="7"/>
  <c r="I24" i="7"/>
  <c r="I37" i="7"/>
  <c r="I25" i="7"/>
  <c r="I41" i="7"/>
  <c r="I4" i="7"/>
  <c r="I22" i="7"/>
  <c r="I75" i="7"/>
  <c r="I10" i="7"/>
  <c r="I23" i="7"/>
  <c r="I28" i="7"/>
  <c r="I74" i="7"/>
  <c r="I55" i="7"/>
  <c r="I38" i="7"/>
  <c r="I70" i="7"/>
  <c r="I19" i="7"/>
  <c r="I54" i="7"/>
  <c r="F20" i="7"/>
  <c r="G20" i="7" s="1"/>
  <c r="F53" i="7"/>
  <c r="G53" i="7" s="1"/>
  <c r="F24" i="7"/>
  <c r="G24" i="7" s="1"/>
  <c r="F4" i="7"/>
  <c r="G4" i="7" s="1"/>
  <c r="F23" i="7"/>
  <c r="G23" i="7" s="1"/>
  <c r="F38" i="7"/>
  <c r="G38" i="7" s="1"/>
  <c r="F29" i="7"/>
  <c r="G29" i="7" s="1"/>
  <c r="F27" i="7"/>
  <c r="G27" i="7" s="1"/>
  <c r="F66" i="7"/>
  <c r="G66" i="7" s="1"/>
  <c r="F72" i="7"/>
  <c r="G72" i="7" s="1"/>
  <c r="F34" i="7"/>
  <c r="G34" i="7" s="1"/>
  <c r="F32" i="7"/>
  <c r="G32" i="7" s="1"/>
  <c r="F36" i="7"/>
  <c r="G36" i="7" s="1"/>
  <c r="F71" i="7"/>
  <c r="G71" i="7" s="1"/>
  <c r="F37" i="7"/>
  <c r="G37" i="7" s="1"/>
  <c r="F22" i="7"/>
  <c r="G22" i="7" s="1"/>
  <c r="F28" i="7"/>
  <c r="G28" i="7" s="1"/>
  <c r="F70" i="7"/>
  <c r="G70" i="7" s="1"/>
  <c r="F69" i="7"/>
  <c r="G69" i="7" s="1"/>
  <c r="F68" i="7"/>
  <c r="G68" i="7" s="1"/>
  <c r="F61" i="7"/>
  <c r="G61" i="7" s="1"/>
  <c r="F33" i="7"/>
  <c r="G33" i="7" s="1"/>
  <c r="F31" i="7"/>
  <c r="G31" i="7" s="1"/>
  <c r="F26" i="7"/>
  <c r="G26" i="7" s="1"/>
  <c r="F39" i="7"/>
  <c r="G39" i="7" s="1"/>
  <c r="F30" i="7"/>
  <c r="G30" i="7" s="1"/>
  <c r="F25" i="7"/>
  <c r="G25" i="7" s="1"/>
  <c r="F75" i="7"/>
  <c r="G75" i="7" s="1"/>
  <c r="F74" i="7"/>
  <c r="G74" i="7" s="1"/>
  <c r="F19" i="7"/>
  <c r="G19" i="7" s="1"/>
  <c r="F18" i="7"/>
  <c r="G18" i="7" s="1"/>
  <c r="F78" i="7"/>
  <c r="G78" i="7" s="1"/>
  <c r="F16" i="7"/>
  <c r="G16" i="7" s="1"/>
  <c r="F77" i="7"/>
  <c r="G77" i="7" s="1"/>
  <c r="F14" i="7"/>
  <c r="G14" i="7" s="1"/>
  <c r="G49" i="7"/>
  <c r="G56" i="7"/>
  <c r="F42" i="7"/>
  <c r="G42" i="7" s="1"/>
  <c r="F41" i="7"/>
  <c r="G41" i="7" s="1"/>
  <c r="F10" i="7"/>
  <c r="G10" i="7" s="1"/>
  <c r="F55" i="7"/>
  <c r="G55" i="7" s="1"/>
  <c r="F54" i="7"/>
  <c r="G54" i="7" s="1"/>
  <c r="F13" i="7"/>
  <c r="G13" i="7" s="1"/>
  <c r="G6" i="7"/>
  <c r="F9" i="7"/>
  <c r="G9" i="7" s="1"/>
  <c r="F8" i="7"/>
  <c r="G8" i="7" s="1"/>
  <c r="F73" i="7"/>
  <c r="G73" i="7" s="1"/>
  <c r="F43" i="7"/>
  <c r="G43" i="7" s="1"/>
  <c r="F15" i="7"/>
  <c r="G15" i="7" s="1"/>
  <c r="F46" i="7"/>
  <c r="G46" i="7" s="1"/>
  <c r="G40" i="7"/>
  <c r="G50" i="7"/>
  <c r="F44" i="7"/>
  <c r="G44" i="7" s="1"/>
  <c r="F57" i="7"/>
  <c r="G57" i="7" s="1"/>
  <c r="F58" i="7"/>
  <c r="G58" i="7" s="1"/>
  <c r="F21" i="7"/>
  <c r="G21" i="7" s="1"/>
  <c r="F76" i="7"/>
  <c r="G76" i="7" s="1"/>
  <c r="F48" i="7"/>
  <c r="G48" i="7" s="1"/>
  <c r="F11" i="7"/>
  <c r="G11" i="7" s="1"/>
  <c r="F7" i="7"/>
  <c r="G7" i="7" s="1"/>
  <c r="F52" i="7"/>
  <c r="G52" i="7" s="1"/>
  <c r="F60" i="7"/>
  <c r="G60" i="7" s="1"/>
  <c r="G59" i="7"/>
  <c r="B51" i="7"/>
  <c r="D51" i="7" s="1"/>
  <c r="B3" i="7"/>
  <c r="D3" i="7" s="1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4" i="3"/>
  <c r="B355" i="3"/>
  <c r="B356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A280" i="8" l="1"/>
  <c r="A250" i="8"/>
  <c r="A265" i="8"/>
  <c r="A235" i="8"/>
  <c r="A220" i="8"/>
  <c r="A205" i="8"/>
  <c r="A190" i="8"/>
  <c r="A55" i="8"/>
  <c r="A145" i="8"/>
  <c r="A160" i="8"/>
  <c r="A40" i="8"/>
  <c r="A130" i="8"/>
  <c r="A115" i="8"/>
  <c r="A175" i="8"/>
  <c r="A100" i="8"/>
  <c r="A70" i="8"/>
  <c r="A85" i="8"/>
  <c r="R5" i="3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I56" i="7"/>
  <c r="I6" i="7"/>
  <c r="I49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F3" i="7"/>
  <c r="F2" i="7"/>
  <c r="F51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4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6" i="7" s="1"/>
  <c r="E78" i="3"/>
  <c r="F78" i="3" s="1"/>
  <c r="E79" i="3"/>
  <c r="F79" i="3" s="1"/>
  <c r="I45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E95" i="3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E188" i="3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8" i="7" s="1"/>
  <c r="E40" i="3"/>
  <c r="F40" i="3" s="1"/>
  <c r="E41" i="3"/>
  <c r="F41" i="3" s="1"/>
  <c r="I76" i="7" s="1"/>
  <c r="E42" i="3"/>
  <c r="F42" i="3" s="1"/>
  <c r="E43" i="3"/>
  <c r="F43" i="3" s="1"/>
  <c r="E44" i="3"/>
  <c r="F44" i="3" s="1"/>
  <c r="I21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3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8" i="7" s="1"/>
  <c r="E63" i="3"/>
  <c r="F63" i="3" s="1"/>
  <c r="E64" i="3"/>
  <c r="F64" i="3" s="1"/>
  <c r="I57" i="7" s="1"/>
  <c r="E65" i="3"/>
  <c r="F65" i="3" s="1"/>
  <c r="E66" i="3"/>
  <c r="F66" i="3" s="1"/>
  <c r="E67" i="3"/>
  <c r="F67" i="3" s="1"/>
  <c r="E68" i="3"/>
  <c r="F68" i="3" s="1"/>
  <c r="E69" i="3"/>
  <c r="F69" i="3" s="1"/>
  <c r="G51" i="7" l="1"/>
  <c r="I2" i="7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52" i="7" s="1"/>
  <c r="G6" i="3"/>
  <c r="K6" i="3" s="1"/>
  <c r="E6" i="3"/>
  <c r="F6" i="3" s="1"/>
  <c r="I50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K270" i="3" s="1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40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60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9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51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C18" i="1"/>
  <c r="BE41" i="3"/>
  <c r="BE40" i="3"/>
  <c r="BE38" i="3"/>
  <c r="BE37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J33" i="7" l="1"/>
  <c r="K33" i="7" s="1"/>
  <c r="H33" i="7"/>
  <c r="M388" i="3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H2" i="7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H47" i="7" l="1"/>
  <c r="J47" i="7"/>
  <c r="K47" i="7" s="1"/>
  <c r="J63" i="7"/>
  <c r="K63" i="7" s="1"/>
  <c r="H63" i="7"/>
  <c r="H62" i="7"/>
  <c r="J62" i="7"/>
  <c r="K62" i="7" s="1"/>
  <c r="J38" i="7"/>
  <c r="K38" i="7" s="1"/>
  <c r="H38" i="7"/>
  <c r="J27" i="7"/>
  <c r="K27" i="7" s="1"/>
  <c r="H27" i="7"/>
  <c r="J32" i="7"/>
  <c r="K32" i="7" s="1"/>
  <c r="H32" i="7"/>
  <c r="J23" i="7"/>
  <c r="K23" i="7" s="1"/>
  <c r="H23" i="7"/>
  <c r="H36" i="7"/>
  <c r="J36" i="7"/>
  <c r="K36" i="7" s="1"/>
  <c r="J28" i="7"/>
  <c r="K28" i="7" s="1"/>
  <c r="H28" i="7"/>
  <c r="J22" i="7"/>
  <c r="K22" i="7" s="1"/>
  <c r="H22" i="7"/>
  <c r="J4" i="7"/>
  <c r="K4" i="7" s="1"/>
  <c r="H4" i="7"/>
  <c r="H66" i="7"/>
  <c r="J66" i="7"/>
  <c r="K66" i="7" s="1"/>
  <c r="H68" i="7"/>
  <c r="J68" i="7"/>
  <c r="K68" i="7" s="1"/>
  <c r="J69" i="7"/>
  <c r="K69" i="7" s="1"/>
  <c r="H69" i="7"/>
  <c r="J29" i="7"/>
  <c r="K29" i="7" s="1"/>
  <c r="H29" i="7"/>
  <c r="J72" i="7"/>
  <c r="K72" i="7" s="1"/>
  <c r="H72" i="7"/>
  <c r="H70" i="7"/>
  <c r="J70" i="7"/>
  <c r="K70" i="7" s="1"/>
  <c r="J67" i="7"/>
  <c r="K67" i="7" s="1"/>
  <c r="H67" i="7"/>
  <c r="J34" i="7"/>
  <c r="K34" i="7" s="1"/>
  <c r="H34" i="7"/>
  <c r="J61" i="7"/>
  <c r="K61" i="7" s="1"/>
  <c r="H61" i="7"/>
  <c r="H71" i="7"/>
  <c r="J71" i="7"/>
  <c r="K71" i="7" s="1"/>
  <c r="H37" i="7"/>
  <c r="J37" i="7"/>
  <c r="K37" i="7" s="1"/>
  <c r="H75" i="7"/>
  <c r="J75" i="7"/>
  <c r="K75" i="7" s="1"/>
  <c r="J42" i="7"/>
  <c r="K42" i="7" s="1"/>
  <c r="H42" i="7"/>
  <c r="J16" i="7"/>
  <c r="K16" i="7" s="1"/>
  <c r="H16" i="7"/>
  <c r="H18" i="7"/>
  <c r="J18" i="7"/>
  <c r="K18" i="7" s="1"/>
  <c r="J39" i="7"/>
  <c r="K39" i="7" s="1"/>
  <c r="H39" i="7"/>
  <c r="J8" i="7"/>
  <c r="K8" i="7" s="1"/>
  <c r="H8" i="7"/>
  <c r="J2" i="7"/>
  <c r="K2" i="7" s="1"/>
  <c r="J54" i="7"/>
  <c r="K54" i="7" s="1"/>
  <c r="H54" i="7"/>
  <c r="J12" i="7"/>
  <c r="K12" i="7" s="1"/>
  <c r="H12" i="7"/>
  <c r="H49" i="7"/>
  <c r="J49" i="7"/>
  <c r="K49" i="7" s="1"/>
  <c r="H19" i="7"/>
  <c r="J19" i="7"/>
  <c r="K19" i="7" s="1"/>
  <c r="H30" i="7"/>
  <c r="J30" i="7"/>
  <c r="K30" i="7" s="1"/>
  <c r="H41" i="7"/>
  <c r="J41" i="7"/>
  <c r="K41" i="7" s="1"/>
  <c r="H15" i="7"/>
  <c r="J15" i="7"/>
  <c r="K15" i="7" s="1"/>
  <c r="H13" i="7"/>
  <c r="J13" i="7"/>
  <c r="K13" i="7" s="1"/>
  <c r="J9" i="7"/>
  <c r="K9" i="7" s="1"/>
  <c r="H9" i="7"/>
  <c r="H74" i="7"/>
  <c r="J74" i="7"/>
  <c r="K74" i="7" s="1"/>
  <c r="H73" i="7"/>
  <c r="J73" i="7"/>
  <c r="K73" i="7" s="1"/>
  <c r="H31" i="7"/>
  <c r="J31" i="7"/>
  <c r="K31" i="7" s="1"/>
  <c r="H56" i="7"/>
  <c r="J56" i="7"/>
  <c r="K56" i="7" s="1"/>
  <c r="H55" i="7"/>
  <c r="J55" i="7"/>
  <c r="K55" i="7" s="1"/>
  <c r="H6" i="7"/>
  <c r="J6" i="7"/>
  <c r="K6" i="7" s="1"/>
  <c r="H26" i="7"/>
  <c r="J26" i="7"/>
  <c r="K26" i="7" s="1"/>
  <c r="J10" i="7"/>
  <c r="K10" i="7" s="1"/>
  <c r="H10" i="7"/>
  <c r="J78" i="7"/>
  <c r="K78" i="7" s="1"/>
  <c r="H78" i="7"/>
  <c r="H77" i="7"/>
  <c r="J77" i="7"/>
  <c r="K77" i="7" s="1"/>
  <c r="H14" i="7"/>
  <c r="J14" i="7"/>
  <c r="K14" i="7" s="1"/>
  <c r="J25" i="7"/>
  <c r="K25" i="7" s="1"/>
  <c r="H25" i="7"/>
  <c r="J24" i="7"/>
  <c r="K24" i="7" s="1"/>
  <c r="H24" i="7"/>
  <c r="J20" i="7"/>
  <c r="K20" i="7" s="1"/>
  <c r="H20" i="7"/>
  <c r="J64" i="7"/>
  <c r="K64" i="7" s="1"/>
  <c r="H64" i="7"/>
  <c r="J53" i="7"/>
  <c r="K53" i="7" s="1"/>
  <c r="H53" i="7"/>
  <c r="H57" i="7"/>
  <c r="J57" i="7"/>
  <c r="K57" i="7" s="1"/>
  <c r="H52" i="7"/>
  <c r="J52" i="7"/>
  <c r="K52" i="7" s="1"/>
  <c r="H58" i="7"/>
  <c r="J58" i="7"/>
  <c r="K58" i="7" s="1"/>
  <c r="H3" i="7"/>
  <c r="J3" i="7"/>
  <c r="K3" i="7" s="1"/>
  <c r="H51" i="7"/>
  <c r="J51" i="7"/>
  <c r="K51" i="7" s="1"/>
  <c r="H46" i="7"/>
  <c r="J46" i="7"/>
  <c r="K46" i="7" s="1"/>
  <c r="H40" i="7"/>
  <c r="J40" i="7"/>
  <c r="K40" i="7" s="1"/>
  <c r="J11" i="7"/>
  <c r="K11" i="7" s="1"/>
  <c r="H11" i="7"/>
  <c r="J76" i="7"/>
  <c r="K76" i="7" s="1"/>
  <c r="H76" i="7"/>
  <c r="H7" i="7"/>
  <c r="J7" i="7"/>
  <c r="K7" i="7" s="1"/>
  <c r="H59" i="7"/>
  <c r="J59" i="7"/>
  <c r="K59" i="7" s="1"/>
  <c r="H43" i="7"/>
  <c r="J43" i="7"/>
  <c r="K43" i="7" s="1"/>
  <c r="H60" i="7"/>
  <c r="J60" i="7"/>
  <c r="K60" i="7" s="1"/>
  <c r="H48" i="7"/>
  <c r="J48" i="7"/>
  <c r="K48" i="7" s="1"/>
  <c r="H21" i="7"/>
  <c r="J21" i="7"/>
  <c r="K21" i="7" s="1"/>
  <c r="H44" i="7"/>
  <c r="J44" i="7"/>
  <c r="K44" i="7" s="1"/>
  <c r="J45" i="7"/>
  <c r="K45" i="7" s="1"/>
  <c r="H45" i="7"/>
  <c r="H50" i="7"/>
  <c r="J50" i="7"/>
  <c r="K50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154" i="3" l="1"/>
  <c r="P372" i="3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DB64B398-7B22-4420-BF2B-05575FCF470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3B2D9971-AE07-4578-99CA-22295EC99933}" keepAlive="1" name="Query - ?datasource=tranquility&amp;type_id=2048 (100)" description="Connection to the '?datasource=tranquility&amp;type_id=2048 (100)' query in the workbook." type="5" refreshedVersion="7" background="1" saveData="1">
    <dbPr connection="Provider=Microsoft.Mashup.OleDb.1;Data Source=$Workbook$;Location=&quot;?datasource=tranquility&amp;type_id=2048 (100)&quot;;Extended Properties=&quot;&quot;" command="SELECT * FROM [?datasource=tranquility&amp;type_id=2048 (100)]"/>
  </connection>
  <connection id="4" xr16:uid="{FCFB997C-9971-43E4-8045-19FB2E586F4E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5" xr16:uid="{952938F9-EBF4-4D9F-BA1F-19699B7C637B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6" xr16:uid="{82DA9331-A314-4F42-82F3-2F739DF3BB45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7" xr16:uid="{3CD380DD-28ED-4274-BF2C-D553525B1289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8" xr16:uid="{08F571CC-D64C-41F5-80C0-FB1D11E033E8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9" xr16:uid="{BCD25591-B93F-4592-A659-FA81F7837121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10" xr16:uid="{23F69C8D-D812-47A4-A87B-B4A971D3DC1C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11" xr16:uid="{D3B4A1DA-7849-48B1-94FB-6AFA3933F9FF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12" xr16:uid="{61AB5675-9588-4E50-8C20-A4767D5C94B8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13" xr16:uid="{287A35F3-45CF-4F63-8D71-5CC2766A13A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14" xr16:uid="{B48C98F6-BB32-4A33-B1E6-524BF3D6A141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15" xr16:uid="{4A61BCBB-935B-4D56-B598-761A4BEDB826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16" xr16:uid="{40886AC8-35AE-4E8E-B851-5DFFFD19430D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17" xr16:uid="{60AEA92F-DA00-47C4-B86F-FD4B6B936ABC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18" xr16:uid="{563C1FE1-96A9-46D5-8EB6-F12DC9E8C487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19" xr16:uid="{E6B2F0BB-7A62-475C-BF1F-642D45CCD6F9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20" xr16:uid="{ABA183D5-B05E-46FA-B26B-4AC6BC3C3278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21" xr16:uid="{5B0D0DB7-7874-424D-9636-5B3433D93B02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22" xr16:uid="{3ABBFECB-0AB9-4C75-82D0-7843FCF69527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23" xr16:uid="{41D354D5-3752-4183-BDFA-5AA6F2A241C2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24" xr16:uid="{F66163FF-031F-4C68-AC22-B54EF3B013D9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25" xr16:uid="{B896A6B9-3950-4C85-815C-469C1F6C6055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26" xr16:uid="{9B3A5BA4-2227-4977-8773-D9EEC51DAA36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27" xr16:uid="{72239B5C-02B7-4294-B150-E2AA2B8CE16E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28" xr16:uid="{5275997B-F1FA-4416-A848-F264001D7D72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29" xr16:uid="{CCFAF85E-8CDB-4E46-86F0-1BC662D59B7B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30" xr16:uid="{C03ECB99-3A80-42EA-9083-28407BDE64F3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31" xr16:uid="{F49B89DD-5377-49BD-B777-874F8AB43F08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32" xr16:uid="{90A5F3F7-2D78-49A0-8516-296E19980744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33" xr16:uid="{AB2BA3FC-8372-4AD9-BE7C-C2C0E61D8077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34" xr16:uid="{9BD1EA15-D94D-4F35-850E-1350A963DF46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35" xr16:uid="{09BA4C56-EF51-41C2-98F2-44AD96675EFA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36" xr16:uid="{33C939CF-4467-4D2F-8CA1-13E74A5A7258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37" xr16:uid="{F782D12A-7592-4140-843A-D3DAB09F432D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38" xr16:uid="{1E29D28C-D7FA-4DDB-826D-810257E127C4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39" xr16:uid="{2515031E-1FCA-433F-9DE7-7475035E662C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40" xr16:uid="{31543F16-B8AB-4AD8-8746-26BD03B34759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41" xr16:uid="{CE476CC3-C3B3-4CDC-A718-EBE7E37E26E5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42" xr16:uid="{7EA098D5-9138-4DFE-B505-FA9A31E51B8F}" keepAlive="1" name="Query - ?datasource=tranquility&amp;type_id=2048 (46)" description="Connection to the '?datasource=tranquility&amp;type_id=2048 (46)' query in the workbook." type="5" refreshedVersion="7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43" xr16:uid="{2B4470E8-D0D2-4BD5-BAE8-29F749E8E30B}" keepAlive="1" name="Query - ?datasource=tranquility&amp;type_id=2048 (47)" description="Connection to the '?datasource=tranquility&amp;type_id=2048 (47)' query in the workbook." type="5" refreshedVersion="7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44" xr16:uid="{C86DB3C9-7A3B-4EA2-9E3B-3CB4D3669CA7}" keepAlive="1" name="Query - ?datasource=tranquility&amp;type_id=2048 (48)" description="Connection to the '?datasource=tranquility&amp;type_id=2048 (48)' query in the workbook." type="5" refreshedVersion="7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45" xr16:uid="{D826DFF2-A531-43FD-B7E4-1E14E1646F2E}" keepAlive="1" name="Query - ?datasource=tranquility&amp;type_id=2048 (49)" description="Connection to the '?datasource=tranquility&amp;type_id=2048 (49)' query in the workbook." type="5" refreshedVersion="7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46" xr16:uid="{EAD0CD8A-9142-4BB5-9D04-7803D6E69F9F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47" xr16:uid="{F8BDF784-8BB7-405D-AE79-C6E3DFE82591}" keepAlive="1" name="Query - ?datasource=tranquility&amp;type_id=2048 (50)" description="Connection to the '?datasource=tranquility&amp;type_id=2048 (50)' query in the workbook." type="5" refreshedVersion="7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48" xr16:uid="{D1B654EA-475F-43C3-A7C2-37DC6E3CC185}" keepAlive="1" name="Query - ?datasource=tranquility&amp;type_id=2048 (51)" description="Connection to the '?datasource=tranquility&amp;type_id=2048 (51)' query in the workbook." type="5" refreshedVersion="7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49" xr16:uid="{03D4B3AC-1DFB-48E2-AFD9-9765A7C30E3B}" keepAlive="1" name="Query - ?datasource=tranquility&amp;type_id=2048 (52)" description="Connection to the '?datasource=tranquility&amp;type_id=2048 (52)' query in the workbook." type="5" refreshedVersion="7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50" xr16:uid="{A8197E4A-B103-4B1A-98B3-5D26763AEEB8}" keepAlive="1" name="Query - ?datasource=tranquility&amp;type_id=2048 (53)" description="Connection to the '?datasource=tranquility&amp;type_id=2048 (53)' query in the workbook." type="5" refreshedVersion="7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51" xr16:uid="{FEC80CC3-E829-4A07-8524-603C57D38F9F}" keepAlive="1" name="Query - ?datasource=tranquility&amp;type_id=2048 (54)" description="Connection to the '?datasource=tranquility&amp;type_id=2048 (54)' query in the workbook." type="5" refreshedVersion="7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52" xr16:uid="{04E93839-5B92-494D-AC8D-693A81005134}" keepAlive="1" name="Query - ?datasource=tranquility&amp;type_id=2048 (55)" description="Connection to the '?datasource=tranquility&amp;type_id=2048 (55)' query in the workbook." type="5" refreshedVersion="7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53" xr16:uid="{313B626E-B293-483A-AEEF-87B238928289}" keepAlive="1" name="Query - ?datasource=tranquility&amp;type_id=2048 (56)" description="Connection to the '?datasource=tranquility&amp;type_id=2048 (56)' query in the workbook." type="5" refreshedVersion="7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54" xr16:uid="{EB4BF301-A8EC-4DB0-939C-3C8F291D26E3}" keepAlive="1" name="Query - ?datasource=tranquility&amp;type_id=2048 (57)" description="Connection to the '?datasource=tranquility&amp;type_id=2048 (57)' query in the workbook." type="5" refreshedVersion="7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55" xr16:uid="{A036AD7C-AF99-4238-A3CB-28CABEEB9DF1}" keepAlive="1" name="Query - ?datasource=tranquility&amp;type_id=2048 (58)" description="Connection to the '?datasource=tranquility&amp;type_id=2048 (58)' query in the workbook." type="5" refreshedVersion="7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56" xr16:uid="{24A29158-50C1-4598-AB98-A4934104EE72}" keepAlive="1" name="Query - ?datasource=tranquility&amp;type_id=2048 (59)" description="Connection to the '?datasource=tranquility&amp;type_id=2048 (59)' query in the workbook." type="5" refreshedVersion="7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57" xr16:uid="{73D85C02-467C-4B3C-8AEE-2445CEF84D43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58" xr16:uid="{9A83F987-B459-459F-8A77-4E0FCBF45595}" keepAlive="1" name="Query - ?datasource=tranquility&amp;type_id=2048 (60)" description="Connection to the '?datasource=tranquility&amp;type_id=2048 (60)' query in the workbook." type="5" refreshedVersion="7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59" xr16:uid="{76D868A9-5DE1-4C9A-A297-3DB1C2789C00}" keepAlive="1" name="Query - ?datasource=tranquility&amp;type_id=2048 (61)" description="Connection to the '?datasource=tranquility&amp;type_id=2048 (61)' query in the workbook." type="5" refreshedVersion="7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60" xr16:uid="{F77EC2FD-FBBD-4883-ADA1-3A8D6650A374}" keepAlive="1" name="Query - ?datasource=tranquility&amp;type_id=2048 (62)" description="Connection to the '?datasource=tranquility&amp;type_id=2048 (62)' query in the workbook." type="5" refreshedVersion="7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61" xr16:uid="{4419AA53-B776-4001-850C-B10248A3E4E2}" keepAlive="1" name="Query - ?datasource=tranquility&amp;type_id=2048 (63)" description="Connection to the '?datasource=tranquility&amp;type_id=2048 (63)' query in the workbook." type="5" refreshedVersion="7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62" xr16:uid="{1AA9638B-FE4D-4FF8-BF38-8231B0286BE3}" keepAlive="1" name="Query - ?datasource=tranquility&amp;type_id=2048 (64)" description="Connection to the '?datasource=tranquility&amp;type_id=2048 (64)' query in the workbook." type="5" refreshedVersion="7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63" xr16:uid="{A3F1B7B1-41D3-44CB-BD4C-3F643A6C8A24}" keepAlive="1" name="Query - ?datasource=tranquility&amp;type_id=2048 (65)" description="Connection to the '?datasource=tranquility&amp;type_id=2048 (65)' query in the workbook." type="5" refreshedVersion="7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64" xr16:uid="{0F2488A3-6B2D-4BEC-8719-20BBECCF6A23}" keepAlive="1" name="Query - ?datasource=tranquility&amp;type_id=2048 (66)" description="Connection to the '?datasource=tranquility&amp;type_id=2048 (66)' query in the workbook." type="5" refreshedVersion="7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65" xr16:uid="{9D75B59A-ED03-4C30-9265-DBC990C52234}" keepAlive="1" name="Query - ?datasource=tranquility&amp;type_id=2048 (67)" description="Connection to the '?datasource=tranquility&amp;type_id=2048 (67)' query in the workbook." type="5" refreshedVersion="7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66" xr16:uid="{355EEFAE-C86D-4BAD-8DCA-8E7B3C2D6C1D}" keepAlive="1" name="Query - ?datasource=tranquility&amp;type_id=2048 (68)" description="Connection to the '?datasource=tranquility&amp;type_id=2048 (68)' query in the workbook." type="5" refreshedVersion="7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67" xr16:uid="{FBA2F9F0-2E74-41E8-9605-C191A7EE2960}" keepAlive="1" name="Query - ?datasource=tranquility&amp;type_id=2048 (69)" description="Connection to the '?datasource=tranquility&amp;type_id=2048 (69)' query in the workbook." type="5" refreshedVersion="7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68" xr16:uid="{2522AAF4-86A7-4B1D-83C9-E47FC9B3A461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69" xr16:uid="{68672D5F-0C9C-42F1-BA8D-43BF3BD49B9F}" keepAlive="1" name="Query - ?datasource=tranquility&amp;type_id=2048 (70)" description="Connection to the '?datasource=tranquility&amp;type_id=2048 (70)' query in the workbook." type="5" refreshedVersion="7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70" xr16:uid="{ECF57580-04BB-46BD-9C68-D35FD31DCD84}" keepAlive="1" name="Query - ?datasource=tranquility&amp;type_id=2048 (71)" description="Connection to the '?datasource=tranquility&amp;type_id=2048 (71)' query in the workbook." type="5" refreshedVersion="7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71" xr16:uid="{245E427F-79CB-4A32-B884-0433DE630EB1}" keepAlive="1" name="Query - ?datasource=tranquility&amp;type_id=2048 (72)" description="Connection to the '?datasource=tranquility&amp;type_id=2048 (72)' query in the workbook." type="5" refreshedVersion="7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72" xr16:uid="{95DA623A-EE64-4E4C-B879-E147A4753F5A}" keepAlive="1" name="Query - ?datasource=tranquility&amp;type_id=2048 (73)" description="Connection to the '?datasource=tranquility&amp;type_id=2048 (73)' query in the workbook." type="5" refreshedVersion="7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73" xr16:uid="{82B87DDC-177A-4F03-9583-70D82E97C8A5}" keepAlive="1" name="Query - ?datasource=tranquility&amp;type_id=2048 (74)" description="Connection to the '?datasource=tranquility&amp;type_id=2048 (74)' query in the workbook." type="5" refreshedVersion="7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74" xr16:uid="{902A07AE-312B-4668-B1DC-4FC70B867CD9}" keepAlive="1" name="Query - ?datasource=tranquility&amp;type_id=2048 (75)" description="Connection to the '?datasource=tranquility&amp;type_id=2048 (75)' query in the workbook." type="5" refreshedVersion="7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75" xr16:uid="{8B6E15E9-70C5-4143-B7C5-06C0A3040BEE}" keepAlive="1" name="Query - ?datasource=tranquility&amp;type_id=2048 (76)" description="Connection to the '?datasource=tranquility&amp;type_id=2048 (76)' query in the workbook." type="5" refreshedVersion="7" background="1" saveData="1">
    <dbPr connection="Provider=Microsoft.Mashup.OleDb.1;Data Source=$Workbook$;Location=&quot;?datasource=tranquility&amp;type_id=2048 (76)&quot;;Extended Properties=&quot;&quot;" command="SELECT * FROM [?datasource=tranquility&amp;type_id=2048 (76)]"/>
  </connection>
  <connection id="76" xr16:uid="{44EF10B1-EE86-42B0-B06E-FC31A398834B}" keepAlive="1" name="Query - ?datasource=tranquility&amp;type_id=2048 (77)" description="Connection to the '?datasource=tranquility&amp;type_id=2048 (77)' query in the workbook." type="5" refreshedVersion="7" background="1" saveData="1">
    <dbPr connection="Provider=Microsoft.Mashup.OleDb.1;Data Source=$Workbook$;Location=&quot;?datasource=tranquility&amp;type_id=2048 (77)&quot;;Extended Properties=&quot;&quot;" command="SELECT * FROM [?datasource=tranquility&amp;type_id=2048 (77)]"/>
  </connection>
  <connection id="77" xr16:uid="{68AB4B2F-1C5A-4362-AFC1-20C0DCCA5793}" keepAlive="1" name="Query - ?datasource=tranquility&amp;type_id=2048 (78)" description="Connection to the '?datasource=tranquility&amp;type_id=2048 (78)' query in the workbook." type="5" refreshedVersion="7" background="1" saveData="1">
    <dbPr connection="Provider=Microsoft.Mashup.OleDb.1;Data Source=$Workbook$;Location=&quot;?datasource=tranquility&amp;type_id=2048 (78)&quot;;Extended Properties=&quot;&quot;" command="SELECT * FROM [?datasource=tranquility&amp;type_id=2048 (78)]"/>
  </connection>
  <connection id="78" xr16:uid="{3BEDD3C4-584B-429E-9DF8-50D304EAB03D}" keepAlive="1" name="Query - ?datasource=tranquility&amp;type_id=2048 (79)" description="Connection to the '?datasource=tranquility&amp;type_id=2048 (79)' query in the workbook." type="5" refreshedVersion="7" background="1" saveData="1">
    <dbPr connection="Provider=Microsoft.Mashup.OleDb.1;Data Source=$Workbook$;Location=&quot;?datasource=tranquility&amp;type_id=2048 (79)&quot;;Extended Properties=&quot;&quot;" command="SELECT * FROM [?datasource=tranquility&amp;type_id=2048 (79)]"/>
  </connection>
  <connection id="79" xr16:uid="{7604315B-116F-429D-AA4E-9D92FB425C0B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80" xr16:uid="{27633D1F-6C41-4467-A299-2514B2911F34}" keepAlive="1" name="Query - ?datasource=tranquility&amp;type_id=2048 (80)" description="Connection to the '?datasource=tranquility&amp;type_id=2048 (80)' query in the workbook." type="5" refreshedVersion="7" background="1" saveData="1">
    <dbPr connection="Provider=Microsoft.Mashup.OleDb.1;Data Source=$Workbook$;Location=&quot;?datasource=tranquility&amp;type_id=2048 (80)&quot;;Extended Properties=&quot;&quot;" command="SELECT * FROM [?datasource=tranquility&amp;type_id=2048 (80)]"/>
  </connection>
  <connection id="81" xr16:uid="{B97F0900-4404-4ABA-B6B7-2D41F0E2BB82}" keepAlive="1" name="Query - ?datasource=tranquility&amp;type_id=2048 (81)" description="Connection to the '?datasource=tranquility&amp;type_id=2048 (81)' query in the workbook." type="5" refreshedVersion="7" background="1" saveData="1">
    <dbPr connection="Provider=Microsoft.Mashup.OleDb.1;Data Source=$Workbook$;Location=&quot;?datasource=tranquility&amp;type_id=2048 (81)&quot;;Extended Properties=&quot;&quot;" command="SELECT * FROM [?datasource=tranquility&amp;type_id=2048 (81)]"/>
  </connection>
  <connection id="82" xr16:uid="{733CC50F-0CF9-47CD-BD60-9CB12B707458}" keepAlive="1" name="Query - ?datasource=tranquility&amp;type_id=2048 (82)" description="Connection to the '?datasource=tranquility&amp;type_id=2048 (82)' query in the workbook." type="5" refreshedVersion="7" background="1" saveData="1">
    <dbPr connection="Provider=Microsoft.Mashup.OleDb.1;Data Source=$Workbook$;Location=&quot;?datasource=tranquility&amp;type_id=2048 (82)&quot;;Extended Properties=&quot;&quot;" command="SELECT * FROM [?datasource=tranquility&amp;type_id=2048 (82)]"/>
  </connection>
  <connection id="83" xr16:uid="{055C62D8-E786-4B3F-A389-181463D7B60A}" keepAlive="1" name="Query - ?datasource=tranquility&amp;type_id=2048 (83)" description="Connection to the '?datasource=tranquility&amp;type_id=2048 (83)' query in the workbook." type="5" refreshedVersion="7" background="1" saveData="1">
    <dbPr connection="Provider=Microsoft.Mashup.OleDb.1;Data Source=$Workbook$;Location=&quot;?datasource=tranquility&amp;type_id=2048 (83)&quot;;Extended Properties=&quot;&quot;" command="SELECT * FROM [?datasource=tranquility&amp;type_id=2048 (83)]"/>
  </connection>
  <connection id="84" xr16:uid="{8DC5BFA2-867B-4E2B-8B85-6888E5CFAD33}" keepAlive="1" name="Query - ?datasource=tranquility&amp;type_id=2048 (84)" description="Connection to the '?datasource=tranquility&amp;type_id=2048 (84)' query in the workbook." type="5" refreshedVersion="7" background="1" saveData="1">
    <dbPr connection="Provider=Microsoft.Mashup.OleDb.1;Data Source=$Workbook$;Location=&quot;?datasource=tranquility&amp;type_id=2048 (84)&quot;;Extended Properties=&quot;&quot;" command="SELECT * FROM [?datasource=tranquility&amp;type_id=2048 (84)]"/>
  </connection>
  <connection id="85" xr16:uid="{8A559D07-0319-4801-ACED-0E365428A9F6}" keepAlive="1" name="Query - ?datasource=tranquility&amp;type_id=2048 (85)" description="Connection to the '?datasource=tranquility&amp;type_id=2048 (85)' query in the workbook." type="5" refreshedVersion="7" background="1" saveData="1">
    <dbPr connection="Provider=Microsoft.Mashup.OleDb.1;Data Source=$Workbook$;Location=&quot;?datasource=tranquility&amp;type_id=2048 (85)&quot;;Extended Properties=&quot;&quot;" command="SELECT * FROM [?datasource=tranquility&amp;type_id=2048 (85)]"/>
  </connection>
  <connection id="86" xr16:uid="{ECB45385-2FEE-40E5-9EA1-C60935062764}" keepAlive="1" name="Query - ?datasource=tranquility&amp;type_id=2048 (86)" description="Connection to the '?datasource=tranquility&amp;type_id=2048 (86)' query in the workbook." type="5" refreshedVersion="7" background="1" saveData="1">
    <dbPr connection="Provider=Microsoft.Mashup.OleDb.1;Data Source=$Workbook$;Location=&quot;?datasource=tranquility&amp;type_id=2048 (86)&quot;;Extended Properties=&quot;&quot;" command="SELECT * FROM [?datasource=tranquility&amp;type_id=2048 (86)]"/>
  </connection>
  <connection id="87" xr16:uid="{4D9A5F76-EA80-47E6-BF77-D6CFCE3E9F58}" keepAlive="1" name="Query - ?datasource=tranquility&amp;type_id=2048 (87)" description="Connection to the '?datasource=tranquility&amp;type_id=2048 (87)' query in the workbook." type="5" refreshedVersion="7" background="1" saveData="1">
    <dbPr connection="Provider=Microsoft.Mashup.OleDb.1;Data Source=$Workbook$;Location=&quot;?datasource=tranquility&amp;type_id=2048 (87)&quot;;Extended Properties=&quot;&quot;" command="SELECT * FROM [?datasource=tranquility&amp;type_id=2048 (87)]"/>
  </connection>
  <connection id="88" xr16:uid="{05580326-284F-40E3-9D37-F0164C8517B5}" keepAlive="1" name="Query - ?datasource=tranquility&amp;type_id=2048 (88)" description="Connection to the '?datasource=tranquility&amp;type_id=2048 (88)' query in the workbook." type="5" refreshedVersion="7" background="1" saveData="1">
    <dbPr connection="Provider=Microsoft.Mashup.OleDb.1;Data Source=$Workbook$;Location=&quot;?datasource=tranquility&amp;type_id=2048 (88)&quot;;Extended Properties=&quot;&quot;" command="SELECT * FROM [?datasource=tranquility&amp;type_id=2048 (88)]"/>
  </connection>
  <connection id="89" xr16:uid="{84F1D91D-CB35-40CC-B041-6BFFAF811595}" keepAlive="1" name="Query - ?datasource=tranquility&amp;type_id=2048 (89)" description="Connection to the '?datasource=tranquility&amp;type_id=2048 (89)' query in the workbook." type="5" refreshedVersion="7" background="1" saveData="1">
    <dbPr connection="Provider=Microsoft.Mashup.OleDb.1;Data Source=$Workbook$;Location=&quot;?datasource=tranquility&amp;type_id=2048 (89)&quot;;Extended Properties=&quot;&quot;" command="SELECT * FROM [?datasource=tranquility&amp;type_id=2048 (89)]"/>
  </connection>
  <connection id="90" xr16:uid="{B4C0D6B3-8A53-4205-8B2B-BC7BE680AC92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91" xr16:uid="{ABE61E27-68D7-41BA-9F69-9AE09E0E84BD}" keepAlive="1" name="Query - ?datasource=tranquility&amp;type_id=2048 (90)" description="Connection to the '?datasource=tranquility&amp;type_id=2048 (90)' query in the workbook." type="5" refreshedVersion="7" background="1" saveData="1">
    <dbPr connection="Provider=Microsoft.Mashup.OleDb.1;Data Source=$Workbook$;Location=&quot;?datasource=tranquility&amp;type_id=2048 (90)&quot;;Extended Properties=&quot;&quot;" command="SELECT * FROM [?datasource=tranquility&amp;type_id=2048 (90)]"/>
  </connection>
  <connection id="92" xr16:uid="{15D070C0-4A96-435C-9113-5464F4CDC72D}" keepAlive="1" name="Query - ?datasource=tranquility&amp;type_id=2048 (91)" description="Connection to the '?datasource=tranquility&amp;type_id=2048 (91)' query in the workbook." type="5" refreshedVersion="7" background="1" saveData="1">
    <dbPr connection="Provider=Microsoft.Mashup.OleDb.1;Data Source=$Workbook$;Location=&quot;?datasource=tranquility&amp;type_id=2048 (91)&quot;;Extended Properties=&quot;&quot;" command="SELECT * FROM [?datasource=tranquility&amp;type_id=2048 (91)]"/>
  </connection>
  <connection id="93" xr16:uid="{0F110621-CA6D-4E8D-B13B-93EDCEDB2B76}" keepAlive="1" name="Query - ?datasource=tranquility&amp;type_id=2048 (92)" description="Connection to the '?datasource=tranquility&amp;type_id=2048 (92)' query in the workbook." type="5" refreshedVersion="7" background="1" saveData="1">
    <dbPr connection="Provider=Microsoft.Mashup.OleDb.1;Data Source=$Workbook$;Location=&quot;?datasource=tranquility&amp;type_id=2048 (92)&quot;;Extended Properties=&quot;&quot;" command="SELECT * FROM [?datasource=tranquility&amp;type_id=2048 (92)]"/>
  </connection>
  <connection id="94" xr16:uid="{FD6C4534-0C7C-4597-9DBF-BFCE72E3B3F6}" keepAlive="1" name="Query - ?datasource=tranquility&amp;type_id=2048 (93)" description="Connection to the '?datasource=tranquility&amp;type_id=2048 (93)' query in the workbook." type="5" refreshedVersion="7" background="1" saveData="1">
    <dbPr connection="Provider=Microsoft.Mashup.OleDb.1;Data Source=$Workbook$;Location=&quot;?datasource=tranquility&amp;type_id=2048 (93)&quot;;Extended Properties=&quot;&quot;" command="SELECT * FROM [?datasource=tranquility&amp;type_id=2048 (93)]"/>
  </connection>
  <connection id="95" xr16:uid="{B0870C16-DCB8-4FC4-B07D-0D810AD255F4}" keepAlive="1" name="Query - ?datasource=tranquility&amp;type_id=2048 (94)" description="Connection to the '?datasource=tranquility&amp;type_id=2048 (94)' query in the workbook." type="5" refreshedVersion="7" background="1" saveData="1">
    <dbPr connection="Provider=Microsoft.Mashup.OleDb.1;Data Source=$Workbook$;Location=&quot;?datasource=tranquility&amp;type_id=2048 (94)&quot;;Extended Properties=&quot;&quot;" command="SELECT * FROM [?datasource=tranquility&amp;type_id=2048 (94)]"/>
  </connection>
  <connection id="96" xr16:uid="{C75FF02B-6CB3-4989-8BC5-DE61D0188330}" keepAlive="1" name="Query - ?datasource=tranquility&amp;type_id=2048 (95)" description="Connection to the '?datasource=tranquility&amp;type_id=2048 (95)' query in the workbook." type="5" refreshedVersion="7" background="1" saveData="1">
    <dbPr connection="Provider=Microsoft.Mashup.OleDb.1;Data Source=$Workbook$;Location=&quot;?datasource=tranquility&amp;type_id=2048 (95)&quot;;Extended Properties=&quot;&quot;" command="SELECT * FROM [?datasource=tranquility&amp;type_id=2048 (95)]"/>
  </connection>
  <connection id="97" xr16:uid="{18366E07-5DDE-4A81-A943-C632B5B2ABCC}" keepAlive="1" name="Query - ?datasource=tranquility&amp;type_id=2048 (96)" description="Connection to the '?datasource=tranquility&amp;type_id=2048 (96)' query in the workbook." type="5" refreshedVersion="7" background="1" saveData="1">
    <dbPr connection="Provider=Microsoft.Mashup.OleDb.1;Data Source=$Workbook$;Location=&quot;?datasource=tranquility&amp;type_id=2048 (96)&quot;;Extended Properties=&quot;&quot;" command="SELECT * FROM [?datasource=tranquility&amp;type_id=2048 (96)]"/>
  </connection>
  <connection id="98" xr16:uid="{553D75BB-0953-498C-B8BE-C42C3EE65B89}" keepAlive="1" name="Query - ?datasource=tranquility&amp;type_id=2048 (97)" description="Connection to the '?datasource=tranquility&amp;type_id=2048 (97)' query in the workbook." type="5" refreshedVersion="7" background="1" saveData="1">
    <dbPr connection="Provider=Microsoft.Mashup.OleDb.1;Data Source=$Workbook$;Location=&quot;?datasource=tranquility&amp;type_id=2048 (97)&quot;;Extended Properties=&quot;&quot;" command="SELECT * FROM [?datasource=tranquility&amp;type_id=2048 (97)]"/>
  </connection>
  <connection id="99" xr16:uid="{86EA9DC9-D994-456E-9CE3-0C13E47267D0}" keepAlive="1" name="Query - ?datasource=tranquility&amp;type_id=2048 (98)" description="Connection to the '?datasource=tranquility&amp;type_id=2048 (98)' query in the workbook." type="5" refreshedVersion="7" background="1" saveData="1">
    <dbPr connection="Provider=Microsoft.Mashup.OleDb.1;Data Source=$Workbook$;Location=&quot;?datasource=tranquility&amp;type_id=2048 (98)&quot;;Extended Properties=&quot;&quot;" command="SELECT * FROM [?datasource=tranquility&amp;type_id=2048 (98)]"/>
  </connection>
  <connection id="100" xr16:uid="{0F009A77-BC0D-49DF-8248-AF94E1C8EC5C}" keepAlive="1" name="Query - ?datasource=tranquility&amp;type_id=2048 (99)" description="Connection to the '?datasource=tranquility&amp;type_id=2048 (99)' query in the workbook." type="5" refreshedVersion="7" background="1" saveData="1">
    <dbPr connection="Provider=Microsoft.Mashup.OleDb.1;Data Source=$Workbook$;Location=&quot;?datasource=tranquility&amp;type_id=2048 (99)&quot;;Extended Properties=&quot;&quot;" command="SELECT * FROM [?datasource=tranquility&amp;type_id=2048 (99)]"/>
  </connection>
  <connection id="10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<sst xmlns="http://schemas.openxmlformats.org/spreadsheetml/2006/main" count="57208" uniqueCount="47049">
  <si>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</si>
  <si>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</si>
  <si>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</si>
  <si>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</si>
  <si>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</si>
  <si>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</si>
  <si>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</si>
  <si>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</si>
  <si>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</si>
  <si>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</si>
  <si>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</si>
  <si>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</si>
  <si>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</si>
  <si>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</si>
  <si>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</si>
  <si>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</si>
  <si>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</si>
  <si>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</si>
  <si>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</si>
  <si>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</si>
  <si>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</si>
  <si>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</si>
  <si>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</si>
  <si>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</si>
  <si>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</si>
  <si>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</si>
  <si>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</si>
  <si>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</si>
  <si>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</si>
  <si>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</si>
  <si>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</si>
  <si>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</si>
  <si>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</si>
  <si>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</si>
  <si>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</si>
  <si>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</si>
  <si>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</si>
  <si>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</si>
  <si>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</si>
  <si>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</si>
  <si>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</si>
  <si>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</si>
  <si>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</si>
  <si>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</si>
  <si>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</si>
  <si>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</si>
  <si>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</si>
  <si>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</si>
  <si>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</si>
  <si>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</si>
  <si>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</si>
  <si>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</si>
  <si>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</si>
  <si>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</si>
  <si>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</si>
  <si>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</si>
  <si>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</si>
  <si>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</si>
  <si>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</si>
  <si>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</si>
  <si>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</si>
  <si>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</si>
  <si>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</si>
  <si>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</si>
  <si>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</si>
  <si>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</si>
  <si>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</si>
  <si>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</si>
  <si>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</si>
  <si>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</si>
  <si>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</si>
  <si>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</si>
  <si>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</si>
  <si>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</si>
  <si>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</si>
  <si>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</si>
  <si>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</si>
  <si>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</si>
  <si>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</si>
  <si>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</si>
  <si>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</si>
  <si>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</si>
  <si>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</si>
  <si>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</si>
  <si>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</si>
  <si>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</si>
  <si>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</si>
  <si>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</si>
  <si>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</si>
  <si>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</si>
  <si>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</si>
  <si>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</si>
  <si>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</si>
  <si>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</si>
  <si>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</si>
  <si>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</si>
  <si>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</si>
  <si>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</si>
  <si>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</si>
  <si>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</si>
  <si>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</si>
  <si>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</si>
  <si>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</si>
  <si>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</si>
  <si>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</si>
  <si>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</si>
  <si>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</si>
  <si>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</si>
  <si>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</si>
  <si>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</si>
  <si>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</si>
  <si>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</si>
  <si>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</si>
  <si>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</si>
  <si>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</si>
  <si>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</si>
  <si>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</si>
  <si>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</si>
  <si>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</si>
  <si>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</si>
  <si>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</si>
  <si>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</si>
  <si>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</si>
  <si>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</si>
  <si>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</si>
  <si>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</si>
  <si>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</si>
  <si>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</si>
  <si>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</si>
  <si>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</si>
  <si>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</si>
  <si>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</si>
  <si>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</si>
  <si>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</si>
  <si>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</si>
  <si>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</si>
  <si>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</si>
  <si>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</si>
  <si>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</si>
  <si>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</si>
  <si>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</si>
  <si>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</si>
  <si>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</si>
  <si>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</si>
  <si>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</si>
  <si>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</si>
  <si>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</si>
  <si>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</si>
  <si>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</si>
  <si>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</si>
  <si>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</si>
  <si>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</si>
  <si>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</si>
  <si>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</si>
  <si>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</si>
  <si>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</si>
  <si>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</si>
  <si>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</si>
  <si>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</si>
  <si>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</si>
  <si>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</si>
  <si>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</si>
  <si>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</si>
  <si>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</si>
  <si>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</si>
  <si>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</si>
  <si>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</si>
  <si>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</si>
  <si>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</si>
  <si>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</si>
  <si>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</si>
  <si>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</si>
  <si>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</si>
  <si>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</si>
  <si>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</si>
  <si>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</si>
  <si>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</si>
  <si>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</si>
  <si>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</si>
  <si>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</si>
  <si>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</si>
  <si>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</si>
  <si>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</si>
  <si>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</si>
  <si>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</si>
  <si>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</si>
  <si>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</si>
  <si>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</si>
  <si>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</si>
  <si>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</si>
  <si>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</si>
  <si>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</si>
  <si>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</si>
  <si>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</si>
  <si>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</si>
  <si>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</si>
  <si>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</si>
  <si>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</si>
  <si>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</si>
  <si>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</si>
  <si>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</si>
  <si>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</si>
  <si>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</si>
  <si>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</si>
  <si>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</si>
  <si>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</si>
  <si>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</si>
  <si>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</si>
  <si>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</si>
  <si>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</si>
  <si>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</si>
  <si>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</si>
  <si>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</si>
  <si>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</si>
  <si>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</si>
  <si>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</si>
  <si>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</si>
  <si>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</si>
  <si>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</si>
  <si>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</si>
  <si>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</si>
  <si>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</si>
  <si>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</si>
  <si>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</si>
  <si>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</si>
  <si>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</si>
  <si>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</si>
  <si>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</si>
  <si>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</si>
  <si>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</si>
  <si>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</si>
  <si>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</si>
  <si>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</si>
  <si>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</si>
  <si>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</si>
  <si>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</si>
  <si>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</si>
  <si>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</si>
  <si>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</si>
  <si>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</si>
  <si>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</si>
  <si>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</si>
  <si>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</si>
  <si>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</si>
  <si>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</si>
  <si>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</si>
  <si>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</si>
  <si>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</si>
  <si>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</si>
  <si>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</si>
  <si>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</si>
  <si>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</si>
  <si>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</si>
  <si>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</si>
  <si>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</si>
  <si>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</si>
  <si>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</si>
  <si>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</si>
  <si>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</si>
  <si>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</si>
  <si>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</si>
  <si>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</si>
  <si>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</si>
  <si>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</si>
  <si>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</si>
  <si>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</si>
  <si>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</si>
  <si>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</si>
  <si>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</si>
  <si>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</si>
  <si>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</si>
  <si>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</si>
  <si>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</si>
  <si>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</si>
  <si>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</si>
  <si>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</si>
  <si>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</si>
  <si>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</si>
  <si>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</si>
  <si>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</si>
  <si>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</si>
  <si>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</si>
  <si>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</si>
  <si>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</si>
  <si>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</si>
  <si>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</si>
  <si>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</si>
  <si>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</si>
  <si>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</si>
  <si>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</si>
  <si>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</si>
  <si>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</si>
  <si>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</si>
  <si>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</si>
  <si>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</si>
  <si>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</si>
  <si>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</si>
  <si>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</si>
  <si>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</si>
  <si>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</si>
  <si>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</si>
  <si>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</si>
  <si>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</si>
  <si>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</si>
  <si>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</si>
  <si>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</si>
  <si>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</si>
  <si>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</si>
  <si>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</si>
  <si>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</si>
  <si>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</si>
  <si>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</si>
  <si>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</si>
  <si>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</si>
  <si>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</si>
  <si>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</si>
  <si>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</si>
  <si>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</si>
  <si>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</si>
  <si>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</si>
  <si>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</si>
  <si>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</si>
  <si>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</si>
  <si>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</si>
  <si>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</si>
  <si>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</si>
  <si>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</si>
  <si>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</si>
  <si>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</si>
  <si>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</si>
  <si>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</si>
  <si>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</si>
  <si>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</si>
  <si>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</si>
  <si>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</si>
  <si>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</si>
  <si>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</si>
  <si>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</si>
  <si>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</si>
  <si>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</si>
  <si>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</si>
  <si>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</si>
  <si>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</si>
  <si>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</si>
  <si>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</si>
  <si>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</si>
  <si>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</si>
  <si>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</si>
  <si>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</si>
  <si>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</si>
  <si>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</si>
  <si>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</si>
  <si>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</si>
  <si>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</si>
  <si>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</si>
  <si>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</si>
  <si>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</si>
  <si>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</si>
  <si>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</si>
  <si>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</si>
  <si>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</si>
  <si>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</si>
  <si>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</si>
  <si>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</si>
  <si>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</si>
  <si>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</si>
  <si>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</si>
  <si>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</si>
  <si>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</si>
  <si>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</si>
  <si>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</si>
  <si>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</si>
  <si>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</si>
  <si>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</si>
  <si>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</si>
  <si>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</si>
  <si>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</si>
  <si>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</si>
  <si>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</si>
  <si>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</si>
  <si>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</si>
  <si>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</si>
  <si>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</si>
  <si>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</si>
  <si>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</si>
  <si>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</si>
  <si>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</si>
  <si>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</si>
  <si>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</si>
  <si>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</si>
  <si>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</si>
  <si>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</si>
  <si>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</si>
  <si>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</si>
  <si>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</si>
  <si>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</si>
  <si>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</si>
  <si>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</si>
  <si>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</si>
  <si>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</si>
  <si>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</si>
  <si>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</si>
  <si>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</si>
  <si>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</si>
  <si>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</si>
  <si>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</si>
  <si>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</si>
  <si>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</si>
  <si>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</si>
  <si>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</si>
  <si>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</si>
  <si>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</si>
  <si>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</si>
  <si>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</si>
  <si>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</si>
  <si>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</si>
  <si>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</si>
  <si>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</si>
  <si>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</si>
  <si>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</si>
  <si>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</si>
  <si>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</si>
  <si>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</si>
  <si>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</si>
  <si>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</si>
  <si>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</si>
  <si>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</si>
  <si>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</si>
  <si>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</si>
  <si>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</si>
  <si>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</si>
  <si>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</si>
  <si>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</si>
  <si>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</si>
  <si>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</si>
  <si>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</si>
  <si>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</si>
  <si>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</si>
  <si>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</si>
  <si>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</si>
  <si>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</si>
  <si>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</si>
  <si>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</si>
  <si>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</si>
  <si>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</si>
  <si>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</si>
  <si>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</si>
  <si>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</si>
  <si>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</si>
  <si>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</si>
  <si>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</si>
  <si>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</si>
  <si>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</si>
  <si>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</si>
  <si>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</si>
  <si>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</si>
  <si>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</si>
  <si>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</si>
  <si>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</si>
  <si>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</si>
  <si>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</si>
  <si>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</si>
  <si>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</si>
  <si>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</si>
  <si>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</si>
  <si>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</si>
  <si>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</si>
  <si>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</si>
  <si>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</si>
  <si>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</si>
  <si>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</si>
  <si>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</si>
  <si>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</si>
  <si>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</si>
  <si>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</si>
  <si>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</si>
  <si>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</si>
  <si>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</si>
  <si>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</si>
  <si>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</si>
  <si>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</si>
  <si>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</si>
  <si>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</si>
  <si>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</si>
  <si>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</si>
  <si>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</si>
  <si>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</si>
  <si>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</si>
  <si>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</si>
  <si>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</si>
  <si>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</si>
  <si>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</si>
  <si>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</si>
  <si>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</si>
  <si>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</si>
  <si>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</si>
  <si>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</si>
  <si>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</si>
  <si>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</si>
  <si>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</si>
  <si>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</si>
  <si>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</si>
  <si>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</si>
  <si>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</si>
  <si>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</si>
  <si>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</si>
  <si>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</si>
  <si>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</si>
  <si>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</si>
  <si>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</si>
  <si>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</si>
  <si>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</si>
  <si>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</si>
  <si>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</si>
  <si>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</si>
  <si>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</si>
  <si>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</si>
  <si>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</si>
  <si>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</si>
  <si>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</si>
  <si>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</si>
  <si>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</si>
  <si>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</si>
  <si>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</si>
  <si>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</si>
  <si>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</si>
  <si>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</si>
  <si>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</si>
  <si>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</si>
  <si>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</si>
  <si>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</si>
  <si>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</si>
  <si>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</si>
  <si>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</si>
  <si>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</si>
  <si>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</si>
  <si>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</si>
  <si>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</si>
  <si>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</si>
  <si>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</si>
  <si>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</si>
  <si>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</si>
  <si>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</si>
  <si>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</si>
  <si>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</si>
  <si>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</si>
  <si>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</si>
  <si>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</si>
  <si>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</si>
  <si>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</si>
  <si>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</si>
  <si>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</si>
  <si>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</si>
  <si>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</si>
  <si>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</si>
  <si>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</si>
  <si>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</si>
  <si>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</si>
  <si>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</si>
  <si>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</si>
  <si>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</si>
  <si>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</si>
  <si>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</si>
  <si>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</si>
  <si>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</si>
  <si>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</si>
  <si>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</si>
  <si>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</si>
  <si>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</si>
  <si>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</si>
  <si>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</si>
  <si>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</si>
  <si>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</si>
  <si>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</si>
  <si>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</si>
  <si>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</si>
  <si>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</si>
  <si>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</si>
  <si>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</si>
  <si>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</si>
  <si>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</si>
  <si>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</si>
  <si>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</si>
  <si>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</si>
  <si>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</si>
  <si>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</si>
  <si>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</si>
  <si>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</si>
  <si>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</si>
  <si>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</si>
  <si>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</si>
  <si>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</si>
  <si>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</si>
  <si>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</si>
  <si>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</si>
  <si>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</si>
  <si>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</si>
  <si>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</si>
  <si>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</si>
  <si>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</si>
  <si>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</si>
  <si>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</si>
  <si>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</si>
  <si>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</si>
  <si>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</si>
  <si>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</si>
  <si>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</si>
  <si>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</si>
  <si>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</si>
  <si>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</si>
  <si>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</si>
  <si>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</si>
  <si>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</si>
  <si>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</si>
  <si>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</si>
  <si>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</si>
  <si>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</si>
  <si>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</si>
  <si>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</si>
  <si>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</si>
  <si>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</si>
  <si>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</si>
  <si>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</si>
  <si>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</si>
  <si>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</si>
  <si>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</si>
  <si>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</si>
  <si>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</si>
  <si>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</si>
  <si>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</si>
  <si>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</si>
  <si>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</si>
  <si>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</si>
  <si>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</si>
  <si>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</si>
  <si>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</si>
  <si>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</si>
  <si>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</si>
  <si>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</si>
  <si>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</si>
  <si>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</si>
  <si>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</si>
  <si>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</si>
  <si>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</si>
  <si>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</si>
  <si>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</si>
  <si>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</si>
  <si>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</si>
  <si>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</si>
  <si>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</si>
  <si>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</si>
  <si>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</si>
  <si>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</si>
  <si>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</si>
  <si>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</si>
  <si>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</si>
  <si>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</si>
  <si>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</si>
  <si>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</si>
  <si>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</si>
  <si>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</si>
  <si>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</si>
  <si>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</si>
  <si>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</si>
  <si>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</si>
  <si>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</si>
  <si>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</si>
  <si>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</si>
  <si>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</si>
  <si>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</si>
  <si>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</si>
  <si>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</si>
  <si>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</si>
  <si>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</si>
  <si>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</si>
  <si>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</si>
  <si>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</si>
  <si>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</si>
  <si>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</si>
  <si>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</si>
  <si>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</si>
  <si>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</si>
  <si>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</si>
  <si>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</si>
  <si>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</si>
  <si>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</si>
  <si>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</si>
  <si>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</si>
  <si>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</si>
  <si>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</si>
  <si>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</si>
  <si>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</si>
  <si>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</si>
  <si>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</si>
  <si>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</si>
  <si>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</si>
  <si>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</si>
  <si>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</si>
  <si>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</si>
  <si>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</si>
  <si>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</si>
  <si>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</si>
  <si>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</si>
  <si>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</si>
  <si>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</si>
  <si>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</si>
  <si>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</si>
  <si>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</si>
  <si>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</si>
  <si>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</si>
  <si>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</si>
  <si>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</si>
  <si>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</si>
  <si>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</si>
  <si>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</si>
  <si>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</si>
  <si>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</si>
  <si>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</si>
  <si>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</si>
  <si>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</si>
  <si>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</si>
  <si>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</si>
  <si>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</si>
  <si>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</si>
  <si>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</si>
  <si>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</si>
  <si>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</si>
  <si>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</si>
  <si>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</si>
  <si>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</si>
  <si>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</si>
  <si>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</si>
  <si>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</si>
  <si>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</si>
  <si>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</si>
  <si>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</si>
  <si>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</si>
  <si>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</si>
  <si>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</si>
  <si>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</si>
  <si>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</si>
  <si>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</si>
  <si>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</si>
  <si>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</si>
  <si>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</si>
  <si>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</si>
  <si>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</si>
  <si>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</si>
  <si>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</si>
  <si>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</si>
  <si>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</si>
  <si>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</si>
  <si>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</si>
  <si>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</si>
  <si>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</si>
  <si>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</si>
  <si>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</si>
  <si>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</si>
  <si>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</si>
  <si>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</si>
  <si>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</si>
  <si>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</si>
  <si>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</si>
  <si>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</si>
  <si>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</si>
  <si>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</si>
  <si>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</si>
  <si>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</si>
  <si>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</si>
  <si>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</si>
  <si>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</si>
  <si>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</si>
  <si>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</si>
  <si>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</si>
  <si>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</si>
  <si>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</si>
  <si>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</si>
  <si>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</si>
  <si>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</si>
  <si>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</si>
  <si>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</si>
  <si>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</si>
  <si>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</si>
  <si>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</si>
  <si>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</si>
  <si>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</si>
  <si>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</si>
  <si>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</si>
  <si>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</si>
  <si>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</si>
  <si>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</si>
  <si>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</si>
  <si>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</si>
  <si>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</si>
  <si>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</si>
  <si>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</si>
  <si>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</si>
  <si>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</si>
  <si>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</si>
  <si>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</si>
  <si>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</si>
  <si>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</si>
  <si>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</si>
  <si>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</si>
  <si>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</si>
  <si>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</si>
  <si>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</si>
  <si>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</si>
  <si>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</si>
  <si>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</si>
  <si>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</si>
  <si>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</si>
  <si>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</si>
  <si>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</si>
  <si>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</si>
  <si>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</si>
  <si>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</si>
  <si>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</si>
  <si>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</si>
  <si>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</si>
  <si>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</si>
  <si>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</si>
  <si>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</si>
  <si>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</si>
  <si>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</si>
  <si>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</si>
  <si>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</si>
  <si>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</si>
  <si>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</si>
  <si>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</si>
  <si>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</si>
  <si>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</si>
  <si>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</si>
  <si>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</si>
  <si>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</si>
  <si>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</si>
  <si>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</si>
  <si>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</si>
  <si>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</si>
  <si>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</si>
  <si>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</si>
  <si>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</si>
  <si>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</si>
  <si>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</si>
  <si>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</si>
  <si>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</si>
  <si>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</si>
  <si>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</si>
  <si>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</si>
  <si>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</si>
  <si>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</si>
  <si>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</si>
  <si>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</si>
  <si>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</si>
  <si>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</si>
  <si>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</si>
  <si>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</si>
  <si>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</si>
  <si>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</si>
  <si>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</si>
  <si>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</si>
  <si>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</si>
  <si>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</si>
  <si>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</si>
  <si>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</si>
  <si>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</si>
  <si>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</si>
  <si>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</si>
  <si>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</si>
  <si>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</si>
  <si>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</si>
  <si>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</si>
  <si>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</si>
  <si>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</si>
  <si>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</si>
  <si>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</si>
  <si>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</si>
  <si>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</si>
  <si>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</si>
  <si>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</si>
  <si>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</si>
  <si>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</si>
  <si>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</si>
  <si>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</si>
  <si>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</si>
  <si>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</si>
  <si>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</si>
  <si>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</si>
  <si>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</si>
  <si>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</si>
  <si>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</si>
  <si>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</si>
  <si>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</si>
  <si>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</si>
  <si>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</si>
  <si>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</si>
  <si>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</si>
  <si>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</si>
  <si>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</si>
  <si>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</si>
  <si>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</si>
  <si>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</si>
  <si>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</si>
  <si>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</si>
  <si>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</si>
  <si>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</si>
  <si>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</si>
  <si>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</si>
  <si>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</si>
  <si>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</si>
  <si>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</si>
  <si>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</si>
  <si>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</si>
  <si>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</si>
  <si>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</si>
  <si>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</si>
  <si>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</si>
  <si>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</si>
  <si>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</si>
  <si>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</si>
  <si>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</si>
  <si>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</si>
  <si>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</si>
  <si>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</si>
  <si>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</si>
  <si>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</si>
  <si>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</si>
  <si>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</si>
  <si>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</si>
  <si>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</si>
  <si>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</si>
  <si>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</si>
  <si>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</si>
  <si>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</si>
  <si>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</si>
  <si>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</si>
  <si>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</si>
  <si>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</si>
  <si>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</si>
  <si>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</si>
  <si>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</si>
  <si>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</si>
  <si>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</si>
  <si>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</si>
  <si>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</si>
  <si>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</si>
  <si>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</si>
  <si>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</si>
  <si>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</si>
  <si>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</si>
  <si>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</si>
  <si>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</si>
  <si>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</si>
  <si>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</si>
  <si>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</si>
  <si>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</si>
  <si>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</si>
  <si>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</si>
  <si>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</si>
  <si>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</si>
  <si>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</si>
  <si>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</si>
  <si>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</si>
  <si>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</si>
  <si>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</si>
  <si>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</si>
  <si>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</si>
  <si>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</si>
  <si>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</si>
  <si>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</si>
  <si>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</si>
  <si>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</si>
  <si>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</si>
  <si>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</si>
  <si>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</si>
  <si>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</si>
  <si>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</si>
  <si>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</si>
  <si>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</si>
  <si>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</si>
  <si>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</si>
  <si>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</si>
  <si>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</si>
  <si>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</si>
  <si>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</si>
  <si>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</si>
  <si>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</si>
  <si>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</si>
  <si>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</si>
  <si>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</si>
  <si>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</si>
  <si>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</si>
  <si>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</si>
  <si>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</si>
  <si>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</si>
  <si>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</si>
  <si>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</si>
  <si>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</si>
  <si>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</si>
  <si>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</si>
  <si>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</si>
  <si>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</si>
  <si>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</si>
  <si>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</si>
  <si>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</si>
  <si>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</si>
  <si>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</si>
  <si>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</si>
  <si>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</si>
  <si>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</si>
  <si>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</si>
  <si>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</si>
  <si>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</si>
  <si>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</si>
  <si>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</si>
  <si>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</si>
  <si>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</si>
  <si>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</si>
  <si>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</si>
  <si>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</si>
  <si>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</si>
  <si>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</si>
  <si>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</si>
  <si>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</si>
  <si>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</si>
  <si>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</si>
  <si>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</si>
  <si>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</si>
  <si>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</si>
  <si>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</si>
  <si>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</si>
  <si>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</si>
  <si>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</si>
  <si>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</si>
  <si>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</si>
  <si>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</si>
  <si>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</si>
  <si>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</si>
  <si>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</si>
  <si>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</si>
  <si>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</si>
  <si>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</si>
  <si>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</si>
  <si>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</si>
  <si>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</si>
  <si>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</si>
  <si>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</si>
  <si>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</si>
  <si>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</si>
  <si>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</si>
  <si>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</si>
  <si>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</si>
  <si>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</si>
  <si>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</si>
  <si>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</si>
  <si>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</si>
  <si>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</si>
  <si>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</si>
  <si>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</si>
  <si>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</si>
  <si>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</si>
  <si>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</si>
  <si>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</si>
  <si>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</si>
  <si>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</si>
  <si>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</si>
  <si>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</si>
  <si>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</si>
  <si>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</si>
  <si>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</si>
  <si>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</si>
  <si>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</si>
  <si>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</si>
  <si>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</si>
  <si>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</si>
  <si>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</si>
  <si>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</si>
  <si>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</si>
  <si>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</si>
  <si>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</si>
  <si>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</si>
  <si>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</si>
  <si>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</si>
  <si>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</si>
  <si>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</si>
  <si>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</si>
  <si>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</si>
  <si>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</si>
  <si>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</si>
  <si>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</si>
  <si>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</si>
  <si>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</si>
  <si>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</si>
  <si>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</si>
  <si>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</si>
  <si>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</si>
  <si>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</si>
  <si>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</si>
  <si>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</si>
  <si>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</si>
  <si>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</si>
  <si>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</si>
  <si>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</si>
  <si>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</si>
  <si>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</si>
  <si>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</si>
  <si>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</si>
  <si>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</si>
  <si>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</si>
  <si>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</si>
  <si>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</si>
  <si>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</si>
  <si>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</si>
  <si>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</si>
  <si>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</si>
  <si>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</si>
  <si>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</si>
  <si>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</si>
  <si>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</si>
  <si>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</si>
  <si>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</si>
  <si>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</si>
  <si>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</si>
  <si>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</si>
  <si>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</si>
  <si>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</si>
  <si>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</si>
  <si>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</si>
  <si>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</si>
  <si>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</si>
  <si>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</si>
  <si>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</si>
  <si>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</si>
  <si>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</si>
  <si>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</si>
  <si>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</si>
  <si>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</si>
  <si>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</si>
  <si>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</si>
  <si>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</si>
  <si>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</si>
  <si>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</si>
  <si>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</si>
  <si>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</si>
  <si>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</si>
  <si>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</si>
  <si>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</si>
  <si>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</si>
  <si>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</si>
  <si>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</si>
  <si>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</si>
  <si>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</si>
  <si>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</si>
  <si>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</si>
  <si>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</si>
  <si>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</si>
  <si>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</si>
  <si>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</si>
  <si>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</si>
  <si>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</si>
  <si>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</si>
  <si>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</si>
  <si>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</si>
  <si>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</si>
  <si>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</si>
  <si>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</si>
  <si>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</si>
  <si>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</si>
  <si>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</si>
  <si>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</si>
  <si>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</si>
  <si>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</si>
  <si>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</si>
  <si>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</si>
  <si>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</si>
  <si>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</si>
  <si>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</si>
  <si>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</si>
  <si>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</si>
  <si>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</si>
  <si>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</si>
  <si>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</si>
  <si>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</si>
  <si>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</si>
  <si>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</si>
  <si>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</si>
  <si>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</si>
  <si>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</si>
  <si>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</si>
  <si>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</si>
  <si>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</si>
  <si>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</si>
  <si>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</si>
  <si>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</si>
  <si>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</si>
  <si>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</si>
  <si>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</si>
  <si>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</si>
  <si>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</si>
  <si>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</si>
  <si>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</si>
  <si>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</si>
  <si>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</si>
  <si>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</si>
  <si>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</si>
  <si>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</si>
  <si>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</si>
  <si>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</si>
  <si>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</si>
  <si>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</si>
  <si>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</si>
  <si>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</si>
  <si>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</si>
  <si>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</si>
  <si>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</si>
  <si>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</si>
  <si>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</si>
  <si>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</si>
  <si>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</si>
  <si>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</si>
  <si>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</si>
  <si>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</si>
  <si>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</si>
  <si>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</si>
  <si>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</si>
  <si>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</si>
  <si>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</si>
  <si>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</si>
  <si>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</si>
  <si>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</si>
  <si>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</si>
  <si>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</si>
  <si>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</si>
  <si>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</si>
  <si>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</si>
  <si>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</si>
  <si>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</si>
  <si>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</si>
  <si>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</si>
  <si>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</si>
  <si>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</si>
  <si>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</si>
  <si>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</si>
  <si>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</si>
  <si>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</si>
  <si>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</si>
  <si>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</si>
  <si>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</si>
  <si>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</si>
  <si>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</si>
  <si>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</si>
  <si>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</si>
  <si>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</si>
  <si>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</si>
  <si>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</si>
  <si>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</si>
  <si>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</si>
  <si>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</si>
  <si>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</si>
  <si>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</si>
  <si>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</si>
  <si>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</si>
  <si>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</si>
  <si>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</si>
  <si>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</si>
  <si>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</si>
  <si>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</si>
  <si>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</si>
  <si>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</si>
  <si>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</si>
  <si>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</si>
  <si>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</si>
  <si>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</si>
  <si>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</si>
  <si>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</si>
  <si>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</si>
  <si>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</si>
  <si>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</si>
  <si>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</si>
  <si>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</si>
  <si>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</si>
  <si>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</si>
  <si>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</si>
  <si>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</si>
  <si>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</si>
  <si>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</si>
  <si>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</si>
  <si>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</si>
  <si>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</si>
  <si>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</si>
  <si>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</si>
  <si>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</si>
  <si>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</si>
  <si>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</si>
  <si>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</si>
  <si>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</si>
  <si>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</si>
  <si>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</si>
  <si>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</si>
  <si>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</si>
  <si>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</si>
  <si>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</si>
  <si>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</si>
  <si>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</si>
  <si>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</si>
  <si>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</si>
  <si>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</si>
  <si>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</si>
  <si>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</si>
  <si>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</si>
  <si>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</si>
  <si>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</si>
  <si>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</si>
  <si>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</si>
  <si>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</si>
  <si>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</si>
  <si>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</si>
  <si>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</si>
  <si>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</si>
  <si>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</si>
  <si>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</si>
  <si>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</si>
  <si>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</si>
  <si>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</si>
  <si>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</si>
  <si>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</si>
  <si>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</si>
  <si>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</si>
  <si>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</si>
  <si>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</si>
  <si>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</si>
  <si>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</si>
  <si>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</si>
  <si>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</si>
  <si>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</si>
  <si>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</si>
  <si>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</si>
  <si>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</si>
  <si>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</si>
  <si>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</si>
  <si>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</si>
  <si>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</si>
  <si>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</si>
  <si>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</si>
  <si>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</si>
  <si>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</si>
  <si>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</si>
  <si>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</si>
  <si>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</si>
  <si>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</si>
  <si>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</si>
  <si>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</si>
  <si>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</si>
  <si>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</si>
  <si>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</si>
  <si>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</si>
  <si>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</si>
  <si>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</si>
  <si>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</si>
  <si>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</si>
  <si>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</si>
  <si>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</si>
  <si>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</si>
  <si>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</si>
  <si>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</si>
  <si>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</si>
  <si>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</si>
  <si>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</si>
  <si>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</si>
  <si>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</si>
  <si>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</si>
  <si>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</si>
  <si>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</si>
  <si>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</si>
  <si>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</si>
  <si>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</si>
  <si>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</si>
  <si>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</si>
  <si>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</si>
  <si>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</si>
  <si>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</si>
  <si>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</si>
  <si>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</si>
  <si>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</si>
  <si>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</si>
  <si>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</si>
  <si>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</si>
  <si>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</si>
  <si>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</si>
  <si>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</si>
  <si>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</si>
  <si>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</si>
  <si>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</si>
  <si>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</si>
  <si>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</si>
  <si>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</si>
  <si>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</si>
  <si>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</si>
  <si>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</si>
  <si>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</si>
  <si>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</si>
  <si>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</si>
  <si>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</si>
  <si>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</si>
  <si>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</si>
  <si>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</si>
  <si>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</si>
  <si>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</si>
  <si>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</si>
  <si>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</si>
  <si>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</si>
  <si>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</si>
  <si>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</si>
  <si>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</si>
  <si>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</si>
  <si>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</si>
  <si>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</si>
  <si>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</si>
  <si>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</si>
  <si>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</si>
  <si>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</si>
  <si>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</si>
  <si>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</si>
  <si>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</si>
  <si>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</si>
  <si>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</si>
  <si>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</si>
  <si>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</si>
  <si>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</si>
  <si>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</si>
  <si>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</si>
  <si>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</si>
  <si>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</si>
  <si>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</si>
  <si>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</si>
  <si>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</si>
  <si>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</si>
  <si>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</si>
  <si>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</si>
  <si>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</si>
  <si>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</si>
  <si>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</si>
  <si>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</si>
  <si>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</si>
  <si>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</si>
  <si>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</si>
  <si>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</si>
  <si>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</si>
  <si>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</si>
  <si>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</si>
  <si>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</si>
  <si>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</si>
  <si>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</si>
  <si>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</si>
  <si>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</si>
  <si>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</si>
  <si>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</si>
  <si>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</si>
  <si>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</si>
  <si>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</si>
  <si>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</si>
  <si>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</si>
  <si>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</si>
  <si>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</si>
  <si>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</si>
  <si>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</si>
  <si>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</si>
  <si>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</si>
  <si>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</si>
  <si>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</si>
  <si>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</si>
  <si>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</si>
  <si>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</si>
  <si>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</si>
  <si>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</si>
  <si>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</si>
  <si>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</si>
  <si>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</si>
  <si>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</si>
  <si>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</si>
  <si>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</si>
  <si>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</si>
  <si>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</si>
  <si>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</si>
  <si>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</si>
  <si>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</si>
  <si>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</si>
  <si>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</si>
  <si>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</si>
  <si>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</si>
  <si>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</si>
  <si>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</si>
  <si>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</si>
  <si>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</si>
  <si>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</si>
  <si>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</si>
  <si>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</si>
  <si>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</si>
  <si>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</si>
  <si>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</si>
  <si>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</si>
  <si>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</si>
  <si>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</si>
  <si>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</si>
  <si>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</si>
  <si>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</si>
  <si>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</si>
  <si>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</si>
  <si>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</si>
  <si>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</si>
  <si>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</si>
  <si>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</si>
  <si>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</si>
  <si>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</si>
  <si>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</si>
  <si>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</si>
  <si>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</si>
  <si>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</si>
  <si>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</si>
  <si>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</si>
  <si>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</si>
  <si>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</si>
  <si>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</si>
  <si>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</si>
  <si>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</si>
  <si>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</si>
  <si>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</si>
  <si>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</si>
  <si>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</si>
  <si>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</si>
  <si>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</si>
  <si>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</si>
  <si>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</si>
  <si>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</si>
  <si>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</si>
  <si>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</si>
  <si>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</si>
  <si>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</si>
  <si>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</si>
  <si>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</si>
  <si>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</si>
  <si>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</si>
  <si>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</si>
  <si>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</si>
  <si>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</si>
  <si>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</si>
  <si>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</si>
  <si>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</si>
  <si>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</si>
  <si>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</si>
  <si>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</si>
  <si>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</si>
  <si>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</si>
  <si>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</si>
  <si>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</si>
  <si>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</si>
  <si>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</si>
  <si>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</si>
  <si>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</si>
  <si>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</si>
  <si>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</si>
  <si>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</si>
  <si>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</si>
  <si>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</si>
  <si>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</si>
  <si>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</si>
  <si>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</si>
  <si>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</si>
  <si>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</si>
  <si>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</si>
  <si>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</si>
  <si>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</si>
  <si>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</si>
  <si>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</si>
  <si>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</si>
  <si>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</si>
  <si>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</si>
  <si>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</si>
  <si>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</si>
  <si>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</si>
  <si>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</si>
  <si>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</si>
  <si>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</si>
  <si>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</si>
  <si>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</si>
  <si>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</si>
  <si>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</si>
  <si>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</si>
  <si>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</si>
  <si>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</si>
  <si>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</si>
  <si>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</si>
  <si>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</si>
  <si>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</si>
  <si>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</si>
  <si>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</si>
  <si>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</si>
  <si>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</si>
  <si>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</si>
  <si>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</si>
  <si>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</si>
  <si>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</si>
  <si>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</si>
  <si>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</si>
  <si>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</si>
  <si>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</si>
  <si>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</si>
  <si>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</si>
  <si>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</si>
  <si>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</si>
  <si>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</si>
  <si>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</si>
  <si>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</si>
  <si>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</si>
  <si>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</si>
  <si>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</si>
  <si>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</si>
  <si>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</si>
  <si>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</si>
  <si>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</si>
  <si>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</si>
  <si>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</si>
  <si>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</si>
  <si>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</si>
  <si>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</si>
  <si>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</si>
  <si>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</si>
  <si>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</si>
  <si>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</si>
  <si>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</si>
  <si>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</si>
  <si>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</si>
  <si>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</si>
  <si>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</si>
  <si>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</si>
  <si>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</si>
  <si>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</si>
  <si>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</si>
  <si>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</si>
  <si>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</si>
  <si>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</si>
  <si>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</si>
  <si>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</si>
  <si>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</si>
  <si>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</si>
  <si>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</si>
  <si>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</si>
  <si>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</si>
  <si>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</si>
  <si>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</si>
  <si>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</si>
  <si>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</si>
  <si>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</si>
  <si>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</si>
  <si>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</si>
  <si>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</si>
  <si>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</si>
  <si>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</si>
  <si>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</si>
  <si>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</si>
  <si>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</si>
  <si>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</si>
  <si>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</si>
  <si>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</si>
  <si>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</si>
  <si>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</si>
  <si>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</si>
  <si>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</si>
  <si>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</si>
  <si>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</si>
  <si>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</si>
  <si>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</si>
  <si>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</si>
  <si>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</si>
  <si>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</si>
  <si>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</si>
  <si>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</si>
  <si>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</si>
  <si>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</si>
  <si>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</si>
  <si>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</si>
  <si>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</si>
  <si>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</si>
  <si>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</si>
  <si>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</si>
  <si>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</si>
  <si>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</si>
  <si>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</si>
  <si>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</si>
  <si>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</si>
  <si>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</si>
  <si>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</si>
  <si>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</si>
  <si>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</si>
  <si>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</si>
  <si>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</si>
  <si>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</si>
  <si>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</si>
  <si>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</si>
  <si>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</si>
  <si>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</si>
  <si>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</si>
  <si>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</si>
  <si>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</si>
  <si>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</si>
  <si>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</si>
  <si>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</si>
  <si>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</si>
  <si>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</si>
  <si>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</si>
  <si>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</si>
  <si>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</si>
  <si>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</si>
  <si>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</si>
  <si>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</si>
  <si>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</si>
  <si>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</si>
  <si>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</si>
  <si>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</si>
  <si>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</si>
  <si>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</si>
  <si>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</si>
  <si>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</si>
  <si>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</si>
  <si>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</si>
  <si>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</si>
  <si>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</si>
  <si>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</si>
  <si>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</si>
  <si>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</si>
  <si>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</si>
  <si>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</si>
  <si>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</si>
  <si>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</si>
  <si>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</si>
  <si>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</si>
  <si>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</si>
  <si>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</si>
  <si>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</si>
  <si>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</si>
  <si>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</si>
  <si>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</si>
  <si>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</si>
  <si>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</si>
  <si>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</si>
  <si>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</si>
  <si>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</si>
  <si>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</si>
  <si>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</si>
  <si>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</si>
  <si>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</si>
  <si>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</si>
  <si>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</si>
  <si>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</si>
  <si>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</si>
  <si>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</si>
  <si>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</si>
  <si>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</si>
  <si>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</si>
  <si>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</si>
  <si>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</si>
  <si>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</si>
  <si>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</si>
  <si>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</si>
  <si>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</si>
  <si>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</si>
  <si>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</si>
  <si>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</si>
  <si>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</si>
  <si>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</si>
  <si>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</si>
  <si>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</si>
  <si>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</si>
  <si>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</si>
  <si>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</si>
  <si>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</si>
  <si>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</si>
  <si>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</si>
  <si>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</si>
  <si>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</si>
  <si>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</si>
  <si>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</si>
  <si>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</si>
  <si>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</si>
  <si>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</si>
  <si>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</si>
  <si>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</si>
  <si>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</si>
  <si>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</si>
  <si>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</si>
  <si>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</si>
  <si>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</si>
  <si>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</si>
  <si>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</si>
  <si>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</si>
  <si>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</si>
  <si>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</si>
  <si>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</si>
  <si>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</si>
  <si>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</si>
  <si>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</si>
  <si>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</si>
  <si>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</si>
  <si>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</si>
  <si>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</si>
  <si>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</si>
  <si>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</si>
  <si>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</si>
  <si>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</si>
  <si>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</si>
  <si>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</si>
  <si>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</si>
  <si>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</si>
  <si>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</si>
  <si>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</si>
  <si>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</si>
  <si>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</si>
  <si>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</si>
  <si>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</si>
  <si>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</si>
  <si>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</si>
  <si>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</si>
  <si>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</si>
  <si>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</si>
  <si>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</si>
  <si>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</si>
  <si>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</si>
  <si>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</si>
  <si>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</si>
  <si>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</si>
  <si>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</si>
  <si>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</si>
  <si>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</si>
  <si>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</si>
  <si>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</si>
  <si>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</si>
  <si>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</si>
  <si>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</si>
  <si>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</si>
  <si>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</si>
  <si>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</si>
  <si>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</si>
  <si>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</si>
  <si>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</si>
  <si>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</si>
  <si>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</si>
  <si>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</si>
  <si>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</si>
  <si>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</si>
  <si>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</si>
  <si>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</si>
  <si>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</si>
  <si>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</si>
  <si>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</si>
  <si>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</si>
  <si>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</si>
  <si>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</si>
  <si>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</si>
  <si>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</si>
  <si>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</si>
  <si>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</si>
  <si>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</si>
  <si>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</si>
  <si>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</si>
  <si>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</si>
  <si>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</si>
  <si>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</si>
  <si>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</si>
  <si>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</si>
  <si>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</si>
  <si>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</si>
  <si>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</si>
  <si>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</si>
  <si>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</si>
  <si>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</si>
  <si>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</si>
  <si>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</si>
  <si>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</si>
  <si>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</si>
  <si>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</si>
  <si>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</si>
  <si>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</si>
  <si>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</si>
  <si>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</si>
  <si>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</si>
  <si>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</si>
  <si>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</si>
  <si>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</si>
  <si>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</si>
  <si>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</si>
  <si>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</si>
  <si>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</si>
  <si>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</si>
  <si>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</si>
  <si>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</si>
  <si>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</si>
  <si>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</si>
  <si>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</si>
  <si>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</si>
  <si>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</si>
  <si>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</si>
  <si>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</si>
  <si>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</si>
  <si>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</si>
  <si>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</si>
  <si>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</si>
  <si>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</si>
  <si>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</si>
  <si>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</si>
  <si>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</si>
  <si>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</si>
  <si>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</si>
  <si>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</si>
  <si>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</si>
  <si>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</si>
  <si>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</si>
  <si>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</si>
  <si>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</si>
  <si>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</si>
  <si>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</si>
  <si>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</si>
  <si>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</si>
  <si>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</si>
  <si>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</si>
  <si>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</si>
  <si>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</si>
  <si>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</si>
  <si>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</si>
  <si>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</si>
  <si>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</si>
  <si>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</si>
  <si>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</si>
  <si>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</si>
  <si>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</si>
  <si>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</si>
  <si>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</si>
  <si>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</si>
  <si>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</si>
  <si>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</si>
  <si>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</si>
  <si>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</si>
  <si>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</si>
  <si>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</si>
  <si>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</si>
  <si>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</si>
  <si>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</si>
  <si>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</si>
  <si>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</si>
  <si>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</si>
  <si>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</si>
  <si>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</si>
  <si>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</si>
  <si>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</si>
  <si>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</si>
  <si>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</si>
  <si>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</si>
  <si>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</si>
  <si>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</si>
  <si>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</si>
  <si>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</si>
  <si>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</si>
  <si>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</si>
  <si>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</si>
  <si>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</si>
  <si>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</si>
  <si>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</si>
  <si>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</si>
  <si>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</si>
  <si>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</si>
  <si>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</si>
  <si>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</si>
  <si>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</si>
  <si>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</si>
  <si>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</si>
  <si>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</si>
  <si>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</si>
  <si>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</si>
  <si>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</si>
  <si>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</si>
  <si>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</si>
  <si>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</si>
  <si>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</si>
  <si>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</si>
  <si>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</si>
  <si>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</si>
  <si>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</si>
  <si>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</si>
  <si>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</si>
  <si>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</si>
  <si>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</si>
  <si>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</si>
  <si>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</si>
  <si>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</si>
  <si>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</si>
  <si>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</si>
  <si>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</si>
  <si>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</si>
  <si>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</si>
  <si>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</si>
  <si>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</si>
  <si>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</si>
  <si>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</si>
  <si>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</si>
  <si>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</si>
  <si>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</si>
  <si>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</si>
  <si>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</si>
  <si>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</si>
  <si>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</si>
  <si>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</si>
  <si>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</si>
  <si>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</si>
  <si>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</si>
  <si>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</si>
  <si>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</si>
  <si>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</si>
  <si>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</si>
  <si>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</si>
  <si>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</si>
  <si>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</si>
  <si>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</si>
  <si>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</si>
  <si>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</si>
  <si>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</si>
  <si>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</si>
  <si>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</si>
  <si>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</si>
  <si>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</si>
  <si>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</si>
  <si>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</si>
  <si>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</si>
  <si>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</si>
  <si>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</si>
  <si>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</si>
  <si>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</si>
  <si>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</si>
  <si>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</si>
  <si>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</si>
  <si>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</si>
  <si>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</si>
  <si>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</si>
  <si>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</si>
  <si>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</si>
  <si>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</si>
  <si>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</si>
  <si>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</si>
  <si>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</si>
  <si>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</si>
  <si>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</si>
  <si>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</si>
  <si>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</si>
  <si>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</si>
  <si>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</si>
  <si>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</si>
  <si>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</si>
  <si>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</si>
  <si>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</si>
  <si>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</si>
  <si>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</si>
  <si>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</si>
  <si>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</si>
  <si>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</si>
  <si>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</si>
  <si>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</si>
  <si>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</si>
  <si>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</si>
  <si>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</si>
  <si>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</si>
  <si>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</si>
  <si>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</si>
  <si>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</si>
  <si>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</si>
  <si>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</si>
  <si>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</si>
  <si>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</si>
  <si>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</si>
  <si>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</si>
  <si>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</si>
  <si>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</si>
  <si>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</si>
  <si>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</si>
  <si>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</si>
  <si>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</si>
  <si>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</si>
  <si>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</si>
  <si>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</si>
  <si>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</si>
  <si>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</si>
  <si>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</si>
  <si>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</si>
  <si>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</si>
  <si>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</si>
  <si>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</si>
  <si>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</si>
  <si>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</si>
  <si>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</si>
  <si>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</si>
  <si>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</si>
  <si>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</si>
  <si>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</si>
  <si>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</si>
  <si>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</si>
  <si>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</si>
  <si>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</si>
  <si>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</si>
  <si>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</si>
  <si>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</si>
  <si>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</si>
  <si>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</si>
  <si>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</si>
  <si>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</si>
  <si>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</si>
  <si>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</si>
  <si>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</si>
  <si>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</si>
  <si>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</si>
  <si>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</si>
  <si>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</si>
  <si>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</si>
  <si>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</si>
  <si>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</si>
  <si>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</si>
  <si>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</si>
  <si>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</si>
  <si>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</si>
  <si>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</si>
  <si>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</si>
  <si>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</si>
  <si>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</si>
  <si>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</si>
  <si>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</si>
  <si>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</si>
  <si>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</si>
  <si>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</si>
  <si>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</si>
  <si>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</si>
  <si>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</si>
  <si>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</si>
  <si>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</si>
  <si>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</si>
  <si>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</si>
  <si>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</si>
  <si>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</si>
  <si>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</si>
  <si>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</si>
  <si>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</si>
  <si>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</si>
  <si>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</si>
  <si>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</si>
  <si>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</si>
  <si>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</si>
  <si>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</si>
  <si>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</si>
  <si>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</si>
  <si>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</si>
  <si>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</si>
  <si>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</si>
  <si>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</si>
  <si>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</si>
  <si>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</si>
  <si>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</si>
  <si>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</si>
  <si>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</si>
  <si>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</si>
  <si>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</si>
  <si>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</si>
  <si>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</si>
  <si>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</si>
  <si>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</si>
  <si>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</si>
  <si>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</si>
  <si>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</si>
  <si>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</si>
  <si>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</si>
  <si>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</si>
  <si>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</si>
  <si>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</si>
  <si>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</si>
  <si>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</si>
  <si>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</si>
  <si>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</si>
  <si>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</si>
  <si>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</si>
  <si>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</si>
  <si>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</si>
  <si>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</si>
  <si>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</si>
  <si>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</si>
  <si>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</si>
  <si>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</si>
  <si>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</si>
  <si>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</si>
  <si>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</si>
  <si>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</si>
  <si>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</si>
  <si>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</si>
  <si>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</si>
  <si>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</si>
  <si>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</si>
  <si>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</si>
  <si>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</si>
  <si>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</si>
  <si>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</si>
  <si>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</si>
  <si>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</si>
  <si>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</si>
  <si>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</si>
  <si>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</si>
  <si>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</si>
  <si>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</si>
  <si>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</si>
  <si>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</si>
  <si>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</si>
  <si>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</si>
  <si>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</si>
  <si>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</si>
  <si>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</si>
  <si>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</si>
  <si>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</si>
  <si>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</si>
  <si>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</si>
  <si>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</si>
  <si>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</si>
  <si>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</si>
  <si>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</si>
  <si>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</si>
  <si>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</si>
  <si>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</si>
  <si>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</si>
  <si>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</si>
  <si>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</si>
  <si>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</si>
  <si>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</si>
  <si>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</si>
  <si>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</si>
  <si>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</si>
  <si>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</si>
  <si>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</si>
  <si>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</si>
  <si>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</si>
  <si>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</si>
  <si>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</si>
  <si>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</si>
  <si>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</si>
  <si>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</si>
  <si>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</si>
  <si>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</si>
  <si>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</si>
  <si>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</si>
  <si>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</si>
  <si>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</si>
  <si>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</si>
  <si>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</si>
  <si>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</si>
  <si>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</si>
  <si>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</si>
  <si>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</si>
  <si>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</si>
  <si>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</si>
  <si>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</si>
  <si>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</si>
  <si>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</si>
  <si>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</si>
  <si>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</si>
  <si>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</si>
  <si>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</si>
  <si>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</si>
  <si>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</si>
  <si>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</si>
  <si>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</si>
  <si>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</si>
  <si>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</si>
  <si>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</si>
  <si>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</si>
  <si>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</si>
  <si>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</si>
  <si>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</si>
  <si>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</si>
  <si>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</si>
  <si>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</si>
  <si>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</si>
  <si>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</si>
  <si>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</si>
  <si>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</si>
  <si>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</si>
  <si>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</si>
  <si>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</si>
  <si>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</si>
  <si>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</si>
  <si>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</si>
  <si>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</si>
  <si>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</si>
  <si>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</si>
  <si>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</si>
  <si>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</si>
  <si>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</si>
  <si>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</si>
  <si>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</si>
  <si>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</si>
  <si>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</si>
  <si>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</si>
  <si>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</si>
  <si>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</si>
  <si>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</si>
  <si>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</si>
  <si>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</si>
  <si>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</si>
  <si>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</si>
  <si>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</si>
  <si>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</si>
  <si>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</si>
  <si>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</si>
  <si>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</si>
  <si>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</si>
  <si>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</si>
  <si>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</si>
  <si>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</si>
  <si>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</si>
  <si>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</si>
  <si>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</si>
  <si>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</si>
  <si>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</si>
  <si>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</si>
  <si>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</si>
  <si>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</si>
  <si>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</si>
  <si>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</si>
  <si>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</si>
  <si>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</si>
  <si>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</si>
  <si>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</si>
  <si>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</si>
  <si>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</si>
  <si>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</si>
  <si>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</si>
  <si>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</si>
  <si>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</si>
  <si>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</si>
  <si>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</si>
  <si>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</si>
  <si>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</si>
  <si>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</si>
  <si>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</si>
  <si>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</si>
  <si>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</si>
  <si>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</si>
  <si>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</si>
  <si>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</si>
  <si>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</si>
  <si>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</si>
  <si>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</si>
  <si>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</si>
  <si>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</si>
  <si>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</si>
  <si>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</si>
  <si>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</si>
  <si>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</si>
  <si>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</si>
  <si>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</si>
  <si>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</si>
  <si>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</si>
  <si>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</si>
  <si>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</si>
  <si>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</si>
  <si>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</si>
  <si>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</si>
  <si>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</si>
  <si>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</si>
  <si>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</si>
  <si>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</si>
  <si>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</si>
  <si>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</si>
  <si>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</si>
  <si>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</si>
  <si>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</si>
  <si>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</si>
  <si>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</si>
  <si>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</si>
  <si>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</si>
  <si>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</si>
  <si>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</si>
  <si>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</si>
  <si>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</si>
  <si>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</si>
  <si>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</si>
  <si>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</si>
  <si>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</si>
  <si>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</si>
  <si>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</si>
  <si>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</si>
  <si>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</si>
  <si>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</si>
  <si>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</si>
  <si>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</si>
  <si>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</si>
  <si>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</si>
  <si>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</si>
  <si>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</si>
  <si>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</si>
  <si>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</si>
  <si>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</si>
  <si>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</si>
  <si>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</si>
  <si>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</si>
  <si>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</si>
  <si>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</si>
  <si>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</si>
  <si>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</si>
  <si>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</si>
  <si>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</si>
  <si>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</si>
  <si>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</si>
  <si>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</si>
  <si>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</si>
  <si>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</si>
  <si>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</si>
  <si>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</si>
  <si>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</si>
  <si>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</si>
  <si>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</si>
  <si>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</si>
  <si>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</si>
  <si>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</si>
  <si>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</si>
  <si>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</si>
  <si>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</si>
  <si>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</si>
  <si>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</si>
  <si>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</si>
  <si>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</si>
  <si>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</si>
  <si>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</si>
  <si>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</si>
  <si>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</si>
  <si>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</si>
  <si>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</si>
  <si>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</si>
  <si>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</si>
  <si>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</si>
  <si>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</si>
  <si>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</si>
  <si>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</si>
  <si>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</si>
  <si>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</si>
  <si>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</si>
  <si>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</si>
  <si>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</si>
  <si>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</si>
  <si>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</si>
  <si>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</si>
  <si>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</si>
  <si>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</si>
  <si>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</si>
  <si>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</si>
  <si>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</si>
  <si>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</si>
  <si>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</si>
  <si>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</si>
  <si>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</si>
  <si>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</si>
  <si>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</si>
  <si>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</si>
  <si>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</si>
  <si>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</si>
  <si>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</si>
  <si>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</si>
  <si>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</si>
  <si>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</si>
  <si>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</si>
  <si>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</si>
  <si>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</si>
  <si>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</si>
  <si>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</si>
  <si>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</si>
  <si>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</si>
  <si>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</si>
  <si>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</si>
  <si>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</si>
  <si>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</si>
  <si>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</si>
  <si>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</si>
  <si>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</si>
  <si>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</si>
  <si>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</si>
  <si>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</si>
  <si>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</si>
  <si>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</si>
  <si>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</si>
  <si>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</si>
  <si>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</si>
  <si>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</si>
  <si>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</si>
  <si>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</si>
  <si>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</si>
  <si>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</si>
  <si>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</si>
  <si>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</si>
  <si>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</si>
  <si>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</si>
  <si>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</si>
  <si>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</si>
  <si>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</si>
  <si>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</si>
  <si>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</si>
  <si>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</si>
  <si>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</si>
  <si>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</si>
  <si>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</si>
  <si>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</si>
  <si>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</si>
  <si>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</si>
  <si>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</si>
  <si>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</si>
  <si>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</si>
  <si>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</si>
  <si>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</si>
  <si>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</si>
  <si>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</si>
  <si>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</si>
  <si>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</si>
  <si>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</si>
  <si>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</si>
  <si>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</si>
  <si>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</si>
  <si>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</si>
  <si>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</si>
  <si>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</si>
  <si>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</si>
  <si>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</si>
  <si>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</si>
  <si>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</si>
  <si>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</si>
  <si>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</si>
  <si>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</si>
  <si>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</si>
  <si>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</si>
  <si>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</si>
  <si>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</si>
  <si>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</si>
  <si>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</si>
  <si>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</si>
  <si>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</si>
  <si>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</si>
  <si>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</si>
  <si>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</si>
  <si>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</si>
  <si>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</si>
  <si>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</si>
  <si>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</si>
  <si>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</si>
  <si>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</si>
  <si>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</si>
  <si>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</si>
  <si>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</si>
  <si>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</si>
  <si>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</si>
  <si>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</si>
  <si>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</si>
  <si>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</si>
  <si>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</si>
  <si>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</si>
  <si>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</si>
  <si>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</si>
  <si>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</si>
  <si>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</si>
  <si>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</si>
  <si>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</si>
  <si>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</si>
  <si>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</si>
  <si>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</si>
  <si>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</si>
  <si>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</si>
  <si>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</si>
  <si>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</si>
  <si>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</si>
  <si>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</si>
  <si>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</si>
  <si>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</si>
  <si>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</si>
  <si>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</si>
  <si>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</si>
  <si>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</si>
  <si>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</si>
  <si>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</si>
  <si>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</si>
  <si>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</si>
  <si>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</si>
  <si>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</si>
  <si>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</si>
  <si>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</si>
  <si>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</si>
  <si>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</si>
  <si>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</si>
  <si>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</si>
  <si>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</si>
  <si>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</si>
  <si>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</si>
  <si>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</si>
  <si>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</si>
  <si>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</si>
  <si>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</si>
  <si>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</si>
  <si>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</si>
  <si>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</si>
  <si>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</si>
  <si>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</si>
  <si>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</si>
  <si>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</si>
  <si>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</si>
  <si>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</si>
  <si>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</si>
  <si>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</si>
  <si>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</si>
  <si>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</si>
  <si>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</si>
  <si>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</si>
  <si>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</si>
  <si>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</si>
  <si>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</si>
  <si>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</si>
  <si>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</si>
  <si>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</si>
  <si>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</si>
  <si>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</si>
  <si>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</si>
  <si>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</si>
  <si>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</si>
  <si>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</si>
  <si>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</si>
  <si>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</si>
  <si>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</si>
  <si>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</si>
  <si>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</si>
  <si>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</si>
  <si>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</si>
  <si>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</si>
  <si>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</si>
  <si>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</si>
  <si>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</si>
  <si>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</si>
  <si>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</si>
  <si>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</si>
  <si>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</si>
  <si>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</si>
  <si>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</si>
  <si>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</si>
  <si>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</si>
  <si>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</si>
  <si>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</si>
  <si>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</si>
  <si>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</si>
  <si>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</si>
  <si>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</si>
  <si>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</si>
  <si>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</si>
  <si>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</si>
  <si>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</si>
  <si>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</si>
  <si>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</si>
  <si>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</si>
  <si>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</si>
  <si>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</si>
  <si>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</si>
  <si>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</si>
  <si>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</si>
  <si>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</si>
  <si>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</si>
  <si>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</si>
  <si>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</si>
  <si>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</si>
  <si>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</si>
  <si>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</si>
  <si>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</si>
  <si>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</si>
  <si>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</si>
  <si>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</si>
  <si>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</si>
  <si>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</si>
  <si>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</si>
  <si>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</si>
  <si>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</si>
  <si>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</si>
  <si>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</si>
  <si>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</si>
  <si>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</si>
  <si>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</si>
  <si>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</si>
  <si>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</si>
  <si>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</si>
  <si>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</si>
  <si>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</si>
  <si>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</si>
  <si>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</si>
  <si>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</si>
  <si>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</si>
  <si>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</si>
  <si>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</si>
  <si>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</si>
  <si>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</si>
  <si>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</si>
  <si>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</si>
  <si>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</si>
  <si>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</si>
  <si>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</si>
  <si>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</si>
  <si>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</si>
  <si>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</si>
  <si>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</si>
  <si>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</si>
  <si>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</si>
  <si>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</si>
  <si>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</si>
  <si>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</si>
  <si>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</si>
  <si>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</si>
  <si>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</si>
  <si>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</si>
  <si>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</si>
  <si>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</si>
  <si>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</si>
  <si>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</si>
  <si>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</si>
  <si>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</si>
  <si>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</si>
  <si>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</si>
  <si>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</si>
  <si>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</si>
  <si>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</si>
  <si>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</si>
  <si>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</si>
  <si>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</si>
  <si>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</si>
  <si>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</si>
  <si>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</si>
  <si>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</si>
  <si>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</si>
  <si>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</si>
  <si>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</si>
  <si>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</si>
  <si>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</si>
  <si>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</si>
  <si>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</si>
  <si>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</si>
  <si>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</si>
  <si>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</si>
  <si>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</si>
  <si>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</si>
  <si>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</si>
  <si>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</si>
  <si>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</si>
  <si>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</si>
  <si>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</si>
  <si>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</si>
  <si>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</si>
  <si>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</si>
  <si>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</si>
  <si>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</si>
  <si>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</si>
  <si>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</si>
  <si>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</si>
  <si>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</si>
  <si>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</si>
  <si>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</si>
  <si>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</si>
  <si>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</si>
  <si>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</si>
  <si>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</si>
  <si>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</si>
  <si>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</si>
  <si>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</si>
  <si>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</si>
  <si>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</si>
  <si>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</si>
  <si>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</si>
  <si>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</si>
  <si>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</si>
  <si>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</si>
  <si>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</si>
  <si>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</si>
  <si>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</si>
  <si>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</si>
  <si>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</si>
  <si>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</si>
  <si>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</si>
  <si>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</si>
  <si>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</si>
  <si>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</si>
  <si>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</si>
  <si>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</si>
  <si>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</si>
  <si>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</si>
  <si>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</si>
  <si>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</si>
  <si>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</si>
  <si>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</si>
  <si>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</si>
  <si>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</si>
  <si>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</si>
  <si>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</si>
  <si>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</si>
  <si>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</si>
  <si>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</si>
  <si>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</si>
  <si>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</si>
  <si>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</si>
  <si>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</si>
  <si>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</si>
  <si>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</si>
  <si>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</si>
  <si>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</si>
  <si>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</si>
  <si>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</si>
  <si>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</si>
  <si>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</si>
  <si>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</si>
  <si>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</si>
  <si>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</si>
  <si>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</si>
  <si>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</si>
  <si>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</si>
  <si>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</si>
  <si>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</si>
  <si>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</si>
  <si>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</si>
  <si>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</si>
  <si>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</si>
  <si>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</si>
  <si>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</si>
  <si>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</si>
  <si>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</si>
  <si>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</si>
  <si>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</si>
  <si>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</si>
  <si>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</si>
  <si>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</si>
  <si>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</si>
  <si>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</si>
  <si>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</si>
  <si>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</si>
  <si>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</si>
  <si>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</si>
  <si>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</si>
  <si>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</si>
  <si>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</si>
  <si>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</si>
  <si>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</si>
  <si>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</si>
  <si>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</si>
  <si>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</si>
  <si>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</si>
  <si>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</si>
  <si>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</si>
  <si>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</si>
  <si>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</si>
  <si>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</si>
  <si>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</si>
  <si>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</si>
  <si>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</si>
  <si>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</si>
  <si>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</si>
  <si>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</si>
  <si>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</si>
  <si>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</si>
  <si>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</si>
  <si>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</si>
  <si>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</si>
  <si>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</si>
  <si>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</si>
  <si>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</si>
  <si>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</si>
  <si>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</si>
  <si>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</si>
  <si>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</si>
  <si>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</si>
  <si>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</si>
  <si>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</si>
  <si>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</si>
  <si>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</si>
  <si>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</si>
  <si>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</si>
  <si>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</si>
  <si>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</si>
  <si>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</si>
  <si>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</si>
  <si>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</si>
  <si>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</si>
  <si>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</si>
  <si>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</si>
  <si>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</si>
  <si>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</si>
  <si>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</si>
  <si>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</si>
  <si>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</si>
  <si>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</si>
  <si>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</si>
  <si>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</si>
  <si>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</si>
  <si>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</si>
  <si>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</si>
  <si>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</si>
  <si>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</si>
  <si>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</si>
  <si>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</si>
  <si>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</si>
  <si>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</si>
  <si>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</si>
  <si>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</si>
  <si>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</si>
  <si>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</si>
  <si>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</si>
  <si>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</si>
  <si>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</si>
  <si>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</si>
  <si>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</si>
  <si>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</si>
  <si>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</si>
  <si>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</si>
  <si>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</si>
  <si>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</si>
  <si>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</si>
  <si>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</si>
  <si>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</si>
  <si>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</si>
  <si>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</si>
  <si>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</si>
  <si>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</si>
  <si>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</si>
  <si>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</si>
  <si>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</si>
  <si>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</si>
  <si>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</si>
  <si>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</si>
  <si>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</si>
  <si>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</si>
  <si>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</si>
  <si>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</si>
  <si>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</si>
  <si>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</si>
  <si>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</si>
  <si>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</si>
  <si>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</si>
  <si>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</si>
  <si>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</si>
  <si>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</si>
  <si>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</si>
  <si>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</si>
  <si>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</si>
  <si>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</si>
  <si>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</si>
  <si>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</si>
  <si>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</si>
  <si>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</si>
  <si>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</si>
  <si>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</si>
  <si>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</si>
  <si>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</si>
  <si>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</si>
  <si>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</si>
  <si>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</si>
  <si>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</si>
  <si>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</si>
  <si>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</si>
  <si>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</si>
  <si>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</si>
  <si>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</si>
  <si>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</si>
  <si>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</si>
  <si>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</si>
  <si>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</si>
  <si>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</si>
  <si>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</si>
  <si>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</si>
  <si>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</si>
  <si>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</si>
  <si>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</si>
  <si>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</si>
  <si>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</si>
  <si>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</si>
  <si>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</si>
  <si>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</si>
  <si>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</si>
  <si>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</si>
  <si>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</si>
  <si>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</si>
  <si>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</si>
  <si>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</si>
  <si>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</si>
  <si>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</si>
  <si>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</si>
  <si>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</si>
  <si>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</si>
  <si>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</si>
  <si>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</si>
  <si>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</si>
  <si>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</si>
  <si>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</si>
  <si>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</si>
  <si>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</si>
  <si>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</si>
  <si>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</si>
  <si>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</si>
  <si>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</si>
  <si>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</si>
  <si>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</si>
  <si>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</si>
  <si>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</si>
  <si>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</si>
  <si>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</si>
  <si>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</si>
  <si>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</si>
  <si>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</si>
  <si>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</si>
  <si>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</si>
  <si>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</si>
  <si>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</si>
  <si>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</si>
  <si>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</si>
  <si>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</si>
  <si>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</si>
  <si>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</si>
  <si>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</si>
  <si>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</si>
  <si>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</si>
  <si>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</si>
  <si>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</si>
  <si>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</si>
  <si>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</si>
  <si>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</si>
  <si>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</si>
  <si>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</si>
  <si>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</si>
  <si>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</si>
  <si>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</si>
  <si>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</si>
  <si>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</si>
  <si>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</si>
  <si>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</si>
  <si>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</si>
  <si>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</si>
  <si>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</si>
  <si>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</si>
  <si>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</si>
  <si>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</si>
  <si>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</si>
  <si>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</si>
  <si>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</si>
  <si>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</si>
  <si>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</si>
  <si>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</si>
  <si>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</si>
  <si>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</si>
  <si>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</si>
  <si>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</si>
  <si>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</si>
  <si>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</si>
  <si>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</si>
  <si>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</si>
  <si>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</si>
  <si>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</si>
  <si>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</si>
  <si>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</si>
  <si>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</si>
  <si>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</si>
  <si>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</si>
  <si>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</si>
  <si>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</si>
  <si>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</si>
  <si>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</si>
  <si>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</si>
  <si>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</si>
  <si>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</si>
  <si>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</si>
  <si>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</si>
  <si>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</si>
  <si>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</si>
  <si>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</si>
  <si>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</si>
  <si>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</si>
  <si>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</si>
  <si>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</si>
  <si>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</si>
  <si>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</si>
  <si>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</si>
  <si>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</si>
  <si>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</si>
  <si>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</si>
  <si>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</si>
  <si>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</si>
  <si>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</si>
  <si>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</si>
  <si>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</si>
  <si>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</si>
  <si>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</si>
  <si>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</si>
  <si>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</si>
  <si>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</si>
  <si>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</si>
  <si>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</si>
  <si>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</si>
  <si>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</si>
  <si>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</si>
  <si>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</si>
  <si>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</si>
  <si>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</si>
  <si>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</si>
  <si>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</si>
  <si>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</si>
  <si>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</si>
  <si>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</si>
  <si>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</si>
  <si>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</si>
  <si>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</si>
  <si>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</si>
  <si>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</si>
  <si>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</si>
  <si>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</si>
  <si>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</si>
  <si>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</si>
  <si>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</si>
  <si>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</si>
  <si>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</si>
  <si>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</si>
  <si>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</si>
  <si>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</si>
  <si>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</si>
  <si>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</si>
  <si>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</si>
  <si>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</si>
  <si>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</si>
  <si>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</si>
  <si>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</si>
  <si>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</si>
  <si>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</si>
  <si>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</si>
  <si>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</si>
  <si>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</si>
  <si>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</si>
  <si>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</si>
  <si>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</si>
  <si>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</si>
  <si>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</si>
  <si>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</si>
  <si>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</si>
  <si>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</si>
  <si>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</si>
  <si>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</si>
  <si>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</si>
  <si>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</si>
  <si>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</si>
  <si>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</si>
  <si>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</si>
  <si>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</si>
  <si>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</si>
  <si>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</si>
  <si>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</si>
  <si>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</si>
  <si>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</si>
  <si>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</si>
  <si>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</si>
  <si>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</si>
  <si>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</si>
  <si>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</si>
  <si>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</si>
  <si>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</si>
  <si>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</si>
  <si>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</si>
  <si>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</si>
  <si>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</si>
  <si>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</si>
  <si>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</si>
  <si>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</si>
  <si>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</si>
  <si>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</si>
  <si>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</si>
  <si>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</si>
  <si>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</si>
  <si>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</si>
  <si>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</si>
  <si>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</si>
  <si>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</si>
  <si>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</si>
  <si>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</si>
  <si>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</si>
  <si>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</si>
  <si>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</si>
  <si>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</si>
  <si>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</si>
  <si>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</si>
  <si>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</si>
  <si>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</si>
  <si>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</si>
  <si>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</si>
  <si>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</si>
  <si>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</si>
  <si>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</si>
  <si>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</si>
  <si>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</si>
  <si>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</si>
  <si>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</si>
  <si>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</si>
  <si>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</si>
  <si>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</si>
  <si>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</si>
  <si>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</si>
  <si>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</si>
  <si>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</si>
  <si>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</si>
  <si>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</si>
  <si>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</si>
  <si>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</si>
  <si>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</si>
  <si>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</si>
  <si>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</si>
  <si>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</si>
  <si>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</si>
  <si>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</si>
  <si>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</si>
  <si>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</si>
  <si>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</si>
  <si>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</si>
  <si>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</si>
  <si>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</si>
  <si>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</si>
  <si>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</si>
  <si>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</si>
  <si>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</si>
  <si>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</si>
  <si>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</si>
  <si>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</si>
  <si>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</si>
  <si>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</si>
  <si>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</si>
  <si>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</si>
  <si>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</si>
  <si>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</si>
  <si>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</si>
  <si>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</si>
  <si>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</si>
  <si>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</si>
  <si>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</si>
  <si>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</si>
  <si>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</si>
  <si>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</si>
  <si>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</si>
  <si>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</si>
  <si>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</si>
  <si>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</si>
  <si>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</si>
  <si>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</si>
  <si>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</si>
  <si>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</si>
  <si>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</si>
  <si>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</si>
  <si>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</si>
  <si>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</si>
  <si>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</si>
  <si>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</si>
  <si>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</si>
  <si>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</si>
  <si>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</si>
  <si>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</si>
  <si>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</si>
  <si>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</si>
  <si>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</si>
  <si>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</si>
  <si>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</si>
  <si>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</si>
  <si>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</si>
  <si>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</si>
  <si>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</si>
  <si>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</si>
  <si>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</si>
  <si>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</si>
  <si>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</si>
  <si>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</si>
  <si>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</si>
  <si>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</si>
  <si>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</si>
  <si>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</si>
  <si>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</si>
  <si>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</si>
  <si>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</si>
  <si>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</si>
  <si>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</si>
  <si>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</si>
  <si>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</si>
  <si>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</si>
  <si>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</si>
  <si>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</si>
  <si>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</si>
  <si>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</si>
  <si>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</si>
  <si>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</si>
  <si>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</si>
  <si>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</si>
  <si>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</si>
  <si>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</si>
  <si>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</si>
  <si>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</si>
  <si>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</si>
  <si>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</si>
  <si>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</si>
  <si>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</si>
  <si>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</si>
  <si>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</si>
  <si>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</si>
  <si>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</si>
  <si>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</si>
  <si>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</si>
  <si>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</si>
  <si>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</si>
  <si>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</si>
  <si>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</si>
  <si>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</si>
  <si>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</si>
  <si>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</si>
  <si>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</si>
  <si>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</si>
  <si>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</si>
  <si>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</si>
  <si>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</si>
  <si>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</si>
  <si>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</si>
  <si>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</si>
  <si>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</si>
  <si>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</si>
  <si>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</si>
  <si>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</si>
  <si>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</si>
  <si>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</si>
  <si>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</si>
  <si>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</si>
  <si>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</si>
  <si>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</si>
  <si>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</si>
  <si>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</si>
  <si>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</si>
  <si>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</si>
  <si>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</si>
  <si>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</si>
  <si>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</si>
  <si>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</si>
  <si>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</si>
  <si>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</si>
  <si>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</si>
  <si>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</si>
  <si>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</si>
  <si>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</si>
  <si>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</si>
  <si>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</si>
  <si>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</si>
  <si>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</si>
  <si>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</si>
  <si>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</si>
  <si>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</si>
  <si>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</si>
  <si>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</si>
  <si>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</si>
  <si>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</si>
  <si>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</si>
  <si>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</si>
  <si>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</si>
  <si>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</si>
  <si>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</si>
  <si>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</si>
  <si>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</si>
  <si>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</si>
  <si>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</si>
  <si>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</si>
  <si>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</si>
  <si>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</si>
  <si>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</si>
  <si>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</si>
  <si>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</si>
  <si>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</si>
  <si>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</si>
  <si>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</si>
  <si>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</si>
  <si>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</si>
  <si>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</si>
  <si>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</si>
  <si>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</si>
  <si>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</si>
  <si>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</si>
  <si>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</si>
  <si>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</si>
  <si>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</si>
  <si>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</si>
  <si>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</si>
  <si>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</si>
  <si>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</si>
  <si>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</si>
  <si>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</si>
  <si>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</si>
  <si>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</si>
  <si>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</si>
  <si>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</si>
  <si>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</si>
  <si>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</si>
  <si>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</si>
  <si>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</si>
  <si>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</si>
  <si>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</si>
  <si>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</si>
  <si>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</si>
  <si>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</si>
  <si>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</si>
  <si>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</si>
  <si>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</si>
  <si>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</si>
  <si>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</si>
  <si>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</si>
  <si>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</si>
  <si>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</si>
  <si>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</si>
  <si>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</si>
  <si>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</si>
  <si>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</si>
  <si>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</si>
  <si>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</si>
  <si>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</si>
  <si>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</si>
  <si>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</si>
  <si>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</si>
  <si>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</si>
  <si>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</si>
  <si>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</si>
  <si>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</si>
  <si>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</si>
  <si>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</si>
  <si>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</si>
  <si>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</si>
  <si>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</si>
  <si>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</si>
  <si>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</si>
  <si>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</si>
  <si>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</si>
  <si>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</si>
  <si>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</si>
  <si>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</si>
  <si>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</si>
  <si>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</si>
  <si>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</si>
  <si>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</si>
  <si>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</si>
  <si>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</si>
  <si>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</si>
  <si>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</si>
  <si>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</si>
  <si>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</si>
  <si>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</si>
  <si>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</si>
  <si>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</si>
  <si>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</si>
  <si>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</si>
  <si>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</si>
  <si>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</si>
  <si>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</si>
  <si>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</si>
  <si>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</si>
  <si>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</si>
  <si>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</si>
  <si>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</si>
  <si>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</si>
  <si>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</si>
  <si>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</si>
  <si>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</si>
  <si>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</si>
  <si>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</si>
  <si>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</si>
  <si>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</si>
  <si>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</si>
  <si>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</si>
  <si>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</si>
  <si>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</si>
  <si>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</si>
  <si>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</si>
  <si>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</si>
  <si>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</si>
  <si>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</si>
  <si>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</si>
  <si>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</si>
  <si>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</si>
  <si>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</si>
  <si>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</si>
  <si>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</si>
  <si>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</si>
  <si>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</si>
  <si>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</si>
  <si>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</si>
  <si>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</si>
  <si>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</si>
  <si>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</si>
  <si>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</si>
  <si>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</si>
  <si>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</si>
  <si>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</si>
  <si>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</si>
  <si>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</si>
  <si>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</si>
  <si>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</si>
  <si>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</si>
  <si>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</si>
  <si>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</si>
  <si>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</si>
  <si>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</si>
  <si>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</si>
  <si>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</si>
  <si>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</si>
  <si>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</si>
  <si>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</si>
  <si>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</si>
  <si>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</si>
  <si>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</si>
  <si>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</si>
  <si>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</si>
  <si>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</si>
  <si>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</si>
  <si>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</si>
  <si>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</si>
  <si>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</si>
  <si>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</si>
  <si>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</si>
  <si>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</si>
  <si>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</si>
  <si>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</si>
  <si>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</si>
  <si>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</si>
  <si>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</si>
  <si>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</si>
  <si>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</si>
  <si>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</si>
  <si>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</si>
  <si>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</si>
  <si>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</si>
  <si>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</si>
  <si>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</si>
  <si>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</si>
  <si>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</si>
  <si>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</si>
  <si>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</si>
  <si>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</si>
  <si>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</si>
  <si>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</si>
  <si>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</si>
  <si>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</si>
  <si>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</si>
  <si>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</si>
  <si>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</si>
  <si>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</si>
  <si>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</si>
  <si>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</si>
  <si>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</si>
  <si>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</si>
  <si>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</si>
  <si>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</si>
  <si>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</si>
  <si>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</si>
  <si>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</si>
  <si>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</si>
  <si>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</si>
  <si>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</si>
  <si>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</si>
  <si>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</si>
  <si>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</si>
  <si>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</si>
  <si>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</si>
  <si>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</si>
  <si>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</si>
  <si>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</si>
  <si>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</si>
  <si>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</si>
  <si>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</si>
  <si>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</si>
  <si>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</si>
  <si>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</si>
  <si>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</si>
  <si>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</si>
  <si>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</si>
  <si>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</si>
  <si>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</si>
  <si>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</si>
  <si>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</si>
  <si>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</si>
  <si>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</si>
  <si>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</si>
  <si>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</si>
  <si>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</si>
  <si>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</si>
  <si>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</si>
  <si>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</si>
  <si>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</si>
  <si>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</si>
  <si>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</si>
  <si>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</si>
  <si>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</si>
  <si>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</si>
  <si>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</si>
  <si>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</si>
  <si>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</si>
  <si>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</si>
  <si>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</si>
  <si>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</si>
  <si>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</si>
  <si>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</si>
  <si>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</si>
  <si>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</si>
  <si>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</si>
  <si>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</si>
  <si>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</si>
  <si>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</si>
  <si>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</si>
  <si>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</si>
  <si>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</si>
  <si>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</si>
  <si>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</si>
  <si>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</si>
  <si>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</si>
  <si>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</si>
  <si>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</si>
  <si>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</si>
  <si>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</si>
  <si>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</si>
  <si>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</si>
  <si>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</si>
  <si>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</si>
  <si>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</si>
  <si>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</si>
  <si>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</si>
  <si>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</si>
  <si>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</si>
  <si>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</si>
  <si>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</si>
  <si>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</si>
  <si>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</si>
  <si>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</si>
  <si>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</si>
  <si>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</si>
  <si>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</si>
  <si>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</si>
  <si>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</si>
  <si>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</si>
  <si>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</si>
  <si>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</si>
  <si>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</si>
  <si>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</si>
  <si>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</si>
  <si>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</si>
  <si>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</si>
  <si>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</si>
  <si>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</si>
  <si>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</si>
  <si>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</si>
  <si>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</si>
  <si>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</si>
  <si>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</si>
  <si>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</si>
  <si>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</si>
  <si>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</si>
  <si>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</si>
  <si>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</si>
  <si>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</si>
  <si>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</si>
  <si>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</si>
  <si>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</si>
  <si>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</si>
  <si>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</si>
  <si>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</si>
  <si>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</si>
  <si>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</si>
  <si>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</si>
  <si>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</si>
  <si>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</si>
  <si>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</si>
  <si>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</si>
  <si>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</si>
  <si>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</si>
  <si>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</si>
  <si>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</si>
  <si>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</si>
  <si>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</si>
  <si>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</si>
  <si>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</si>
  <si>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</si>
  <si>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</si>
  <si>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</si>
  <si>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</si>
  <si>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</si>
  <si>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</si>
  <si>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</si>
  <si>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</si>
  <si>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</si>
  <si>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</si>
  <si>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</si>
  <si>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</si>
  <si>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</si>
  <si>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</si>
  <si>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</si>
  <si>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</si>
  <si>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</si>
  <si>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</si>
  <si>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</si>
  <si>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</si>
  <si>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</si>
  <si>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</si>
  <si>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</si>
  <si>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</si>
  <si>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</si>
  <si>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</si>
  <si>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</si>
  <si>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</si>
  <si>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</si>
  <si>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</si>
  <si>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</si>
  <si>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</si>
  <si>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</si>
  <si>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</si>
  <si>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</si>
  <si>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</si>
  <si>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</si>
  <si>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</si>
  <si>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</si>
  <si>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</si>
  <si>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</si>
  <si>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</si>
  <si>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</si>
  <si>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</si>
  <si>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</si>
  <si>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</si>
  <si>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</si>
  <si>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</si>
  <si>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</si>
  <si>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</si>
  <si>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</si>
  <si>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</si>
  <si>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</si>
  <si>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</si>
  <si>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</si>
  <si>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</si>
  <si>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</si>
  <si>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</si>
  <si>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</si>
  <si>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</si>
  <si>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</si>
  <si>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</si>
  <si>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</si>
  <si>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</si>
  <si>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</si>
  <si>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</si>
  <si>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</si>
  <si>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</si>
  <si>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</si>
  <si>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</si>
  <si>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</si>
  <si>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</si>
  <si>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</si>
  <si>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</si>
  <si>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</si>
  <si>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</si>
  <si>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</si>
  <si>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</si>
  <si>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</si>
  <si>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</si>
  <si>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</si>
  <si>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</si>
  <si>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</si>
  <si>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</si>
  <si>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</si>
  <si>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</si>
  <si>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</si>
  <si>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</si>
  <si>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</si>
  <si>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</si>
  <si>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</si>
  <si>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</si>
  <si>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</si>
  <si>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</si>
  <si>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</si>
  <si>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</si>
  <si>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</si>
  <si>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</si>
  <si>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</si>
  <si>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</si>
  <si>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</si>
  <si>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</si>
  <si>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</si>
  <si>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</si>
  <si>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</si>
  <si>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</si>
  <si>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</si>
  <si>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</si>
  <si>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</si>
  <si>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</si>
  <si>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</si>
  <si>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</si>
  <si>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</si>
  <si>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</si>
  <si>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</si>
  <si>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</si>
  <si>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</si>
  <si>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</si>
  <si>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</si>
  <si>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</si>
  <si>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</si>
  <si>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</si>
  <si>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</si>
  <si>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</si>
  <si>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</si>
  <si>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</si>
  <si>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</si>
  <si>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</si>
  <si>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</si>
  <si>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</si>
  <si>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</si>
  <si>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</si>
  <si>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</si>
  <si>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</si>
  <si>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</si>
  <si>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</si>
  <si>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</si>
  <si>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</si>
  <si>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</si>
  <si>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</si>
  <si>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</si>
  <si>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</si>
  <si>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</si>
  <si>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</si>
  <si>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</si>
  <si>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</si>
  <si>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</si>
  <si>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</si>
  <si>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</si>
  <si>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</si>
  <si>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</si>
  <si>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</si>
  <si>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</si>
  <si>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</si>
  <si>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</si>
  <si>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</si>
  <si>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</si>
  <si>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</si>
  <si>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</si>
  <si>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</si>
  <si>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</si>
  <si>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</si>
  <si>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</si>
  <si>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</si>
  <si>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</si>
  <si>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</si>
  <si>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</si>
  <si>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</si>
  <si>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</si>
  <si>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</si>
  <si>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</si>
  <si>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</si>
  <si>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</si>
  <si>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</si>
  <si>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</si>
  <si>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</si>
  <si>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</si>
  <si>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</si>
  <si>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</si>
  <si>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</si>
  <si>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</si>
  <si>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</si>
  <si>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</si>
  <si>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</si>
  <si>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</si>
  <si>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</si>
  <si>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</si>
  <si>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</si>
  <si>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</si>
  <si>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</si>
  <si>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</si>
  <si>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</si>
  <si>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</si>
  <si>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</si>
  <si>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</si>
  <si>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</si>
  <si>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</si>
  <si>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</si>
  <si>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</si>
  <si>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</si>
  <si>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</si>
  <si>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</si>
  <si>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</si>
  <si>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</si>
  <si>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</si>
  <si>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</si>
  <si>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</si>
  <si>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</si>
  <si>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</si>
  <si>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</si>
  <si>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</si>
  <si>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</si>
  <si>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</si>
  <si>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</si>
  <si>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</si>
  <si>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</si>
  <si>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</si>
  <si>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</si>
  <si>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</si>
  <si>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</si>
  <si>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</si>
  <si>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</si>
  <si>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</si>
  <si>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</si>
  <si>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</si>
  <si>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</si>
  <si>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</si>
  <si>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</si>
  <si>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</si>
  <si>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</si>
  <si>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</si>
  <si>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</si>
  <si>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</si>
  <si>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</si>
  <si>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</si>
  <si>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</si>
  <si>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</si>
  <si>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</si>
  <si>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</si>
  <si>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</si>
  <si>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</si>
  <si>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</si>
  <si>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</si>
  <si>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</si>
  <si>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</si>
  <si>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</si>
  <si>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</si>
  <si>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</si>
  <si>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</si>
  <si>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</si>
  <si>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</si>
  <si>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</si>
  <si>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</si>
  <si>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</si>
  <si>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</si>
  <si>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</si>
  <si>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</si>
  <si>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</si>
  <si>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</si>
  <si>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</si>
  <si>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</si>
  <si>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</si>
  <si>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</si>
  <si>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</si>
  <si>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</si>
  <si>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</si>
  <si>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</si>
  <si>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</si>
  <si>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</si>
  <si>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</si>
  <si>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</si>
  <si>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</si>
  <si>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</si>
  <si>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</si>
  <si>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</si>
  <si>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</si>
  <si>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</si>
  <si>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</si>
  <si>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</si>
  <si>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</si>
  <si>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</si>
  <si>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</si>
  <si>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</si>
  <si>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</si>
  <si>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</si>
  <si>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</si>
  <si>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</si>
  <si>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</si>
  <si>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</si>
  <si>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</si>
  <si>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</si>
  <si>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</si>
  <si>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</si>
  <si>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</si>
  <si>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</si>
  <si>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</si>
  <si>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</si>
  <si>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</si>
  <si>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</si>
  <si>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</si>
  <si>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</si>
  <si>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</si>
  <si>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</si>
  <si>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</si>
  <si>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</si>
  <si>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</si>
  <si>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</si>
  <si>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</si>
  <si>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</si>
  <si>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</si>
  <si>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</si>
  <si>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</si>
  <si>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</si>
  <si>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</si>
  <si>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</si>
  <si>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</si>
  <si>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</si>
  <si>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</si>
  <si>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</si>
  <si>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</si>
  <si>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</si>
  <si>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</si>
  <si>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</si>
  <si>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</si>
  <si>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</si>
  <si>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</si>
  <si>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</si>
  <si>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</si>
  <si>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</si>
  <si>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</si>
  <si>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</si>
  <si>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</si>
  <si>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</si>
  <si>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</si>
  <si>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</si>
  <si>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</si>
  <si>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</si>
  <si>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</si>
  <si>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</si>
  <si>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</si>
  <si>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</si>
  <si>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</si>
  <si>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</si>
  <si>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</si>
  <si>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</si>
  <si>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</si>
  <si>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</si>
  <si>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</si>
  <si>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</si>
  <si>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</si>
  <si>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</si>
  <si>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</si>
  <si>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</si>
  <si>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</si>
  <si>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</si>
  <si>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</si>
  <si>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</si>
  <si>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</si>
  <si>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</si>
  <si>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</si>
  <si>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</si>
  <si>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</si>
  <si>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</si>
  <si>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</si>
  <si>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</si>
  <si>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</si>
  <si>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</si>
  <si>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</si>
  <si>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</si>
  <si>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</si>
  <si>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</si>
  <si>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</si>
  <si>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</si>
  <si>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</si>
  <si>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</si>
  <si>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</si>
  <si>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</si>
  <si>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</si>
  <si>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</si>
  <si>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</si>
  <si>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</si>
  <si>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</si>
  <si>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</si>
  <si>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</si>
  <si>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</si>
  <si>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</si>
  <si>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</si>
  <si>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</si>
  <si>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</si>
  <si>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</si>
  <si>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</si>
  <si>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</si>
  <si>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</si>
  <si>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</si>
  <si>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</si>
  <si>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</si>
  <si>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</si>
  <si>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</si>
  <si>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</si>
  <si>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</si>
  <si>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</si>
  <si>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</si>
  <si>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</si>
  <si>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</si>
  <si>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</si>
  <si>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</si>
  <si>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</si>
  <si>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</si>
  <si>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</si>
  <si>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</si>
  <si>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</si>
  <si>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</si>
  <si>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</si>
  <si>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</si>
  <si>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</si>
  <si>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</si>
  <si>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</si>
  <si>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</si>
  <si>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</si>
  <si>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</si>
  <si>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</si>
  <si>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</si>
  <si>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</si>
  <si>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</si>
  <si>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</si>
  <si>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</si>
  <si>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</si>
  <si>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</si>
  <si>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</si>
  <si>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</si>
  <si>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</si>
  <si>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</si>
  <si>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</si>
  <si>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</si>
  <si>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</si>
  <si>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</si>
  <si>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</si>
  <si>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</si>
  <si>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</si>
  <si>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</si>
  <si>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</si>
  <si>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</si>
  <si>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</si>
  <si>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</si>
  <si>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</si>
  <si>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</si>
  <si>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</si>
  <si>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</si>
  <si>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</si>
  <si>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</si>
  <si>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</si>
  <si>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</si>
  <si>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</si>
  <si>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</si>
  <si>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</si>
  <si>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</si>
  <si>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</si>
  <si>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</si>
  <si>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</si>
  <si>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</si>
  <si>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</si>
  <si>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</si>
  <si>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</si>
  <si>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</si>
  <si>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</si>
  <si>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</si>
  <si>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</si>
  <si>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</si>
  <si>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</si>
  <si>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</si>
  <si>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</si>
  <si>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</si>
  <si>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</si>
  <si>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</si>
  <si>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</si>
  <si>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</si>
  <si>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</si>
  <si>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</si>
  <si>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</si>
  <si>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</si>
  <si>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</si>
  <si>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</si>
  <si>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</si>
  <si>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</si>
  <si>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</si>
  <si>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</si>
  <si>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</si>
  <si>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</si>
  <si>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</si>
  <si>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</si>
  <si>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</si>
  <si>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</si>
  <si>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</si>
  <si>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</si>
  <si>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</si>
  <si>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</si>
  <si>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</si>
  <si>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</si>
  <si>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</si>
  <si>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</si>
  <si>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</si>
  <si>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</si>
  <si>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</si>
  <si>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</si>
  <si>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</si>
  <si>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</si>
  <si>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</si>
  <si>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</si>
  <si>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</si>
  <si>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</si>
  <si>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</si>
  <si>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</si>
  <si>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</si>
  <si>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</si>
  <si>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</si>
  <si>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</si>
  <si>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</si>
  <si>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</si>
  <si>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</si>
  <si>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</si>
  <si>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</si>
  <si>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</si>
  <si>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</si>
  <si>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</si>
  <si>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</si>
  <si>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</si>
  <si>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</si>
  <si>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</si>
  <si>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</si>
  <si>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</si>
  <si>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</si>
  <si>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</si>
  <si>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</si>
  <si>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</si>
  <si>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</si>
  <si>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</si>
  <si>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</si>
  <si>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</si>
  <si>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</si>
  <si>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</si>
  <si>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</si>
  <si>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</si>
  <si>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</si>
  <si>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</si>
  <si>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</si>
  <si>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</si>
  <si>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</si>
  <si>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</si>
  <si>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</si>
  <si>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</si>
  <si>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</si>
  <si>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</si>
  <si>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</si>
  <si>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</si>
  <si>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</si>
  <si>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</si>
  <si>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</si>
  <si>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</si>
  <si>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</si>
  <si>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</si>
  <si>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</si>
  <si>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</si>
  <si>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</si>
  <si>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</si>
  <si>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</si>
  <si>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</si>
  <si>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</si>
  <si>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</si>
  <si>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</si>
  <si>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</si>
  <si>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</si>
  <si>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</si>
  <si>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</si>
  <si>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</si>
  <si>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</si>
  <si>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</si>
  <si>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</si>
  <si>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</si>
  <si>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</si>
  <si>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</si>
  <si>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</si>
  <si>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</si>
  <si>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</si>
  <si>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</si>
  <si>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</si>
  <si>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</si>
  <si>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</si>
  <si>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</si>
  <si>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</si>
  <si>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</si>
  <si>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</si>
  <si>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</si>
  <si>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</si>
  <si>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</si>
  <si>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</si>
  <si>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</si>
  <si>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</si>
  <si>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</si>
  <si>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</si>
  <si>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</si>
  <si>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</si>
  <si>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</si>
  <si>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</si>
  <si>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</si>
  <si>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</si>
  <si>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</si>
  <si>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</si>
  <si>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</si>
  <si>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</si>
  <si>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</si>
  <si>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</si>
  <si>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</si>
  <si>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</si>
  <si>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</si>
  <si>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</si>
  <si>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</si>
  <si>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</si>
  <si>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</si>
  <si>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</si>
  <si>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</si>
  <si>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</si>
  <si>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</si>
  <si>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</si>
  <si>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</si>
  <si>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</si>
  <si>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</si>
  <si>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</si>
  <si>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</si>
  <si>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</si>
  <si>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</si>
  <si>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</si>
  <si>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</si>
  <si>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</si>
  <si>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</si>
  <si>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</si>
  <si>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</si>
  <si>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</si>
  <si>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</si>
  <si>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</si>
  <si>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</si>
  <si>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</si>
  <si>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</si>
  <si>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</si>
  <si>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</si>
  <si>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</si>
  <si>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</si>
  <si>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</si>
  <si>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</si>
  <si>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</si>
  <si>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</si>
  <si>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</si>
  <si>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</si>
  <si>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</si>
  <si>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</si>
  <si>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</si>
  <si>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</si>
  <si>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</si>
  <si>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</si>
  <si>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</si>
  <si>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</si>
  <si>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</si>
  <si>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</si>
  <si>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</si>
  <si>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</si>
  <si>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</si>
  <si>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</si>
  <si>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</si>
  <si>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</si>
  <si>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</si>
  <si>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</si>
  <si>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</si>
  <si>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</si>
  <si>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</si>
  <si>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</si>
  <si>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</si>
  <si>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</si>
  <si>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</si>
  <si>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</si>
  <si>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</si>
  <si>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</si>
  <si>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</si>
  <si>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</si>
  <si>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</si>
  <si>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</si>
  <si>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</si>
  <si>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</si>
  <si>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</si>
  <si>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</si>
  <si>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</si>
  <si>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</si>
  <si>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</si>
  <si>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</si>
  <si>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</si>
  <si>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</si>
  <si>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</si>
  <si>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</si>
  <si>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</si>
  <si>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</si>
  <si>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</si>
  <si>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</si>
  <si>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</si>
  <si>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</si>
  <si>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</si>
  <si>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</si>
  <si>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</si>
  <si>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</si>
  <si>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</si>
  <si>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</si>
  <si>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</si>
  <si>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</si>
  <si>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</si>
  <si>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</si>
  <si>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</si>
  <si>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</si>
  <si>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</si>
  <si>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</si>
  <si>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</si>
  <si>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</si>
  <si>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</si>
  <si>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</si>
  <si>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</si>
  <si>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</si>
  <si>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</si>
  <si>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</si>
  <si>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</si>
  <si>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</si>
  <si>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</si>
  <si>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</si>
  <si>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</si>
  <si>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</si>
  <si>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</si>
  <si>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</si>
  <si>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</si>
  <si>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</si>
  <si>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</si>
  <si>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</si>
  <si>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</si>
  <si>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</si>
  <si>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</si>
  <si>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</si>
  <si>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</si>
  <si>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</si>
  <si>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</si>
  <si>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</si>
  <si>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</si>
  <si>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</si>
  <si>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</si>
  <si>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</si>
  <si>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</si>
  <si>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</si>
  <si>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</si>
  <si>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</si>
  <si>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</si>
  <si>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</si>
  <si>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</si>
  <si>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</si>
  <si>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</si>
  <si>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</si>
  <si>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</si>
  <si>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</si>
  <si>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</si>
  <si>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</si>
  <si>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</si>
  <si>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</si>
  <si>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</si>
  <si>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</si>
  <si>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</si>
  <si>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</si>
  <si>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</si>
  <si>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</si>
  <si>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</si>
  <si>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</si>
  <si>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</si>
  <si>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</si>
  <si>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</si>
  <si>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</si>
  <si>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</si>
  <si>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</si>
  <si>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</si>
  <si>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</si>
  <si>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</si>
  <si>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</si>
  <si>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</si>
  <si>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</si>
  <si>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</si>
  <si>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</si>
  <si>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</si>
  <si>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</si>
  <si>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</si>
  <si>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</si>
  <si>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</si>
  <si>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</si>
  <si>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</si>
  <si>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</si>
  <si>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</si>
  <si>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</si>
  <si>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</si>
  <si>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</si>
  <si>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</si>
  <si>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</si>
  <si>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</si>
  <si>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</si>
  <si>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</si>
  <si>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</si>
  <si>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</si>
  <si>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</si>
  <si>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</si>
  <si>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</si>
  <si>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</si>
  <si>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</si>
  <si>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</si>
  <si>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</si>
  <si>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</si>
  <si>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</si>
  <si>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</si>
  <si>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</si>
  <si>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</si>
  <si>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</si>
  <si>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</si>
  <si>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</si>
  <si>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</si>
  <si>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</si>
  <si>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</si>
  <si>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</si>
  <si>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</si>
  <si>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</si>
  <si>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</si>
  <si>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</si>
  <si>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</si>
  <si>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</si>
  <si>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</si>
  <si>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</si>
  <si>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</si>
  <si>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</si>
  <si>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</si>
  <si>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</si>
  <si>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</si>
  <si>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</si>
  <si>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</si>
  <si>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</si>
  <si>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</si>
  <si>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</si>
  <si>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</si>
  <si>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</si>
  <si>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</si>
  <si>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</si>
  <si>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</si>
  <si>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</si>
  <si>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</si>
  <si>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</si>
  <si>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</si>
  <si>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</si>
  <si>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</si>
  <si>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</si>
  <si>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</si>
  <si>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</si>
  <si>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</si>
  <si>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</si>
  <si>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</si>
  <si>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</si>
  <si>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</si>
  <si>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</si>
  <si>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</si>
  <si>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</si>
  <si>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</si>
  <si>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</si>
  <si>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</si>
  <si>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</si>
  <si>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</si>
  <si>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</si>
  <si>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</si>
  <si>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</si>
  <si>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</si>
  <si>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</si>
  <si>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</si>
  <si>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</si>
  <si>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</si>
  <si>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</si>
  <si>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</si>
  <si>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</si>
  <si>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</si>
  <si>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</si>
  <si>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</si>
  <si>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</si>
  <si>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</si>
  <si>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</si>
  <si>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</si>
  <si>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</si>
  <si>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</si>
  <si>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</si>
  <si>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</si>
  <si>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</si>
  <si>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</si>
  <si>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</si>
  <si>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</si>
  <si>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</si>
  <si>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</si>
  <si>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</si>
  <si>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</si>
  <si>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</si>
  <si>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</si>
  <si>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</si>
  <si>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</si>
  <si>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</si>
  <si>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</si>
  <si>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</si>
  <si>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</si>
  <si>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</si>
  <si>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</si>
  <si>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</si>
  <si>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</si>
  <si>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</si>
  <si>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</si>
  <si>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</si>
  <si>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</si>
  <si>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</si>
  <si>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</si>
  <si>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</si>
  <si>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</si>
  <si>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</si>
  <si>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</si>
  <si>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</si>
  <si>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</si>
  <si>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</si>
  <si>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</si>
  <si>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</si>
  <si>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</si>
  <si>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</si>
  <si>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</si>
  <si>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</si>
  <si>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</si>
  <si>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</si>
  <si>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</si>
  <si>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</si>
  <si>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</si>
  <si>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</si>
  <si>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</si>
  <si>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</si>
  <si>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</si>
  <si>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</si>
  <si>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</si>
  <si>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</si>
  <si>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</si>
  <si>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</si>
  <si>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</si>
  <si>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</si>
  <si>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</si>
  <si>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</si>
  <si>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</si>
  <si>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</si>
  <si>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</si>
  <si>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</si>
  <si>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</si>
  <si>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</si>
  <si>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</si>
  <si>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</si>
  <si>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</si>
  <si>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</si>
  <si>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</si>
  <si>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</si>
  <si>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</si>
  <si>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</si>
  <si>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</si>
  <si>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</si>
  <si>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</si>
  <si>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</si>
  <si>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</si>
  <si>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</si>
  <si>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</si>
  <si>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</si>
  <si>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</si>
  <si>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</si>
  <si>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</si>
  <si>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</si>
  <si>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</si>
  <si>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</si>
  <si>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</si>
  <si>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</si>
  <si>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</si>
  <si>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</si>
  <si>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</si>
  <si>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</si>
  <si>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</si>
  <si>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</si>
  <si>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</si>
  <si>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</si>
  <si>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</si>
  <si>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</si>
  <si>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</si>
  <si>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</si>
  <si>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</si>
  <si>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</si>
  <si>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</si>
  <si>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</si>
  <si>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</si>
  <si>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</si>
  <si>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</si>
  <si>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</si>
  <si>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</si>
  <si>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</si>
  <si>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</si>
  <si>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</si>
  <si>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</si>
  <si>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</si>
  <si>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</si>
  <si>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</si>
  <si>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</si>
  <si>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</si>
  <si>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</si>
  <si>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</si>
  <si>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</si>
  <si>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</si>
  <si>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</si>
  <si>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</si>
  <si>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</si>
  <si>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</si>
  <si>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</si>
  <si>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</si>
  <si>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</si>
  <si>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</si>
  <si>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</si>
  <si>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</si>
  <si>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</si>
  <si>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</si>
  <si>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</si>
  <si>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</si>
  <si>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</si>
  <si>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</si>
  <si>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</si>
  <si>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</si>
  <si>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</si>
  <si>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</si>
  <si>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</si>
  <si>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</si>
  <si>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</si>
  <si>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</si>
  <si>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</si>
  <si>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</si>
  <si>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</si>
  <si>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</si>
  <si>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</si>
  <si>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</si>
  <si>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</si>
  <si>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</si>
  <si>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</si>
  <si>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</si>
  <si>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</si>
  <si>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</si>
  <si>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</si>
  <si>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</si>
  <si>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</si>
  <si>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</si>
  <si>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</si>
  <si>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</si>
  <si>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</si>
  <si>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</si>
  <si>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</si>
  <si>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</si>
  <si>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</si>
  <si>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</si>
  <si>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</si>
  <si>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</si>
  <si>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</si>
  <si>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</si>
  <si>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</si>
  <si>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</si>
  <si>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</si>
  <si>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</si>
  <si>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</si>
  <si>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</si>
  <si>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</si>
  <si>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</si>
  <si>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</si>
  <si>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</si>
  <si>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</si>
  <si>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</si>
  <si>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</si>
  <si>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</si>
  <si>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</si>
  <si>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</si>
  <si>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</si>
  <si>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</si>
  <si>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</si>
  <si>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</si>
  <si>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</si>
  <si>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</si>
  <si>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</si>
  <si>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</si>
  <si>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</si>
  <si>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</si>
  <si>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</si>
  <si>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</si>
  <si>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</si>
  <si>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</si>
  <si>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</si>
  <si>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</si>
  <si>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</si>
  <si>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</si>
  <si>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</si>
  <si>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</si>
  <si>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</si>
  <si>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</si>
  <si>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</si>
  <si>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</si>
  <si>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</si>
  <si>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</si>
  <si>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</si>
  <si>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</si>
  <si>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</si>
  <si>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</si>
  <si>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</si>
  <si>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</si>
  <si>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</si>
  <si>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</si>
  <si>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</si>
  <si>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</si>
  <si>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</si>
  <si>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</si>
  <si>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</si>
  <si>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</si>
  <si>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</si>
  <si>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</si>
  <si>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</si>
  <si>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</si>
  <si>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</si>
  <si>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</si>
  <si>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</si>
  <si>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</si>
  <si>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</si>
  <si>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</si>
  <si>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</si>
  <si>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</si>
  <si>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</si>
  <si>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</si>
  <si>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</si>
  <si>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</si>
  <si>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</si>
  <si>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</si>
  <si>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</si>
  <si>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</si>
  <si>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</si>
  <si>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</si>
  <si>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</si>
  <si>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</si>
  <si>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</si>
  <si>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</si>
  <si>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</si>
  <si>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</si>
  <si>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</si>
  <si>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</si>
  <si>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</si>
  <si>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</si>
  <si>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</si>
  <si>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</si>
  <si>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</si>
  <si>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</si>
  <si>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</si>
  <si>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</si>
  <si>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</si>
  <si>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</si>
  <si>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</si>
  <si>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</si>
  <si>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</si>
  <si>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</si>
  <si>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</si>
  <si>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</si>
  <si>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</si>
  <si>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</si>
  <si>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</si>
  <si>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</si>
  <si>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</si>
  <si>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</si>
  <si>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</si>
  <si>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</si>
  <si>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</si>
  <si>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</si>
  <si>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</si>
  <si>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</si>
  <si>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</si>
  <si>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</si>
  <si>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</si>
  <si>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</si>
  <si>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</si>
  <si>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</si>
  <si>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</si>
  <si>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</si>
  <si>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</si>
  <si>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</si>
  <si>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</si>
  <si>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</si>
  <si>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</si>
  <si>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</si>
  <si>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</si>
  <si>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</si>
  <si>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</si>
  <si>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</si>
  <si>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</si>
  <si>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</si>
  <si>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</si>
  <si>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</si>
  <si>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</si>
  <si>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</si>
  <si>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</si>
  <si>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</si>
  <si>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</si>
  <si>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</si>
  <si>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</si>
  <si>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</si>
  <si>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</si>
  <si>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</si>
  <si>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</si>
  <si>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</si>
  <si>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</si>
  <si>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</si>
  <si>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</si>
  <si>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</si>
  <si>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</si>
  <si>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</si>
  <si>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</si>
  <si>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</si>
  <si>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</si>
  <si>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</si>
  <si>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</si>
  <si>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</si>
  <si>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</si>
  <si>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</si>
  <si>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</si>
  <si>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</si>
  <si>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</si>
  <si>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</si>
  <si>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</si>
  <si>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</si>
  <si>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</si>
  <si>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</si>
  <si>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</si>
  <si>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</si>
  <si>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</si>
  <si>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</si>
  <si>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</si>
  <si>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</si>
  <si>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</si>
  <si>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</si>
  <si>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</si>
  <si>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</si>
  <si>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</si>
  <si>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</si>
  <si>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</si>
  <si>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</si>
  <si>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</si>
  <si>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</si>
  <si>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</si>
  <si>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</si>
  <si>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</si>
  <si>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</si>
  <si>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</si>
  <si>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</si>
  <si>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</si>
  <si>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</si>
  <si>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</si>
  <si>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</si>
  <si>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</si>
  <si>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</si>
  <si>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</si>
  <si>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</si>
  <si>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</si>
  <si>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</si>
  <si>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</si>
  <si>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</si>
  <si>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</si>
  <si>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</si>
  <si>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</si>
  <si>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</si>
  <si>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</si>
  <si>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</si>
  <si>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</si>
  <si>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</si>
  <si>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</si>
  <si>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</si>
  <si>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</si>
  <si>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</si>
  <si>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</si>
  <si>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</si>
  <si>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</si>
  <si>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</si>
  <si>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</si>
  <si>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</si>
  <si>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</si>
  <si>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</si>
  <si>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</si>
  <si>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</si>
  <si>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</si>
  <si>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</si>
  <si>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</si>
  <si>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</si>
  <si>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</si>
  <si>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</si>
  <si>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</si>
  <si>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</si>
  <si>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</si>
  <si>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</si>
  <si>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</si>
  <si>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</si>
  <si>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</si>
  <si>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</si>
  <si>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</si>
  <si>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</si>
  <si>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</si>
  <si>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</si>
  <si>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</si>
  <si>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</si>
  <si>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</si>
  <si>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</si>
  <si>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</si>
  <si>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</si>
  <si>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</si>
  <si>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</si>
  <si>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</si>
  <si>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</si>
  <si>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</si>
  <si>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</si>
  <si>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</si>
  <si>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</si>
  <si>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</si>
  <si>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</si>
  <si>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</si>
  <si>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</si>
  <si>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</si>
  <si>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</si>
  <si>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</si>
  <si>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</si>
  <si>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</si>
  <si>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</si>
  <si>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</si>
  <si>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</si>
  <si>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</si>
  <si>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</si>
  <si>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</si>
  <si>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</si>
  <si>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</si>
  <si>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</si>
  <si>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</si>
  <si>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</si>
  <si>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</si>
  <si>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</si>
  <si>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</si>
  <si>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</si>
  <si>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</si>
  <si>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</si>
  <si>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</si>
  <si>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</si>
  <si>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</si>
  <si>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</si>
  <si>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</si>
  <si>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</si>
  <si>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</si>
  <si>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</si>
  <si>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</si>
  <si>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</si>
  <si>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</si>
  <si>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</si>
  <si>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</si>
  <si>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</si>
  <si>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</si>
  <si>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</si>
  <si>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</si>
  <si>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</si>
  <si>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</si>
  <si>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</si>
  <si>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</si>
  <si>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</si>
  <si>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</si>
  <si>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</si>
  <si>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</si>
  <si>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</si>
  <si>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</si>
  <si>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</si>
  <si>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</si>
  <si>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</si>
  <si>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</si>
  <si>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</si>
  <si>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</si>
  <si>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</si>
  <si>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</si>
  <si>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</si>
  <si>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</si>
  <si>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</si>
  <si>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</si>
  <si>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</si>
  <si>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</si>
  <si>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</si>
  <si>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</si>
  <si>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</si>
  <si>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</si>
  <si>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</si>
  <si>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</si>
  <si>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</si>
  <si>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</si>
  <si>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</si>
  <si>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</si>
  <si>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</si>
  <si>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</si>
  <si>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</si>
  <si>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</si>
  <si>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</si>
  <si>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</si>
  <si>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</si>
  <si>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</si>
  <si>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</si>
  <si>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</si>
  <si>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</si>
  <si>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</si>
  <si>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</si>
  <si>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</si>
  <si>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</si>
  <si>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</si>
  <si>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</si>
  <si>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</si>
  <si>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</si>
  <si>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</si>
  <si>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</si>
  <si>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</si>
  <si>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</si>
  <si>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</si>
  <si>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</si>
  <si>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</si>
  <si>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</si>
  <si>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</si>
  <si>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</si>
  <si>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</si>
  <si>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</si>
  <si>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</si>
  <si>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</si>
  <si>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</si>
  <si>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</si>
  <si>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</si>
  <si>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</si>
  <si>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</si>
  <si>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</si>
  <si>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</si>
  <si>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</si>
  <si>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</si>
  <si>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</si>
  <si>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</si>
  <si>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</si>
  <si>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</si>
  <si>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</si>
  <si>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</si>
  <si>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</si>
  <si>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</si>
  <si>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</si>
  <si>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</si>
  <si>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</si>
  <si>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</si>
  <si>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</si>
  <si>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</si>
  <si>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</si>
  <si>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</si>
  <si>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</si>
  <si>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</si>
  <si>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</si>
  <si>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</si>
  <si>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</si>
  <si>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</si>
  <si>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</si>
  <si>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</si>
  <si>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</si>
  <si>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</si>
  <si>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</si>
  <si>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</si>
  <si>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</si>
  <si>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</si>
  <si>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</si>
  <si>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</si>
  <si>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</si>
  <si>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</si>
  <si>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</si>
  <si>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</si>
  <si>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</si>
  <si>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</si>
  <si>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</si>
  <si>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</si>
  <si>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</si>
  <si>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</si>
  <si>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</si>
  <si>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</si>
  <si>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</si>
  <si>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</si>
  <si>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</si>
  <si>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</si>
  <si>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</si>
  <si>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</si>
  <si>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</si>
  <si>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</si>
  <si>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</si>
  <si>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</si>
  <si>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</si>
  <si>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</si>
  <si>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</si>
  <si>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</si>
  <si>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</si>
  <si>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</si>
  <si>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</si>
  <si>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</si>
  <si>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</si>
  <si>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</si>
  <si>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</si>
  <si>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</si>
  <si>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</si>
  <si>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</si>
  <si>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</si>
  <si>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</si>
  <si>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</si>
  <si>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</si>
  <si>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</si>
  <si>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</si>
  <si>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</si>
  <si>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</si>
  <si>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</si>
  <si>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</si>
  <si>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</si>
  <si>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</si>
  <si>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</si>
  <si>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</si>
  <si>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</si>
  <si>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</si>
  <si>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</si>
  <si>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</si>
  <si>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</si>
  <si>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</si>
  <si>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</si>
  <si>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</si>
  <si>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</si>
  <si>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</si>
  <si>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</si>
  <si>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</si>
  <si>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</si>
  <si>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</si>
  <si>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</si>
  <si>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</si>
  <si>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</si>
  <si>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</si>
  <si>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</si>
  <si>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</si>
  <si>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</si>
  <si>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</si>
  <si>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</si>
  <si>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</si>
  <si>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</si>
  <si>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</si>
  <si>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</si>
  <si>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</si>
  <si>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</si>
  <si>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</si>
  <si>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</si>
  <si>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</si>
  <si>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</si>
  <si>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</si>
  <si>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</si>
  <si>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</si>
  <si>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</si>
  <si>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</si>
  <si>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</si>
  <si>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</si>
  <si>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</si>
  <si>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</si>
  <si>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</si>
  <si>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</si>
  <si>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</si>
  <si>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</si>
  <si>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</si>
  <si>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</si>
  <si>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</si>
  <si>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</si>
  <si>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</si>
  <si>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</si>
  <si>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</si>
  <si>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</si>
  <si>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</si>
  <si>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</si>
  <si>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</si>
  <si>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</si>
  <si>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</si>
  <si>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</si>
  <si>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</si>
  <si>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</si>
  <si>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</si>
  <si>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</si>
  <si>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</si>
  <si>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</si>
  <si>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</si>
  <si>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</si>
  <si>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</si>
  <si>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</si>
  <si>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</si>
  <si>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</si>
  <si>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</si>
  <si>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</si>
  <si>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</si>
  <si>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</si>
  <si>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</si>
  <si>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</si>
  <si>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</si>
  <si>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</si>
  <si>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</si>
  <si>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</si>
  <si>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</si>
  <si>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</si>
  <si>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</si>
  <si>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</si>
  <si>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</si>
  <si>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</si>
  <si>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</si>
  <si>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</si>
  <si>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</si>
  <si>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</si>
  <si>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</si>
  <si>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</si>
  <si>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</si>
  <si>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</si>
  <si>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</si>
  <si>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</si>
  <si>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</si>
  <si>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</si>
  <si>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</si>
  <si>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</si>
  <si>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</si>
  <si>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</si>
  <si>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</si>
  <si>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</si>
  <si>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</si>
  <si>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</si>
  <si>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</si>
  <si>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</si>
  <si>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</si>
  <si>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</si>
  <si>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</si>
  <si>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</si>
  <si>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</si>
  <si>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</si>
  <si>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</si>
  <si>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</si>
  <si>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</si>
  <si>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</si>
  <si>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</si>
  <si>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</si>
  <si>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</si>
  <si>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</si>
  <si>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</si>
  <si>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</si>
  <si>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</si>
  <si>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</si>
  <si>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</si>
  <si>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</si>
  <si>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</si>
  <si>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</si>
  <si>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</si>
  <si>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</si>
  <si>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</si>
  <si>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</si>
  <si>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</si>
  <si>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</si>
  <si>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</si>
  <si>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</si>
  <si>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</si>
  <si>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</si>
  <si>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</si>
  <si>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</si>
  <si>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</si>
  <si>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</si>
  <si>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</si>
  <si>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</si>
  <si>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</si>
  <si>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</si>
  <si>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</si>
  <si>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</si>
  <si>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</si>
  <si>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</si>
  <si>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</si>
  <si>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</si>
  <si>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</si>
  <si>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</si>
  <si>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</si>
  <si>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</si>
  <si>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</si>
  <si>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</si>
  <si>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</si>
  <si>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</si>
  <si>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</si>
  <si>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</si>
  <si>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</si>
  <si>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</si>
  <si>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</si>
  <si>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</si>
  <si>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</si>
  <si>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</si>
  <si>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</si>
  <si>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</si>
  <si>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</si>
  <si>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</si>
  <si>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</si>
  <si>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</si>
  <si>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</si>
  <si>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</si>
  <si>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</si>
  <si>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</si>
  <si>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</si>
  <si>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</si>
  <si>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</si>
  <si>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</si>
  <si>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</si>
  <si>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</si>
  <si>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</si>
  <si>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</si>
  <si>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</si>
  <si>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</si>
  <si>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</si>
  <si>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</si>
  <si>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</si>
  <si>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</si>
  <si>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</si>
  <si>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</si>
  <si>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</si>
  <si>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</si>
  <si>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</si>
  <si>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</si>
  <si>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</si>
  <si>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</si>
  <si>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</si>
  <si>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</si>
  <si>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</si>
  <si>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</si>
  <si>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</si>
  <si>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</si>
  <si>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</si>
  <si>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</si>
  <si>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</si>
  <si>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</si>
  <si>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</si>
  <si>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</si>
  <si>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</si>
  <si>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</si>
  <si>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</si>
  <si>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</si>
  <si>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</si>
  <si>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</si>
  <si>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</si>
  <si>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</si>
  <si>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</si>
  <si>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</si>
  <si>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</si>
  <si>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</si>
  <si>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</si>
  <si>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</si>
  <si>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</si>
  <si>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</si>
  <si>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</si>
  <si>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</si>
  <si>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</si>
  <si>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</si>
  <si>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</si>
  <si>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</si>
  <si>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</si>
  <si>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</si>
  <si>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</si>
  <si>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</si>
  <si>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</si>
  <si>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</si>
  <si>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</si>
  <si>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</si>
  <si>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</si>
  <si>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</si>
  <si>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</si>
  <si>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</si>
  <si>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</si>
  <si>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</si>
  <si>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</si>
  <si>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</si>
  <si>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</si>
  <si>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</si>
  <si>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</si>
  <si>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</si>
  <si>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</si>
  <si>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</si>
  <si>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</si>
  <si>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</si>
  <si>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</si>
  <si>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</si>
  <si>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</si>
  <si>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</si>
  <si>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</si>
  <si>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</si>
  <si>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</si>
  <si>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</si>
  <si>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</si>
  <si>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</si>
  <si>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</si>
  <si>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</si>
  <si>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</si>
  <si>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</si>
  <si>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</si>
  <si>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</si>
  <si>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</si>
  <si>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</si>
  <si>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</si>
  <si>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</si>
  <si>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</si>
  <si>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</si>
  <si>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</si>
  <si>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</si>
  <si>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</si>
  <si>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</si>
  <si>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</si>
  <si>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</si>
  <si>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</si>
  <si>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</si>
  <si>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</si>
  <si>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</si>
  <si>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</si>
  <si>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</si>
  <si>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</si>
  <si>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</si>
  <si>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</si>
  <si>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</si>
  <si>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</si>
  <si>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</si>
  <si>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</si>
  <si>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</si>
  <si>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</si>
  <si>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</si>
  <si>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</si>
  <si>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</si>
  <si>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</si>
  <si>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</si>
  <si>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</si>
  <si>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</si>
  <si>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</si>
  <si>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</si>
  <si>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</si>
  <si>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</si>
  <si>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</si>
  <si>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</si>
  <si>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</si>
  <si>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</si>
  <si>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</si>
  <si>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</si>
  <si>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</si>
  <si>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</si>
  <si>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</si>
  <si>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</si>
  <si>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</si>
  <si>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</si>
  <si>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</si>
  <si>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</si>
  <si>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</si>
  <si>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</si>
  <si>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</si>
  <si>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</si>
  <si>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</si>
  <si>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</si>
  <si>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</si>
  <si>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</si>
  <si>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</si>
  <si>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</si>
  <si>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</si>
  <si>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</si>
  <si>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</si>
  <si>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</si>
  <si>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</si>
  <si>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</si>
  <si>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</si>
  <si>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</si>
  <si>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</si>
  <si>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</si>
  <si>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</si>
  <si>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</si>
  <si>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</si>
  <si>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</si>
  <si>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</si>
  <si>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</si>
  <si>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</si>
  <si>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</si>
  <si>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</si>
  <si>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</si>
  <si>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</si>
  <si>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</si>
  <si>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</si>
  <si>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</si>
  <si>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</si>
  <si>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</si>
  <si>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</si>
  <si>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</si>
  <si>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</si>
  <si>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</si>
  <si>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</si>
  <si>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</si>
  <si>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</si>
  <si>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</si>
  <si>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</si>
  <si>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</si>
  <si>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</si>
  <si>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</si>
  <si>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</si>
  <si>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</si>
  <si>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</si>
  <si>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</si>
  <si>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</si>
  <si>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</si>
  <si>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</si>
  <si>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</si>
  <si>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</si>
  <si>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</si>
  <si>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</si>
  <si>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</si>
  <si>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</si>
  <si>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</si>
  <si>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</si>
  <si>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</si>
  <si>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</si>
  <si>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</si>
  <si>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</si>
  <si>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</si>
  <si>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</si>
  <si>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</si>
  <si>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</si>
  <si>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</si>
  <si>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</si>
  <si>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</si>
  <si>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</si>
  <si>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</si>
  <si>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</si>
  <si>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</si>
  <si>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</si>
  <si>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</si>
  <si>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</si>
  <si>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</si>
  <si>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</si>
  <si>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</si>
  <si>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</si>
  <si>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</si>
  <si>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</si>
  <si>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</si>
  <si>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</si>
  <si>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</si>
  <si>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</si>
  <si>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</si>
  <si>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</si>
  <si>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</si>
  <si>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</si>
  <si>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</si>
  <si>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</si>
  <si>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</si>
  <si>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</si>
  <si>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</si>
  <si>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</si>
  <si>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</si>
  <si>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</si>
  <si>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</si>
  <si>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</si>
  <si>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</si>
  <si>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</si>
  <si>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</si>
  <si>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</si>
  <si>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</si>
  <si>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</si>
  <si>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</si>
  <si>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</si>
  <si>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</si>
  <si>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</si>
  <si>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</si>
  <si>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</si>
  <si>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</si>
  <si>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</si>
  <si>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</si>
  <si>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</si>
  <si>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</si>
  <si>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</si>
  <si>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</si>
  <si>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</si>
  <si>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</si>
  <si>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</si>
  <si>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</si>
  <si>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</si>
  <si>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</si>
  <si>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</si>
  <si>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</si>
  <si>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</si>
  <si>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</si>
  <si>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</si>
  <si>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</si>
  <si>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</si>
  <si>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</si>
  <si>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</si>
  <si>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</si>
  <si>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</si>
  <si>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</si>
  <si>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</si>
  <si>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</si>
  <si>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</si>
  <si>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</si>
  <si>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</si>
  <si>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</si>
  <si>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</si>
  <si>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</si>
  <si>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</si>
  <si>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</si>
  <si>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</si>
  <si>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</si>
  <si>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</si>
  <si>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</si>
  <si>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</si>
  <si>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</si>
  <si>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</si>
  <si>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</si>
  <si>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</si>
  <si>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</si>
  <si>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</si>
  <si>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</si>
  <si>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</si>
  <si>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</si>
  <si>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</si>
  <si>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</si>
  <si>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</si>
  <si>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</si>
  <si>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</si>
  <si>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</si>
  <si>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</si>
  <si>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</si>
  <si>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</si>
  <si>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</si>
  <si>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</si>
  <si>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</si>
  <si>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</si>
  <si>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</si>
  <si>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</si>
  <si>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</si>
  <si>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</si>
  <si>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</si>
  <si>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</si>
  <si>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</si>
  <si>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</si>
  <si>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</si>
  <si>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</si>
  <si>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</si>
  <si>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</si>
  <si>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</si>
  <si>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</si>
  <si>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</si>
  <si>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</si>
  <si>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</si>
  <si>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</si>
  <si>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</si>
  <si>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</si>
  <si>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</si>
  <si>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</si>
  <si>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</si>
  <si>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</si>
  <si>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</si>
  <si>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</si>
  <si>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</si>
  <si>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</si>
  <si>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</si>
  <si>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</si>
  <si>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</si>
  <si>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</si>
  <si>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</si>
  <si>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</si>
  <si>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</si>
  <si>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</si>
  <si>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</si>
  <si>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</si>
  <si>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</si>
  <si>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</si>
  <si>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</si>
  <si>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</si>
  <si>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</si>
  <si>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</si>
  <si>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</si>
  <si>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</si>
  <si>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</si>
  <si>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</si>
  <si>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</si>
  <si>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</si>
  <si>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</si>
  <si>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</si>
  <si>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</si>
  <si>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</si>
  <si>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</si>
  <si>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</si>
  <si>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</si>
  <si>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</si>
  <si>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</si>
  <si>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</si>
  <si>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</si>
  <si>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</si>
  <si>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</si>
  <si>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</si>
  <si>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</si>
  <si>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</si>
  <si>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</si>
  <si>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</si>
  <si>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</si>
  <si>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</si>
  <si>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</si>
  <si>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</si>
  <si>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</si>
  <si>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</si>
  <si>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</si>
  <si>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</si>
  <si>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</si>
  <si>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</si>
  <si>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</si>
  <si>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</si>
  <si>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</si>
  <si>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</si>
  <si>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</si>
  <si>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</si>
  <si>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</si>
  <si>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</si>
  <si>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</si>
  <si>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</si>
  <si>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</si>
  <si>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</si>
  <si>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</si>
  <si>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</si>
  <si>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</si>
  <si>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</si>
  <si>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</si>
  <si>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</si>
  <si>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</si>
  <si>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</si>
  <si>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</si>
  <si>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</si>
  <si>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</si>
  <si>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</si>
  <si>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</si>
  <si>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</si>
  <si>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</si>
  <si>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</si>
  <si>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</si>
  <si>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</si>
  <si>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</si>
  <si>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</si>
  <si>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</si>
  <si>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</si>
  <si>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</si>
  <si>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</si>
  <si>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</si>
  <si>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</si>
  <si>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</si>
  <si>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</si>
  <si>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</si>
  <si>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</si>
  <si>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</si>
  <si>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</si>
  <si>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</si>
  <si>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</si>
  <si>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</si>
  <si>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</si>
  <si>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</si>
  <si>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</si>
  <si>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</si>
  <si>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</si>
  <si>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</si>
  <si>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</si>
  <si>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</si>
  <si>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</si>
  <si>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</si>
  <si>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</si>
  <si>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</si>
  <si>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</si>
  <si>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</si>
  <si>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</si>
  <si>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</si>
  <si>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</si>
  <si>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</si>
  <si>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</si>
  <si>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</si>
  <si>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</si>
  <si>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</si>
  <si>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</si>
  <si>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</si>
  <si>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</si>
  <si>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</si>
  <si>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</si>
  <si>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</si>
  <si>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</si>
  <si>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</si>
  <si>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</si>
  <si>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</si>
  <si>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</si>
  <si>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</si>
  <si>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</si>
  <si>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</si>
  <si>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</si>
  <si>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</si>
  <si>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</si>
  <si>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</si>
  <si>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</si>
  <si>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</si>
  <si>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</si>
  <si>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</si>
  <si>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</si>
  <si>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</si>
  <si>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</si>
  <si>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</si>
  <si>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</si>
  <si>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</si>
  <si>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</si>
  <si>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</si>
  <si>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</si>
  <si>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</si>
  <si>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</si>
  <si>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</si>
  <si>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</si>
  <si>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</si>
  <si>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</si>
  <si>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</si>
  <si>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</si>
  <si>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</si>
  <si>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</si>
  <si>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</si>
  <si>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</si>
  <si>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</si>
  <si>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</si>
  <si>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</si>
  <si>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</si>
  <si>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</si>
  <si>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</si>
  <si>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</si>
  <si>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</si>
  <si>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</si>
  <si>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</si>
  <si>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</si>
  <si>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</si>
  <si>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</si>
  <si>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</si>
  <si>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</si>
  <si>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</si>
  <si>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</si>
  <si>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</si>
  <si>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</si>
  <si>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</si>
  <si>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</si>
  <si>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</si>
  <si>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</si>
  <si>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</si>
  <si>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</si>
  <si>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</si>
  <si>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</si>
  <si>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</si>
  <si>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</si>
  <si>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</si>
  <si>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</si>
  <si>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</si>
  <si>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</si>
  <si>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</si>
  <si>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</si>
  <si>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</si>
  <si>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</si>
  <si>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</si>
  <si>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</si>
  <si>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</si>
  <si>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</si>
  <si>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</si>
  <si>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</si>
  <si>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</si>
  <si>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</si>
  <si>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</si>
  <si>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</si>
  <si>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</si>
  <si>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</si>
  <si>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</si>
  <si>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</si>
  <si>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</si>
  <si>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</si>
  <si>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</si>
  <si>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</si>
  <si>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</si>
  <si>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</si>
  <si>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</si>
  <si>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</si>
  <si>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</si>
  <si>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</si>
  <si>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</si>
  <si>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</si>
  <si>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</si>
  <si>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</si>
  <si>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</si>
  <si>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</si>
  <si>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</si>
  <si>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</si>
  <si>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</si>
  <si>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</si>
  <si>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</si>
  <si>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</si>
  <si>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</si>
  <si>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</si>
  <si>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</si>
  <si>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</si>
  <si>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</si>
  <si>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</si>
  <si>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</si>
  <si>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</si>
  <si>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</si>
  <si>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</si>
  <si>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</si>
  <si>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</si>
  <si>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</si>
  <si>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</si>
  <si>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</si>
  <si>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</si>
  <si>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</si>
  <si>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</si>
  <si>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</si>
  <si>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</si>
  <si>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</si>
  <si>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</si>
  <si>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</si>
  <si>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</si>
  <si>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</si>
  <si>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</si>
  <si>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</si>
  <si>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</si>
  <si>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</si>
  <si>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</si>
  <si>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</si>
  <si>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</si>
  <si>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</si>
  <si>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</si>
  <si>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</si>
  <si>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</si>
  <si>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</si>
  <si>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</si>
  <si>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</si>
  <si>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</si>
  <si>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</si>
  <si>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</si>
  <si>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</si>
  <si>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</si>
  <si>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</si>
  <si>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</si>
  <si>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</si>
  <si>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</si>
  <si>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</si>
  <si>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</si>
  <si>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</si>
  <si>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</si>
  <si>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</si>
  <si>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</si>
  <si>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</si>
  <si>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</si>
  <si>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</si>
  <si>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</si>
  <si>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</si>
  <si>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</si>
  <si>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</si>
  <si>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</si>
  <si>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</si>
  <si>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</si>
  <si>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</si>
  <si>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</si>
  <si>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</si>
  <si>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</si>
  <si>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</si>
  <si>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</si>
  <si>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</si>
  <si>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</si>
  <si>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</si>
  <si>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</si>
  <si>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</si>
  <si>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</si>
  <si>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</si>
  <si>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</si>
  <si>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</si>
  <si>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</si>
  <si>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</si>
  <si>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</si>
  <si>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</si>
  <si>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</si>
  <si>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</si>
  <si>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</si>
  <si>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</si>
  <si>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</si>
  <si>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</si>
  <si>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</si>
  <si>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</si>
  <si>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</si>
  <si>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</si>
  <si>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</si>
  <si>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</si>
  <si>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</si>
  <si>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</si>
  <si>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</si>
  <si>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</si>
  <si>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</si>
  <si>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</si>
  <si>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</si>
  <si>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</si>
  <si>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</si>
  <si>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</si>
  <si>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</si>
  <si>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</si>
  <si>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</si>
  <si>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</si>
  <si>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</si>
  <si>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</si>
  <si>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</si>
  <si>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</si>
  <si>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</si>
  <si>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</si>
  <si>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</si>
  <si>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</si>
  <si>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</si>
  <si>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</si>
  <si>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</si>
  <si>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</si>
  <si>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</si>
  <si>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</si>
  <si>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</si>
  <si>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</si>
  <si>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</si>
  <si>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</si>
  <si>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</si>
  <si>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</si>
  <si>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</si>
  <si>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</si>
  <si>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</si>
  <si>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</si>
  <si>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</si>
  <si>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</si>
  <si>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</si>
  <si>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</si>
  <si>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</si>
  <si>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</si>
  <si>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</si>
  <si>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</si>
  <si>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</si>
  <si>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</si>
  <si>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</si>
  <si>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</si>
  <si>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</si>
  <si>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</si>
  <si>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</si>
  <si>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</si>
  <si>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</si>
  <si>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</si>
  <si>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</si>
  <si>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</si>
  <si>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</si>
  <si>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</si>
  <si>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</si>
  <si>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</si>
  <si>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</si>
  <si>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</si>
  <si>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</si>
  <si>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</si>
  <si>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</si>
  <si>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</si>
  <si>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</si>
  <si>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</si>
  <si>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</si>
  <si>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</si>
  <si>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</si>
  <si>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</si>
  <si>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</si>
  <si>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</si>
  <si>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</si>
  <si>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</si>
  <si>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</si>
  <si>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</si>
  <si>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</si>
  <si>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</si>
  <si>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</si>
  <si>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</si>
  <si>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</si>
  <si>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</si>
  <si>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</si>
  <si>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</si>
  <si>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</si>
  <si>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</si>
  <si>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</si>
  <si>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</si>
  <si>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</si>
  <si>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</si>
  <si>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</si>
  <si>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</si>
  <si>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</si>
  <si>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</si>
  <si>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</si>
  <si>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</si>
  <si>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</si>
  <si>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</si>
  <si>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</si>
  <si>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</si>
  <si>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</si>
  <si>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</si>
  <si>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</si>
  <si>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</si>
  <si>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</si>
  <si>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</si>
  <si>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</si>
  <si>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</si>
  <si>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</si>
  <si>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</si>
  <si>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</si>
  <si>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</si>
  <si>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</si>
  <si>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</si>
  <si>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</si>
  <si>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</si>
  <si>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</si>
  <si>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</si>
  <si>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</si>
  <si>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</si>
  <si>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</si>
  <si>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</si>
  <si>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</si>
  <si>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</si>
  <si>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</si>
  <si>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</si>
  <si>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</si>
  <si>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</si>
  <si>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</si>
  <si>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</si>
  <si>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</si>
  <si>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</si>
  <si>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</si>
  <si>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</si>
  <si>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</si>
  <si>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</si>
  <si>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</si>
  <si>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</si>
  <si>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</si>
  <si>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</si>
  <si>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</si>
  <si>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</si>
  <si>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</si>
  <si>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</si>
  <si>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</si>
  <si>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</si>
  <si>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</si>
  <si>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</si>
  <si>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</si>
  <si>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</si>
  <si>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</si>
  <si>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</si>
  <si>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</si>
  <si>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</si>
  <si>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</si>
  <si>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</si>
  <si>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</si>
  <si>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</si>
  <si>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</si>
  <si>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</si>
  <si>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</si>
  <si>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</si>
  <si>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</si>
  <si>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</si>
  <si>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</si>
  <si>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</si>
  <si>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</si>
  <si>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</si>
  <si>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</si>
  <si>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</si>
  <si>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</si>
  <si>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</si>
  <si>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</si>
  <si>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</si>
  <si>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</si>
  <si>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</si>
  <si>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</si>
  <si>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</si>
  <si>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</si>
  <si>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</si>
  <si>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</si>
  <si>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</si>
  <si>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</si>
  <si>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</si>
  <si>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</si>
  <si>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</si>
  <si>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</si>
  <si>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</si>
  <si>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</si>
  <si>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</si>
  <si>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</si>
  <si>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</si>
  <si>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</si>
  <si>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</si>
  <si>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</si>
  <si>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</si>
  <si>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</si>
  <si>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</si>
  <si>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</si>
  <si>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</si>
  <si>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</si>
  <si>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</si>
  <si>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</si>
  <si>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</si>
  <si>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</si>
  <si>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</si>
  <si>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</si>
  <si>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</si>
  <si>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</si>
  <si>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</si>
  <si>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</si>
  <si>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</si>
  <si>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</si>
  <si>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</si>
  <si>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</si>
  <si>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</si>
  <si>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</si>
  <si>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</si>
  <si>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</si>
  <si>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</si>
  <si>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</si>
  <si>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</si>
  <si>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</si>
  <si>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</si>
  <si>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</si>
  <si>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</si>
  <si>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</si>
  <si>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</si>
  <si>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</si>
  <si>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</si>
  <si>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</si>
  <si>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</si>
  <si>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</si>
  <si>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</si>
  <si>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</si>
  <si>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</si>
  <si>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</si>
  <si>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</si>
  <si>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</si>
  <si>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</si>
  <si>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</si>
  <si>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</si>
  <si>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</si>
  <si>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</si>
  <si>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</si>
  <si>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</si>
  <si>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</si>
  <si>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</si>
  <si>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</si>
  <si>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</si>
  <si>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</si>
  <si>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</si>
  <si>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</si>
  <si>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</si>
  <si>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</si>
  <si>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</si>
  <si>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</si>
  <si>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</si>
  <si>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</si>
  <si>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</si>
  <si>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</si>
  <si>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</si>
  <si>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</si>
  <si>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</si>
  <si>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</si>
  <si>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</si>
  <si>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</si>
  <si>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</si>
  <si>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</si>
  <si>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</si>
  <si>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</si>
  <si>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</si>
  <si>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</si>
  <si>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</si>
  <si>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</si>
  <si>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</si>
  <si>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</si>
  <si>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</si>
  <si>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</si>
  <si>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</si>
  <si>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</si>
  <si>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</si>
  <si>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</si>
  <si>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</si>
  <si>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</si>
  <si>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</si>
  <si>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</si>
  <si>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</si>
  <si>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</si>
  <si>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</si>
  <si>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</si>
  <si>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</si>
  <si>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</si>
  <si>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</si>
  <si>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</si>
  <si>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</si>
  <si>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</si>
  <si>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</si>
  <si>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</si>
  <si>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</si>
  <si>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</si>
  <si>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</si>
  <si>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</si>
  <si>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</si>
  <si>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</si>
  <si>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</si>
  <si>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</si>
  <si>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</si>
  <si>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</si>
  <si>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</si>
  <si>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</si>
  <si>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</si>
  <si>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</si>
  <si>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</si>
  <si>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</si>
  <si>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</si>
  <si>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</si>
  <si>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</si>
  <si>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</si>
  <si>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</si>
  <si>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</si>
  <si>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</si>
  <si>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</si>
  <si>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</si>
  <si>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</si>
  <si>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</si>
  <si>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</si>
  <si>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</si>
  <si>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</si>
  <si>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</si>
  <si>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</si>
  <si>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</si>
  <si>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</si>
  <si>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</si>
  <si>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</si>
  <si>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</si>
  <si>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</si>
  <si>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</si>
  <si>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</si>
  <si>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</si>
  <si>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</si>
  <si>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</si>
  <si>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</si>
  <si>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</si>
  <si>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</si>
  <si>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</si>
  <si>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</si>
  <si>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</si>
  <si>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</si>
  <si>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</si>
  <si>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</si>
  <si>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</si>
  <si>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</si>
  <si>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</si>
  <si>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</si>
  <si>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</si>
  <si>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</si>
  <si>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</si>
  <si>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</si>
  <si>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</si>
  <si>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</si>
  <si>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</si>
  <si>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</si>
  <si>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</si>
  <si>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</si>
  <si>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</si>
  <si>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</si>
  <si>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</si>
  <si>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</si>
  <si>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</si>
  <si>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</si>
  <si>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</si>
  <si>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</si>
  <si>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</si>
  <si>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</si>
  <si>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</si>
  <si>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</si>
  <si>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</si>
  <si>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</si>
  <si>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</si>
  <si>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</si>
  <si>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</si>
  <si>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</si>
  <si>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</si>
  <si>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</si>
  <si>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</si>
  <si>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</si>
  <si>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</si>
  <si>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</si>
  <si>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</si>
  <si>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</si>
  <si>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</si>
  <si>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</si>
  <si>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</si>
  <si>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</si>
  <si>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</si>
  <si>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</si>
  <si>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</si>
  <si>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</si>
  <si>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</si>
  <si>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</si>
  <si>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</si>
  <si>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</si>
  <si>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</si>
  <si>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</si>
  <si>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</si>
  <si>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</si>
  <si>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</si>
  <si>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</si>
  <si>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</si>
  <si>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</si>
  <si>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</si>
  <si>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</si>
  <si>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</si>
  <si>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</si>
  <si>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</si>
  <si>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</si>
  <si>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</si>
  <si>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</si>
  <si>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</si>
  <si>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</si>
  <si>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</si>
  <si>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</si>
  <si>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</si>
  <si>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</si>
  <si>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</si>
  <si>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</si>
  <si>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</si>
  <si>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</si>
  <si>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</si>
  <si>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</si>
  <si>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</si>
  <si>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</si>
  <si>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</si>
  <si>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</si>
  <si>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</si>
  <si>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</si>
  <si>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</si>
  <si>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</si>
  <si>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</si>
  <si>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</si>
  <si>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</si>
  <si>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</si>
  <si>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</si>
  <si>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</si>
  <si>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</si>
  <si>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</si>
  <si>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</si>
  <si>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</si>
  <si>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</si>
  <si>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</si>
  <si>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</si>
  <si>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</si>
  <si>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</si>
  <si>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</si>
  <si>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</si>
  <si>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</si>
  <si>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</si>
  <si>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</si>
  <si>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</si>
  <si>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</si>
  <si>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</si>
  <si>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</si>
  <si>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</si>
  <si>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</si>
  <si>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</si>
  <si>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</si>
  <si>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</si>
  <si>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</si>
  <si>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</si>
  <si>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</si>
  <si>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</si>
  <si>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</si>
  <si>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</si>
  <si>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</si>
  <si>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</si>
  <si>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</si>
  <si>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</si>
  <si>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</si>
  <si>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</si>
  <si>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</si>
  <si>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</si>
  <si>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</si>
  <si>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</si>
  <si>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</si>
  <si>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</si>
  <si>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</si>
  <si>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</si>
  <si>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</si>
  <si>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</si>
  <si>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</si>
  <si>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</si>
  <si>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</si>
  <si>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</si>
  <si>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</si>
  <si>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</si>
  <si>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</si>
  <si>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</si>
  <si>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</si>
  <si>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</si>
  <si>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</si>
  <si>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</si>
  <si>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</si>
  <si>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</si>
  <si>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</si>
  <si>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</si>
  <si>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</si>
  <si>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</si>
  <si>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</si>
  <si>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</si>
  <si>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</si>
  <si>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</si>
  <si>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</si>
  <si>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</si>
  <si>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</si>
  <si>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</si>
  <si>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</si>
  <si>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</si>
  <si>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</si>
  <si>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</si>
  <si>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</si>
  <si>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</si>
  <si>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</si>
  <si>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</si>
  <si>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</si>
  <si>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</si>
  <si>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</si>
  <si>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</si>
  <si>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</si>
  <si>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</si>
  <si>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</si>
  <si>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</si>
  <si>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</si>
  <si>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</si>
  <si>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</si>
  <si>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</si>
  <si>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</si>
  <si>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</si>
  <si>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</si>
  <si>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</si>
  <si>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</si>
  <si>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</si>
  <si>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</si>
  <si>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</si>
  <si>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</si>
  <si>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</si>
  <si>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</si>
  <si>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</si>
  <si>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</si>
  <si>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</si>
  <si>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</si>
  <si>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</si>
  <si>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</si>
  <si>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</si>
  <si>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</si>
  <si>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</si>
  <si>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</si>
  <si>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</si>
  <si>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</si>
  <si>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</si>
  <si>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</si>
  <si>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</si>
  <si>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</si>
  <si>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</si>
  <si>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</si>
  <si>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</si>
  <si>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</si>
  <si>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</si>
  <si>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</si>
  <si>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</si>
  <si>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</si>
  <si>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</si>
  <si>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</si>
  <si>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</si>
  <si>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</si>
  <si>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</si>
  <si>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</si>
  <si>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</si>
  <si>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</si>
  <si>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</si>
  <si>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</si>
  <si>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</si>
  <si>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</si>
  <si>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</si>
  <si>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</si>
  <si>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</si>
  <si>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</si>
  <si>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</si>
  <si>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</si>
  <si>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</si>
  <si>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</si>
  <si>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</si>
  <si>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</si>
  <si>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</si>
  <si>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</si>
  <si>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</si>
  <si>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</si>
  <si>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</si>
  <si>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</si>
  <si>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</si>
  <si>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</si>
  <si>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</si>
  <si>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</si>
  <si>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</si>
  <si>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</si>
  <si>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</si>
  <si>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</si>
  <si>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</si>
  <si>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</si>
  <si>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</si>
  <si>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</si>
  <si>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</si>
  <si>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</si>
  <si>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</si>
  <si>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</si>
  <si>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</si>
  <si>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</si>
  <si>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</si>
  <si>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</si>
  <si>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</si>
  <si>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</si>
  <si>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</si>
  <si>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</si>
  <si>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</si>
  <si>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</si>
  <si>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</si>
  <si>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</si>
  <si>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</si>
  <si>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</si>
  <si>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</si>
  <si>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</si>
  <si>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</si>
  <si>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</si>
  <si>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</si>
  <si>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</si>
  <si>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</si>
  <si>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</si>
  <si>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</si>
  <si>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</si>
  <si>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</si>
  <si>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</si>
  <si>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</si>
  <si>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</si>
  <si>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</si>
  <si>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</si>
  <si>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</si>
  <si>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</si>
  <si>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</si>
  <si>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</si>
  <si>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</si>
  <si>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</si>
  <si>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</si>
  <si>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</si>
  <si>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</si>
  <si>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</si>
  <si>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</si>
  <si>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</si>
  <si>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</si>
  <si>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</si>
  <si>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</si>
  <si>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</si>
  <si>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</si>
  <si>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</si>
  <si>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</si>
  <si>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</si>
  <si>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</si>
  <si>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</si>
  <si>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</si>
  <si>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</si>
  <si>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</si>
  <si>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</si>
  <si>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</si>
  <si>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</si>
  <si>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</si>
  <si>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</si>
  <si>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</si>
  <si>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</si>
  <si>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</si>
  <si>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</si>
  <si>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</si>
  <si>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</si>
  <si>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</si>
  <si>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</si>
  <si>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</si>
  <si>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</si>
  <si>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</si>
  <si>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</si>
  <si>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</si>
  <si>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</si>
  <si>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</si>
  <si>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</si>
  <si>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</si>
  <si>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</si>
  <si>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</si>
  <si>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</si>
  <si>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</si>
  <si>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</si>
  <si>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</si>
  <si>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</si>
  <si>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</si>
  <si>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</si>
  <si>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</si>
  <si>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</si>
  <si>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</si>
  <si>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</si>
  <si>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</si>
  <si>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</si>
  <si>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</si>
  <si>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</si>
  <si>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</si>
  <si>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</si>
  <si>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</si>
  <si>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</si>
  <si>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</si>
  <si>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</si>
  <si>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</si>
  <si>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</si>
  <si>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</si>
  <si>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</si>
  <si>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</si>
  <si>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</si>
  <si>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</si>
  <si>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</si>
  <si>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</si>
  <si>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</si>
  <si>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</si>
  <si>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</si>
  <si>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</si>
  <si>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</si>
  <si>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</si>
  <si>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</si>
  <si>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</si>
  <si>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</si>
  <si>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</si>
  <si>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</si>
  <si>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</si>
  <si>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</si>
  <si>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</si>
  <si>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</si>
  <si>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</si>
  <si>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</si>
  <si>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</si>
  <si>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</si>
  <si>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</si>
  <si>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</si>
  <si>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</si>
  <si>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</si>
  <si>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</si>
  <si>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</si>
  <si>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</si>
  <si>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</si>
  <si>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</si>
  <si>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</si>
  <si>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</si>
  <si>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</si>
  <si>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</si>
  <si>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</si>
  <si>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</si>
  <si>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</si>
  <si>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</si>
  <si>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</si>
  <si>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</si>
  <si>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</si>
  <si>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</si>
  <si>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</si>
  <si>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</si>
  <si>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</si>
  <si>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</si>
  <si>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</si>
  <si>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</si>
  <si>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</si>
  <si>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</si>
  <si>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</si>
  <si>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</si>
  <si>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</si>
  <si>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</si>
  <si>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</si>
  <si>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</si>
  <si>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</si>
  <si>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</si>
  <si>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</si>
  <si>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</si>
  <si>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</si>
  <si>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</si>
  <si>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</si>
  <si>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</si>
  <si>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</si>
  <si>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</si>
  <si>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</si>
  <si>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</si>
  <si>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</si>
  <si>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</si>
  <si>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</si>
  <si>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</si>
  <si>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</si>
  <si>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</si>
  <si>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</si>
  <si>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</si>
  <si>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</si>
  <si>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</si>
  <si>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</si>
  <si>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</si>
  <si>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</si>
  <si>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</si>
  <si>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</si>
  <si>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</si>
  <si>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</si>
  <si>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</si>
  <si>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</si>
  <si>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</si>
  <si>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</si>
  <si>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</si>
  <si>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</si>
  <si>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</si>
  <si>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</si>
  <si>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</si>
  <si>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</si>
  <si>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</si>
  <si>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</si>
  <si>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</si>
  <si>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</si>
  <si>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</si>
  <si>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</si>
  <si>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</si>
  <si>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</si>
  <si>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</si>
  <si>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</si>
  <si>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</si>
  <si>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</si>
  <si>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</si>
  <si>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</si>
  <si>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</si>
  <si>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</si>
  <si>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</si>
  <si>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</si>
  <si>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</si>
  <si>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</si>
  <si>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</si>
  <si>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</si>
  <si>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</si>
  <si>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</si>
  <si>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</si>
  <si>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</si>
  <si>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</si>
  <si>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</si>
  <si>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</si>
  <si>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</si>
  <si>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</si>
  <si>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</si>
  <si>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</si>
  <si>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</si>
  <si>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</si>
  <si>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</si>
  <si>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</si>
  <si>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</si>
  <si>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</si>
  <si>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</si>
  <si>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</si>
  <si>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</si>
  <si>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</si>
  <si>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</si>
  <si>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</si>
  <si>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</si>
  <si>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</si>
  <si>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</si>
  <si>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</si>
  <si>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</si>
  <si>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</si>
  <si>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</si>
  <si>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</si>
  <si>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</si>
  <si>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</si>
  <si>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</si>
  <si>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</si>
  <si>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</si>
  <si>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</si>
  <si>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</si>
  <si>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</si>
  <si>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</si>
  <si>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</si>
  <si>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</si>
  <si>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</si>
  <si>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</si>
  <si>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</si>
  <si>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</si>
  <si>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</si>
  <si>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</si>
  <si>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</si>
  <si>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</si>
  <si>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</si>
  <si>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</si>
  <si>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</si>
  <si>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</si>
  <si>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</si>
  <si>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</si>
  <si>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</si>
  <si>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</si>
  <si>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</si>
  <si>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</si>
  <si>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</si>
  <si>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</si>
  <si>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</si>
  <si>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</si>
  <si>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</si>
  <si>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</si>
  <si>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</si>
  <si>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</si>
  <si>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</si>
  <si>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</si>
  <si>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</si>
  <si>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</si>
  <si>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</si>
  <si>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</si>
  <si>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</si>
  <si>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</si>
  <si>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</si>
  <si>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</si>
  <si>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</si>
  <si>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</si>
  <si>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</si>
  <si>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</si>
  <si>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</si>
  <si>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</si>
  <si>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</si>
  <si>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</si>
  <si>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</si>
  <si>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</si>
  <si>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</si>
  <si>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</si>
  <si>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</si>
  <si>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</si>
  <si>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</si>
  <si>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</si>
  <si>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</si>
  <si>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</si>
  <si>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</si>
  <si>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</si>
  <si>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</si>
  <si>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</si>
  <si>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</si>
  <si>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</si>
  <si>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</si>
  <si>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</si>
  <si>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</si>
  <si>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</si>
  <si>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</si>
  <si>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</si>
  <si>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</si>
  <si>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</si>
  <si>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</si>
  <si>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</si>
  <si>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</si>
  <si>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</si>
  <si>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</si>
  <si>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</si>
  <si>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</si>
  <si>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</si>
  <si>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</si>
  <si>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</si>
  <si>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</si>
  <si>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</si>
  <si>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</si>
  <si>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</si>
  <si>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</si>
  <si>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</si>
  <si>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</si>
  <si>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</si>
  <si>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</si>
  <si>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</si>
  <si>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</si>
  <si>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</si>
  <si>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</si>
  <si>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</si>
  <si>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</si>
  <si>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</si>
  <si>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</si>
  <si>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</si>
  <si>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</si>
  <si>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</si>
  <si>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</si>
  <si>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</si>
  <si>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</si>
  <si>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</si>
  <si>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</si>
  <si>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</si>
  <si>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</si>
  <si>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</si>
  <si>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</si>
  <si>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</si>
  <si>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</si>
  <si>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</si>
  <si>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</si>
  <si>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</si>
  <si>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</si>
  <si>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</si>
  <si>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</si>
  <si>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</si>
  <si>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</si>
  <si>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</si>
  <si>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</si>
  <si>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</si>
  <si>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</si>
  <si>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</si>
  <si>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</si>
  <si>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</si>
  <si>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</si>
  <si>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</si>
  <si>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</si>
  <si>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</si>
  <si>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</si>
  <si>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</si>
  <si>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</si>
  <si>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</si>
  <si>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</si>
  <si>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</si>
  <si>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</si>
  <si>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</si>
  <si>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</si>
  <si>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</si>
  <si>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</si>
  <si>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</si>
  <si>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</si>
  <si>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</si>
  <si>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</si>
  <si>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</si>
  <si>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</si>
  <si>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</si>
  <si>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</si>
  <si>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</si>
  <si>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</si>
  <si>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</si>
  <si>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</si>
  <si>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</si>
  <si>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</si>
  <si>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</si>
  <si>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</si>
  <si>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</si>
  <si>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</si>
  <si>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</si>
  <si>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</si>
  <si>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</si>
  <si>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</si>
  <si>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</si>
  <si>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</si>
  <si>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</si>
  <si>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</si>
  <si>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</si>
  <si>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</si>
  <si>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</si>
  <si>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</si>
  <si>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</si>
  <si>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</si>
  <si>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</si>
  <si>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</si>
  <si>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</si>
  <si>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</si>
  <si>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</si>
  <si>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</si>
  <si>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</si>
  <si>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</si>
  <si>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</si>
  <si>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</si>
  <si>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</si>
  <si>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</si>
  <si>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</si>
  <si>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</si>
  <si>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</si>
  <si>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</si>
  <si>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</si>
  <si>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</si>
  <si>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</si>
  <si>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</si>
  <si>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</si>
  <si>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</si>
  <si>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</si>
  <si>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</si>
  <si>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</si>
  <si>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</si>
  <si>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</si>
  <si>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</si>
  <si>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</si>
  <si>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</si>
  <si>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</si>
  <si>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</si>
  <si>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</si>
  <si>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</si>
  <si>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</si>
  <si>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</si>
  <si>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</si>
  <si>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</si>
  <si>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</si>
  <si>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</si>
  <si>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</si>
  <si>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</si>
  <si>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</si>
  <si>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</si>
  <si>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</si>
  <si>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</si>
  <si>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</si>
  <si>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</si>
  <si>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</si>
  <si>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</si>
  <si>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</si>
  <si>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</si>
  <si>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</si>
  <si>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</si>
  <si>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</si>
  <si>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</si>
  <si>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</si>
  <si>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</si>
  <si>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</si>
  <si>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</si>
  <si>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</si>
  <si>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</si>
  <si>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</si>
  <si>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</si>
  <si>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</si>
  <si>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</si>
  <si>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</si>
  <si>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</si>
  <si>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</si>
  <si>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</si>
  <si>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</si>
  <si>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</si>
  <si>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</si>
  <si>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</si>
  <si>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</si>
  <si>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</si>
  <si>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</si>
  <si>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</si>
  <si>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</si>
  <si>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</si>
  <si>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</si>
  <si>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</si>
  <si>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</si>
  <si>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</si>
  <si>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</si>
  <si>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</si>
  <si>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</si>
  <si>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</si>
  <si>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</si>
  <si>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</si>
  <si>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</si>
  <si>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</si>
  <si>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</si>
  <si>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</si>
  <si>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</si>
  <si>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</si>
  <si>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</si>
  <si>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</si>
  <si>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</si>
  <si>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</si>
  <si>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</si>
  <si>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</si>
  <si>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</si>
  <si>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</si>
  <si>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</si>
  <si>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</si>
  <si>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</si>
  <si>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</si>
  <si>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</si>
  <si>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</si>
  <si>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</si>
  <si>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</si>
  <si>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</si>
  <si>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</si>
  <si>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</si>
  <si>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</si>
  <si>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</si>
  <si>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</si>
  <si>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</si>
  <si>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</si>
  <si>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</si>
  <si>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</si>
  <si>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</si>
  <si>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</si>
  <si>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</si>
  <si>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</si>
  <si>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</si>
  <si>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</si>
  <si>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</si>
  <si>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</si>
  <si>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</si>
  <si>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</si>
  <si>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</si>
  <si>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</si>
  <si>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</si>
  <si>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</si>
  <si>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</si>
  <si>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</si>
  <si>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</si>
  <si>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</si>
  <si>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</si>
  <si>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</si>
  <si>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</si>
  <si>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</si>
  <si>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</si>
  <si>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</si>
  <si>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</si>
  <si>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</si>
  <si>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</si>
  <si>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</si>
  <si>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</si>
  <si>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</si>
  <si>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</si>
  <si>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</si>
  <si>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</si>
  <si>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</si>
  <si>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</si>
  <si>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</si>
  <si>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</si>
  <si>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</si>
  <si>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</si>
  <si>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</si>
  <si>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</si>
  <si>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</si>
  <si>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</si>
  <si>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</si>
  <si>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</si>
  <si>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</si>
  <si>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</si>
  <si>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</si>
  <si>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</si>
  <si>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</si>
  <si>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</si>
  <si>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</si>
  <si>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</si>
  <si>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</si>
  <si>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</si>
  <si>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</si>
  <si>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</si>
  <si>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</si>
  <si>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</si>
  <si>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</si>
  <si>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</si>
  <si>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</si>
  <si>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</si>
  <si>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</si>
  <si>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</si>
  <si>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</si>
  <si>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</si>
  <si>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</si>
  <si>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</si>
  <si>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</si>
  <si>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</si>
  <si>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</si>
  <si>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</si>
  <si>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</si>
  <si>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</si>
  <si>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</si>
  <si>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</si>
  <si>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</si>
  <si>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</si>
  <si>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</si>
  <si>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</si>
  <si>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</si>
  <si>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</si>
  <si>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</si>
  <si>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</si>
  <si>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</si>
  <si>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</si>
  <si>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</si>
  <si>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</si>
  <si>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</si>
  <si>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</si>
  <si>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</si>
  <si>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</si>
  <si>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</si>
  <si>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</si>
  <si>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</si>
  <si>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</si>
  <si>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</si>
  <si>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</si>
  <si>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</si>
  <si>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</si>
  <si>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</si>
  <si>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</si>
  <si>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</si>
  <si>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</si>
  <si>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</si>
  <si>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</si>
  <si>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</si>
  <si>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</si>
  <si>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</si>
  <si>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</si>
  <si>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</si>
  <si>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</si>
  <si>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</si>
  <si>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</si>
  <si>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</si>
  <si>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</si>
  <si>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</si>
  <si>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</si>
  <si>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</si>
  <si>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</si>
  <si>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</si>
  <si>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</si>
  <si>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</si>
  <si>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</si>
  <si>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</si>
  <si>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</si>
  <si>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</si>
  <si>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</si>
  <si>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</si>
  <si>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</si>
  <si>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</si>
  <si>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</si>
  <si>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</si>
  <si>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</si>
  <si>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</si>
  <si>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</si>
  <si>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</si>
  <si>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</si>
  <si>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</si>
  <si>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</si>
  <si>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</si>
  <si>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</si>
  <si>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</si>
  <si>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</si>
  <si>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</si>
  <si>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</si>
  <si>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</si>
  <si>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</si>
  <si>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</si>
  <si>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</si>
  <si>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</si>
  <si>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</si>
  <si>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</si>
  <si>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</si>
  <si>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</si>
  <si>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</si>
  <si>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</si>
  <si>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</si>
  <si>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</si>
  <si>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</si>
  <si>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</si>
  <si>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</si>
  <si>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</si>
  <si>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</si>
  <si>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</si>
  <si>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</si>
  <si>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</si>
  <si>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</si>
  <si>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</si>
  <si>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</si>
  <si>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</si>
  <si>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</si>
  <si>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</si>
  <si>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</si>
  <si>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</si>
  <si>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</si>
  <si>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</si>
  <si>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</si>
  <si>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</si>
  <si>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</si>
  <si>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</si>
  <si>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</si>
  <si>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</si>
  <si>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</si>
  <si>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</si>
  <si>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</si>
  <si>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</si>
  <si>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</si>
  <si>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</si>
  <si>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</si>
  <si>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</si>
  <si>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</si>
  <si>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</si>
  <si>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</si>
  <si>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</si>
  <si>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</si>
  <si>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</si>
  <si>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</si>
  <si>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</si>
  <si>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</si>
  <si>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</si>
  <si>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</si>
  <si>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</si>
  <si>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</si>
  <si>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</si>
  <si>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</si>
  <si>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</si>
  <si>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</si>
  <si>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</si>
  <si>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</si>
  <si>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</si>
  <si>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</si>
  <si>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</si>
  <si>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</si>
  <si>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</si>
  <si>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</si>
  <si>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</si>
  <si>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</si>
  <si>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</si>
  <si>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</si>
  <si>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</si>
  <si>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</si>
  <si>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</si>
  <si>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</si>
  <si>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</si>
  <si>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</si>
  <si>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</si>
  <si>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</si>
  <si>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</si>
  <si>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</si>
  <si>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</si>
  <si>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</si>
  <si>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</si>
  <si>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</si>
  <si>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</si>
  <si>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</si>
  <si>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</si>
  <si>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</si>
  <si>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</si>
  <si>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</si>
  <si>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</si>
  <si>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</si>
  <si>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</si>
  <si>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</si>
  <si>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</si>
  <si>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</si>
  <si>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</si>
  <si>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</si>
  <si>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</si>
  <si>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</si>
  <si>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</si>
  <si>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</si>
  <si>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</si>
  <si>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</si>
  <si>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</si>
  <si>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</si>
  <si>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</si>
  <si>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</si>
  <si>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</si>
  <si>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</si>
  <si>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</si>
  <si>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</si>
  <si>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</si>
  <si>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</si>
  <si>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</si>
  <si>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</si>
  <si>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</si>
  <si>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</si>
  <si>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</si>
  <si>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</si>
  <si>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</si>
  <si>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</si>
  <si>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</si>
  <si>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</si>
  <si>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</si>
  <si>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</si>
  <si>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</si>
  <si>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</si>
  <si>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</si>
  <si>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</si>
  <si>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</si>
  <si>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</si>
  <si>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</si>
  <si>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</si>
  <si>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</si>
  <si>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</si>
  <si>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</si>
  <si>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</si>
  <si>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</si>
  <si>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</si>
  <si>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</si>
  <si>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</si>
  <si>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</si>
  <si>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</si>
  <si>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</si>
  <si>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</si>
  <si>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</si>
  <si>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</si>
  <si>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</si>
  <si>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</si>
  <si>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</si>
  <si>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</si>
  <si>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</si>
  <si>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</si>
  <si>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</si>
  <si>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</si>
  <si>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</si>
  <si>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</si>
  <si>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</si>
  <si>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</si>
  <si>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</si>
  <si>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</si>
  <si>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</si>
  <si>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</si>
  <si>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</si>
  <si>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</si>
  <si>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</si>
  <si>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</si>
  <si>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</si>
  <si>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</si>
  <si>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</si>
  <si>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</si>
  <si>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</si>
  <si>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</si>
  <si>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</si>
  <si>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</si>
  <si>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</si>
  <si>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</si>
  <si>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</si>
  <si>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</si>
  <si>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</si>
  <si>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</si>
  <si>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</si>
  <si>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</si>
  <si>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</si>
  <si>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</si>
  <si>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</si>
  <si>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</si>
  <si>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</si>
  <si>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</si>
  <si>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</si>
  <si>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</si>
  <si>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</si>
  <si>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</si>
  <si>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</si>
  <si>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</si>
  <si>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</si>
  <si>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</si>
  <si>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</si>
  <si>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</si>
  <si>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</si>
  <si>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</si>
  <si>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</si>
  <si>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</si>
  <si>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</si>
  <si>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</si>
  <si>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</si>
  <si>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</si>
  <si>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</si>
  <si>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</si>
  <si>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</si>
  <si>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</si>
  <si>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</si>
  <si>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</si>
  <si>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</si>
  <si>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</si>
  <si>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</si>
  <si>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</si>
  <si>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</si>
  <si>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</si>
  <si>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</si>
  <si>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</si>
  <si>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</si>
  <si>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</si>
  <si>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</si>
  <si>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</si>
  <si>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</si>
  <si>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</si>
  <si>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</si>
  <si>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</si>
  <si>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</si>
  <si>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</si>
  <si>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</si>
  <si>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</si>
  <si>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</si>
  <si>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</si>
  <si>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</si>
  <si>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</si>
  <si>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</si>
  <si>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</si>
  <si>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</si>
  <si>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</si>
  <si>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</si>
  <si>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</si>
  <si>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</si>
  <si>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</si>
  <si>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</si>
  <si>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</si>
  <si>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</si>
  <si>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</si>
  <si>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</si>
  <si>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</si>
  <si>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</si>
  <si>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</si>
  <si>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</si>
  <si>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</si>
  <si>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</si>
  <si>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</si>
  <si>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</si>
  <si>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</si>
  <si>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</si>
  <si>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</si>
  <si>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</si>
  <si>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</si>
  <si>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</si>
  <si>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</si>
  <si>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</si>
  <si>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</si>
  <si>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</si>
  <si>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</si>
  <si>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</si>
  <si>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</si>
  <si>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</si>
  <si>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</si>
  <si>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</si>
  <si>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</si>
  <si>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</si>
  <si>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</si>
  <si>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</si>
  <si>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</si>
  <si>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</si>
  <si>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</si>
  <si>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</si>
  <si>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</si>
  <si>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</si>
  <si>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</si>
  <si>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</si>
  <si>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</si>
  <si>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</si>
  <si>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</si>
  <si>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</si>
  <si>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</si>
  <si>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</si>
  <si>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</si>
  <si>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</si>
  <si>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</si>
  <si>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</si>
  <si>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</si>
  <si>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</si>
  <si>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</si>
  <si>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</si>
  <si>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</si>
  <si>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</si>
  <si>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</si>
  <si>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</si>
  <si>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</si>
  <si>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</si>
  <si>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</si>
  <si>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</si>
  <si>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</si>
  <si>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</si>
  <si>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</si>
  <si>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</si>
  <si>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</si>
  <si>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</si>
  <si>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</si>
  <si>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</si>
  <si>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</si>
  <si>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</si>
  <si>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</si>
  <si>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</si>
  <si>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</si>
  <si>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</si>
  <si>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</si>
  <si>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</si>
  <si>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</si>
  <si>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</si>
  <si>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</si>
  <si>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</si>
  <si>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</si>
  <si>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</si>
  <si>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</si>
  <si>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</si>
  <si>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</si>
  <si>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</si>
  <si>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</si>
  <si>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</si>
  <si>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</si>
  <si>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</si>
  <si>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</si>
  <si>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</si>
  <si>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</si>
  <si>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</si>
  <si>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</si>
  <si>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</si>
  <si>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</si>
  <si>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</si>
  <si>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</si>
  <si>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</si>
  <si>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</si>
  <si>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</si>
  <si>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</si>
  <si>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</si>
  <si>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</si>
  <si>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</si>
  <si>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</si>
  <si>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</si>
  <si>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</si>
  <si>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</si>
  <si>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</si>
  <si>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</si>
  <si>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</si>
  <si>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</si>
  <si>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</si>
  <si>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</si>
  <si>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</si>
  <si>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</si>
  <si>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</si>
  <si>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</si>
  <si>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</si>
  <si>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</si>
  <si>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</si>
  <si>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</si>
  <si>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</si>
  <si>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</si>
  <si>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</si>
  <si>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</si>
  <si>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</si>
  <si>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</si>
  <si>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</si>
  <si>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</si>
  <si>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</si>
  <si>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</si>
  <si>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</si>
  <si>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</si>
  <si>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</si>
  <si>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</si>
  <si>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</si>
  <si>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</si>
  <si>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</si>
  <si>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</si>
  <si>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</si>
  <si>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</si>
  <si>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</si>
  <si>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</si>
  <si>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</si>
  <si>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</si>
  <si>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</si>
  <si>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</si>
  <si>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</si>
  <si>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</si>
  <si>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</si>
  <si>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</si>
  <si>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</si>
  <si>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</si>
  <si>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</si>
  <si>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</si>
  <si>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</si>
  <si>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</si>
  <si>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</si>
  <si>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</si>
  <si>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</si>
  <si>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</si>
  <si>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</si>
  <si>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</si>
  <si>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</si>
  <si>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</si>
  <si>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</si>
  <si>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</si>
  <si>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</si>
  <si>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</si>
  <si>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</si>
  <si>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</si>
  <si>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</si>
  <si>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</si>
  <si>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</si>
  <si>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</si>
  <si>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</si>
  <si>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</si>
  <si>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</si>
  <si>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</si>
  <si>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</si>
  <si>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</si>
  <si>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</si>
  <si>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</si>
  <si>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</si>
  <si>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</si>
  <si>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</si>
  <si>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</si>
  <si>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</si>
  <si>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</si>
  <si>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</si>
  <si>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</si>
  <si>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</si>
  <si>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</si>
  <si>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</si>
  <si>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</si>
  <si>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</si>
  <si>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</si>
  <si>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</si>
  <si>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</si>
  <si>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</si>
  <si>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</si>
  <si>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</si>
  <si>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</si>
  <si>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</si>
  <si>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</si>
  <si>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</si>
  <si>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</si>
  <si>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</si>
  <si>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</si>
  <si>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</si>
  <si>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</si>
  <si>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</si>
  <si>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</si>
  <si>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</si>
  <si>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</si>
  <si>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</si>
  <si>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</si>
  <si>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</si>
  <si>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</si>
  <si>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</si>
  <si>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</si>
  <si>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</si>
  <si>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</si>
  <si>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</si>
  <si>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</si>
  <si>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</si>
  <si>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</si>
  <si>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</si>
  <si>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</si>
  <si>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</si>
  <si>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</si>
  <si>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</si>
  <si>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</si>
  <si>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</si>
  <si>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</si>
  <si>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</si>
  <si>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</si>
  <si>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</si>
  <si>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</si>
  <si>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</si>
  <si>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</si>
  <si>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</si>
  <si>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</si>
  <si>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</si>
  <si>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</si>
  <si>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</si>
  <si>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</si>
  <si>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</si>
  <si>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</si>
  <si>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</si>
  <si>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</si>
  <si>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</si>
  <si>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</si>
  <si>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</si>
  <si>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</si>
  <si>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</si>
  <si>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</si>
  <si>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</si>
  <si>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</si>
  <si>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</si>
  <si>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</si>
  <si>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</si>
  <si>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</si>
  <si>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</si>
  <si>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</si>
  <si>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</si>
  <si>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</si>
  <si>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</si>
  <si>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</si>
  <si>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</si>
  <si>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</si>
  <si>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</si>
  <si>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</si>
  <si>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</si>
  <si>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</si>
  <si>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</si>
  <si>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</si>
  <si>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</si>
  <si>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</si>
  <si>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</si>
  <si>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</si>
  <si>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</si>
  <si>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</si>
  <si>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</si>
  <si>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</si>
  <si>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</si>
  <si>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</si>
  <si>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</si>
  <si>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</si>
  <si>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</si>
  <si>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</si>
  <si>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</si>
  <si>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</si>
  <si>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</si>
  <si>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</si>
  <si>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</si>
  <si>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</si>
  <si>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</si>
  <si>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</si>
  <si>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</si>
  <si>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</si>
  <si>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</si>
  <si>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</si>
  <si>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</si>
  <si>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</si>
  <si>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</si>
  <si>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</si>
  <si>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</si>
  <si>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</si>
  <si>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</si>
  <si>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</si>
  <si>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</si>
  <si>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</si>
  <si>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</si>
  <si>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</si>
  <si>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</si>
  <si>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</si>
  <si>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</si>
  <si>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</si>
  <si>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</si>
  <si>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</si>
  <si>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</si>
  <si>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</si>
  <si>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</si>
  <si>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</si>
  <si>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</si>
  <si>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</si>
  <si>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</si>
  <si>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</si>
  <si>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</si>
  <si>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</si>
  <si>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</si>
  <si>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</si>
  <si>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</si>
  <si>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</si>
  <si>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</si>
  <si>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</si>
  <si>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</si>
  <si>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</si>
  <si>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</si>
  <si>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</si>
  <si>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</si>
  <si>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</si>
  <si>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</si>
  <si>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</si>
  <si>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</si>
  <si>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</si>
  <si>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</si>
  <si>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</si>
  <si>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</si>
  <si>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</si>
  <si>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</si>
  <si>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</si>
  <si>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</si>
  <si>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</si>
  <si>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</si>
  <si>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</si>
  <si>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</si>
  <si>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</si>
  <si>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</si>
  <si>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</si>
  <si>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</si>
  <si>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</si>
  <si>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</si>
  <si>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</si>
  <si>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</si>
  <si>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</si>
  <si>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</si>
  <si>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</si>
  <si>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</si>
  <si>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</si>
  <si>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</si>
  <si>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</si>
  <si>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</si>
  <si>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</si>
  <si>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</si>
  <si>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</si>
  <si>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</si>
  <si>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</si>
  <si>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</si>
  <si>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</si>
  <si>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</si>
  <si>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</si>
  <si>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</si>
  <si>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</si>
  <si>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</si>
  <si>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</si>
  <si>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</si>
  <si>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</si>
  <si>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</si>
  <si>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</si>
  <si>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</si>
  <si>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</si>
  <si>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</si>
  <si>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</si>
  <si>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</si>
  <si>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</si>
  <si>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</si>
  <si>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</si>
  <si>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</si>
  <si>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</si>
  <si>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</si>
  <si>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</si>
  <si>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</si>
  <si>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</si>
  <si>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</si>
  <si>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</si>
  <si>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</si>
  <si>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</si>
  <si>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</si>
  <si>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</si>
  <si>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</si>
  <si>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</si>
  <si>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</si>
  <si>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</si>
  <si>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</si>
  <si>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</si>
  <si>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</si>
  <si>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</si>
  <si>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</si>
  <si>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</si>
  <si>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</si>
  <si>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</si>
  <si>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</si>
  <si>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</si>
  <si>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</si>
  <si>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</si>
  <si>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</si>
  <si>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</si>
  <si>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</si>
  <si>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</si>
  <si>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</si>
  <si>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</si>
  <si>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</si>
  <si>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</si>
  <si>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</si>
  <si>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</si>
  <si>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</si>
  <si>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</si>
  <si>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</si>
  <si>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</si>
  <si>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</si>
  <si>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</si>
  <si>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</si>
  <si>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</si>
  <si>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</si>
  <si>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</si>
  <si>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</si>
  <si>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</si>
  <si>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</si>
  <si>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</si>
  <si>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</si>
  <si>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</si>
  <si>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</si>
  <si>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</si>
  <si>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</si>
  <si>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</si>
  <si>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</si>
  <si>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</si>
  <si>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</si>
  <si>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</si>
  <si>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</si>
  <si>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</si>
  <si>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</si>
  <si>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</si>
  <si>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</si>
  <si>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</si>
  <si>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</si>
  <si>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</si>
  <si>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</si>
  <si>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</si>
  <si>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</si>
  <si>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</si>
  <si>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</si>
  <si>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</si>
  <si>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</si>
  <si>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</si>
  <si>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</si>
  <si>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</si>
  <si>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</si>
  <si>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</si>
  <si>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</si>
  <si>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</si>
  <si>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</si>
  <si>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</si>
  <si>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</si>
  <si>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</si>
  <si>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</si>
  <si>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</si>
  <si>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</si>
  <si>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</si>
  <si>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</si>
  <si>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</si>
  <si>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</si>
  <si>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</si>
  <si>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</si>
  <si>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</si>
  <si>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</si>
  <si>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</si>
  <si>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</si>
  <si>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</si>
  <si>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</si>
  <si>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</si>
  <si>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</si>
  <si>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</si>
  <si>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</si>
  <si>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</si>
  <si>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</si>
  <si>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</si>
  <si>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</si>
  <si>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</si>
  <si>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</si>
  <si>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</si>
  <si>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</si>
  <si>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</si>
  <si>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</si>
  <si>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</si>
  <si>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</si>
  <si>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</si>
  <si>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</si>
  <si>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</si>
  <si>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</si>
  <si>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</si>
  <si>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</si>
  <si>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</si>
  <si>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</si>
  <si>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</si>
  <si>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</si>
  <si>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</si>
  <si>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</si>
  <si>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</si>
  <si>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</si>
  <si>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</si>
  <si>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</si>
  <si>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</si>
  <si>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</si>
  <si>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</si>
  <si>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</si>
  <si>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</si>
  <si>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</si>
  <si>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</si>
  <si>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</si>
  <si>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</si>
  <si>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</si>
  <si>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</si>
  <si>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</si>
  <si>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</si>
  <si>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</si>
  <si>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</si>
  <si>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</si>
  <si>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</si>
  <si>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</si>
  <si>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</si>
  <si>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</si>
  <si>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</si>
  <si>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</si>
  <si>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</si>
  <si>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</si>
  <si>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</si>
  <si>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</si>
  <si>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</si>
  <si>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</si>
  <si>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</si>
  <si>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</si>
  <si>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</si>
  <si>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</si>
  <si>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</si>
  <si>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</si>
  <si>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</si>
  <si>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</si>
  <si>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</si>
  <si>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</si>
  <si>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</si>
  <si>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</si>
  <si>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</si>
  <si>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</si>
  <si>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</si>
  <si>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</si>
  <si>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</si>
  <si>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</si>
  <si>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</si>
  <si>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</si>
  <si>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</si>
  <si>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</si>
  <si>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</si>
  <si>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</si>
  <si>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</si>
  <si>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</si>
  <si>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</si>
  <si>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</si>
  <si>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</si>
  <si>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</si>
  <si>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</si>
  <si>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</si>
  <si>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</si>
  <si>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</si>
  <si>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</si>
  <si>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</si>
  <si>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</si>
  <si>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</si>
  <si>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</si>
  <si>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</si>
  <si>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</si>
  <si>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</si>
  <si>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</si>
  <si>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</si>
  <si>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</si>
  <si>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</si>
  <si>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</si>
  <si>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</si>
  <si>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</si>
  <si>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</si>
  <si>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</si>
  <si>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</si>
  <si>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</si>
  <si>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</si>
  <si>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</si>
  <si>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</si>
  <si>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</si>
  <si>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</si>
  <si>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</si>
  <si>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</si>
  <si>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</si>
  <si>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</si>
  <si>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</si>
  <si>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</si>
  <si>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</si>
  <si>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</si>
  <si>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</si>
  <si>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</si>
  <si>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</si>
  <si>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</si>
  <si>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</si>
  <si>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</si>
  <si>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</si>
  <si>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</si>
  <si>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</si>
  <si>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</si>
  <si>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</si>
  <si>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</si>
  <si>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</si>
  <si>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</si>
  <si>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</si>
  <si>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</si>
  <si>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</si>
  <si>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</si>
  <si>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</si>
  <si>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</si>
  <si>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</si>
  <si>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</si>
  <si>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</si>
  <si>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</si>
  <si>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</si>
  <si>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</si>
  <si>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</si>
  <si>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</si>
  <si>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</si>
  <si>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</si>
  <si>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</si>
  <si>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</si>
  <si>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</si>
  <si>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</si>
  <si>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</si>
  <si>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</si>
  <si>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</si>
  <si>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</si>
  <si>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</si>
  <si>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</si>
  <si>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</si>
  <si>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</si>
  <si>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</si>
  <si>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</si>
  <si>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</si>
  <si>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</si>
  <si>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</si>
  <si>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</si>
  <si>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</si>
  <si>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</si>
  <si>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</si>
  <si>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</si>
  <si>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</si>
  <si>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</si>
  <si>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</si>
  <si>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</si>
  <si>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</si>
  <si>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</si>
  <si>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</si>
  <si>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</si>
  <si>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</si>
  <si>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</si>
  <si>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</si>
  <si>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</si>
  <si>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</si>
  <si>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</si>
  <si>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</si>
  <si>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</si>
  <si>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</si>
  <si>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</si>
  <si>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</si>
  <si>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</si>
  <si>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</si>
  <si>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</si>
  <si>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</si>
  <si>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</si>
  <si>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</si>
  <si>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</si>
  <si>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</si>
  <si>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</si>
  <si>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</si>
  <si>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</si>
  <si>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</si>
  <si>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</si>
  <si>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</si>
  <si>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</si>
  <si>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</si>
  <si>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</si>
  <si>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</si>
  <si>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</si>
  <si>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</si>
  <si>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</si>
  <si>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</si>
  <si>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</si>
  <si>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</si>
  <si>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</si>
  <si>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</si>
  <si>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</si>
  <si>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</si>
  <si>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</si>
  <si>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</si>
  <si>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</si>
  <si>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</si>
  <si>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</si>
  <si>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</si>
  <si>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</si>
  <si>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</si>
  <si>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</si>
  <si>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</si>
  <si>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</si>
  <si>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</si>
  <si>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</si>
  <si>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</si>
  <si>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</si>
  <si>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</si>
  <si>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</si>
  <si>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</si>
  <si>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</si>
  <si>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</si>
  <si>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</si>
  <si>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</si>
  <si>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</si>
  <si>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</si>
  <si>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</si>
  <si>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</si>
  <si>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</si>
  <si>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</si>
  <si>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</si>
  <si>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</si>
  <si>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</si>
  <si>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</si>
  <si>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</si>
  <si>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</si>
  <si>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</si>
  <si>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</si>
  <si>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</si>
  <si>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</si>
  <si>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</si>
  <si>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</si>
  <si>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</si>
  <si>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</si>
  <si>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</si>
  <si>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</si>
  <si>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</si>
  <si>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</si>
  <si>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</si>
  <si>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</si>
  <si>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</si>
  <si>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</si>
  <si>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</si>
  <si>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</si>
  <si>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</si>
  <si>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</si>
  <si>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</si>
  <si>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</si>
  <si>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</si>
  <si>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</si>
  <si>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</si>
  <si>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</si>
  <si>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</si>
  <si>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</si>
  <si>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</si>
  <si>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</si>
  <si>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</si>
  <si>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</si>
  <si>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</si>
  <si>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</si>
  <si>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</si>
  <si>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</si>
  <si>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</si>
  <si>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</si>
  <si>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</si>
  <si>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</si>
  <si>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</si>
  <si>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</si>
  <si>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</si>
  <si>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</si>
  <si>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</si>
  <si>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</si>
  <si>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</si>
  <si>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</si>
  <si>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</si>
  <si>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</si>
  <si>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</si>
  <si>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</si>
  <si>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</si>
  <si>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</si>
  <si>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</si>
  <si>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</si>
  <si>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</si>
  <si>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</si>
  <si>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</si>
  <si>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</si>
  <si>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</si>
  <si>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</si>
  <si>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</si>
  <si>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</si>
  <si>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</si>
  <si>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</si>
  <si>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</si>
  <si>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</si>
  <si>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</si>
  <si>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</si>
  <si>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</si>
  <si>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</si>
  <si>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</si>
  <si>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</si>
  <si>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</si>
  <si>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</si>
  <si>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</si>
  <si>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</si>
  <si>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</si>
  <si>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</si>
  <si>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</si>
  <si>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</si>
  <si>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</si>
  <si>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</si>
  <si>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</si>
  <si>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</si>
  <si>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</si>
  <si>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</si>
  <si>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</si>
  <si>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</si>
  <si>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</si>
  <si>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</si>
  <si>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</si>
  <si>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</si>
  <si>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</si>
  <si>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</si>
  <si>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</si>
  <si>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</si>
  <si>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</si>
  <si>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</si>
  <si>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</si>
  <si>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</si>
  <si>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</si>
  <si>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</si>
  <si>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</si>
  <si>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</si>
  <si>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</si>
  <si>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</si>
  <si>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</si>
  <si>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</si>
  <si>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</si>
  <si>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</si>
  <si>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</si>
  <si>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</si>
  <si>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</si>
  <si>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</si>
  <si>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</si>
  <si>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</si>
  <si>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</si>
  <si>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</si>
  <si>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</si>
  <si>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</si>
  <si>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</si>
  <si>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</si>
  <si>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</si>
  <si>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</si>
  <si>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</si>
  <si>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</si>
  <si>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</si>
  <si>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</si>
  <si>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</si>
  <si>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</si>
  <si>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</si>
  <si>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</si>
  <si>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</si>
  <si>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</si>
  <si>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</si>
  <si>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</si>
  <si>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</si>
  <si>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</si>
  <si>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</si>
  <si>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</si>
  <si>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</si>
  <si>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</si>
  <si>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</si>
  <si>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</si>
  <si>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</si>
  <si>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</si>
  <si>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</si>
  <si>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</si>
  <si>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</si>
  <si>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</si>
  <si>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</si>
  <si>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</si>
  <si>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</si>
  <si>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</si>
  <si>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</si>
  <si>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</si>
  <si>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</si>
  <si>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</si>
  <si>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</si>
  <si>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</si>
  <si>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</si>
  <si>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</si>
  <si>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</si>
  <si>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</si>
  <si>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</si>
  <si>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</si>
  <si>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</si>
  <si>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</si>
  <si>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</si>
  <si>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</si>
  <si>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</si>
  <si>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</si>
  <si>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</si>
  <si>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</si>
  <si>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</si>
  <si>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</si>
  <si>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</si>
  <si>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</si>
  <si>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</si>
  <si>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</si>
  <si>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</si>
  <si>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</si>
  <si>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</si>
  <si>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</si>
  <si>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</si>
  <si>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</si>
  <si>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</si>
  <si>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</si>
  <si>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</si>
  <si>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</si>
  <si>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</si>
  <si>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</si>
  <si>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</si>
  <si>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</si>
  <si>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</si>
  <si>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</si>
  <si>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</si>
  <si>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</si>
  <si>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</si>
  <si>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</si>
  <si>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</si>
  <si>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</si>
  <si>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</si>
  <si>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</si>
  <si>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</si>
  <si>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</si>
  <si>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</si>
  <si>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</si>
  <si>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</si>
  <si>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</si>
  <si>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</si>
  <si>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</si>
  <si>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</si>
  <si>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</si>
  <si>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</si>
  <si>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</si>
  <si>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</si>
  <si>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</si>
  <si>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</si>
  <si>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</si>
  <si>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</si>
  <si>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</si>
  <si>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</si>
  <si>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</si>
  <si>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</si>
  <si>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</si>
  <si>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</si>
  <si>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</si>
  <si>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</si>
  <si>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</si>
  <si>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</si>
  <si>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</si>
  <si>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</si>
  <si>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</si>
  <si>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</si>
  <si>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</si>
  <si>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</si>
  <si>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</si>
  <si>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</si>
  <si>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</si>
  <si>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</si>
  <si>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</si>
  <si>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</si>
  <si>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</si>
  <si>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</si>
  <si>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</si>
  <si>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</si>
  <si>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</si>
  <si>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</si>
  <si>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</si>
  <si>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</si>
  <si>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</si>
  <si>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</si>
  <si>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</si>
  <si>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</si>
  <si>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</si>
  <si>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</si>
  <si>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</si>
  <si>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</si>
  <si>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</si>
  <si>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</si>
  <si>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</si>
  <si>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</si>
  <si>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</si>
  <si>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</si>
  <si>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</si>
  <si>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</si>
  <si>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</si>
  <si>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</si>
  <si>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</si>
  <si>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</si>
  <si>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</si>
  <si>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</si>
  <si>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</si>
  <si>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</si>
  <si>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</si>
  <si>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</si>
  <si>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</si>
  <si>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</si>
  <si>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</si>
  <si>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</si>
  <si>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</si>
  <si>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</si>
  <si>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</si>
  <si>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</si>
  <si>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</si>
  <si>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</si>
  <si>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</si>
  <si>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</si>
  <si>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</si>
  <si>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</si>
  <si>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</si>
  <si>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</si>
  <si>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</si>
  <si>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</si>
  <si>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</si>
  <si>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</si>
  <si>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</si>
  <si>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</si>
  <si>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</si>
  <si>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</si>
  <si>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</si>
  <si>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</si>
  <si>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</si>
  <si>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</si>
  <si>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</si>
  <si>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</si>
  <si>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</si>
  <si>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</si>
  <si>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</si>
  <si>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</si>
  <si>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</si>
  <si>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</si>
  <si>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</si>
  <si>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</si>
  <si>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</si>
  <si>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</si>
  <si>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</si>
  <si>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</si>
  <si>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</si>
  <si>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</si>
  <si>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</si>
  <si>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</si>
  <si>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</si>
  <si>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</si>
  <si>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</si>
  <si>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</si>
  <si>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</si>
  <si>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</si>
  <si>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</si>
  <si>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</si>
  <si>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</si>
  <si>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</si>
  <si>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</si>
  <si>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</si>
  <si>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</si>
  <si>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</si>
  <si>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</si>
  <si>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</si>
  <si>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</si>
  <si>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</si>
  <si>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</si>
  <si>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</si>
  <si>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</si>
  <si>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</si>
  <si>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</si>
  <si>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</si>
  <si>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</si>
  <si>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</si>
  <si>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</si>
  <si>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</si>
  <si>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</si>
  <si>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</si>
  <si>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</si>
  <si>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</si>
  <si>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</si>
  <si>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</si>
  <si>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</si>
  <si>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</si>
  <si>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</si>
  <si>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</si>
  <si>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</si>
  <si>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</si>
  <si>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</si>
  <si>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</si>
  <si>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</si>
  <si>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</si>
  <si>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</si>
  <si>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</si>
  <si>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</si>
  <si>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</si>
  <si>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</si>
  <si>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</si>
  <si>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</si>
  <si>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</si>
  <si>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</si>
  <si>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</si>
  <si>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</si>
  <si>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</si>
  <si>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</si>
  <si>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</si>
  <si>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</si>
  <si>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</si>
  <si>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</si>
  <si>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</si>
  <si>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</si>
  <si>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</si>
  <si>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</si>
  <si>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</si>
  <si>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</si>
  <si>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</si>
  <si>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</si>
  <si>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</si>
  <si>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</si>
  <si>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</si>
  <si>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</si>
  <si>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</si>
  <si>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</si>
  <si>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</si>
  <si>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</si>
  <si>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</si>
  <si>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</si>
  <si>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</si>
  <si>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</si>
  <si>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</si>
  <si>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</si>
  <si>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</si>
  <si>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</si>
  <si>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</si>
  <si>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</si>
  <si>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</si>
  <si>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</si>
  <si>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</si>
  <si>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</si>
  <si>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</si>
  <si>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</si>
  <si>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</si>
  <si>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</si>
  <si>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</si>
  <si>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</si>
  <si>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</si>
  <si>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</si>
  <si>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</si>
  <si>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</si>
  <si>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</si>
  <si>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</si>
  <si>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</si>
  <si>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</si>
  <si>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</si>
  <si>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</si>
  <si>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</si>
  <si>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</si>
  <si>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</si>
  <si>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</si>
  <si>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</si>
  <si>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</si>
  <si>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</si>
  <si>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</si>
  <si>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</si>
  <si>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</si>
  <si>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</si>
  <si>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</si>
  <si>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</si>
  <si>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</si>
  <si>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</si>
  <si>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</si>
  <si>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</si>
  <si>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</si>
  <si>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</si>
  <si>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</si>
  <si>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</si>
  <si>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</si>
  <si>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</si>
  <si>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</si>
  <si>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</si>
  <si>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</si>
  <si>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</si>
  <si>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</si>
  <si>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</si>
  <si>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</si>
  <si>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</si>
  <si>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</si>
  <si>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</si>
  <si>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</si>
  <si>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</si>
  <si>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</si>
  <si>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</si>
  <si>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</si>
  <si>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</si>
  <si>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</si>
  <si>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</si>
  <si>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</si>
  <si>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</si>
  <si>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</si>
  <si>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</si>
  <si>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</si>
  <si>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</si>
  <si>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</si>
  <si>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</si>
  <si>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</si>
  <si>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</si>
  <si>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</si>
  <si>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</si>
  <si>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</si>
  <si>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</si>
  <si>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</si>
  <si>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</si>
  <si>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</si>
  <si>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</si>
  <si>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</si>
  <si>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</si>
  <si>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</si>
  <si>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</si>
  <si>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</si>
  <si>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</si>
  <si>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</si>
  <si>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</si>
  <si>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</si>
  <si>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</si>
  <si>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</si>
  <si>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</si>
  <si>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</si>
  <si>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</si>
  <si>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</si>
  <si>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</si>
  <si>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</si>
  <si>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</si>
  <si>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</si>
  <si>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</si>
  <si>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</si>
  <si>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</si>
  <si>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</si>
  <si>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</si>
  <si>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</si>
  <si>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</si>
  <si>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</si>
  <si>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</si>
  <si>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</si>
  <si>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</si>
  <si>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</si>
  <si>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</si>
  <si>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</si>
  <si>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</si>
  <si>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</si>
  <si>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</si>
  <si>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</si>
  <si>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</si>
  <si>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</si>
  <si>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</si>
  <si>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</si>
  <si>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</si>
  <si>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</si>
  <si>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</si>
  <si>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</si>
  <si>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</si>
  <si>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</si>
  <si>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</si>
  <si>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</si>
  <si>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</si>
  <si>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</si>
  <si>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</si>
  <si>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</si>
  <si>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</si>
  <si>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</si>
  <si>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</si>
  <si>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</si>
  <si>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</si>
  <si>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</si>
  <si>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</si>
  <si>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</si>
  <si>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</si>
  <si>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</si>
  <si>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</si>
  <si>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</si>
  <si>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</si>
  <si>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</si>
  <si>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</si>
  <si>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</si>
  <si>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</si>
  <si>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</si>
  <si>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</si>
  <si>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</si>
  <si>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</si>
  <si>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</si>
  <si>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</si>
  <si>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</si>
  <si>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</si>
  <si>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</si>
  <si>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</si>
  <si>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</si>
  <si>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</si>
  <si>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</si>
  <si>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</si>
  <si>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</si>
  <si>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</si>
  <si>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</si>
  <si>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</si>
  <si>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</si>
  <si>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</si>
  <si>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</si>
  <si>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</si>
  <si>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</si>
  <si>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</si>
  <si>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</si>
  <si>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</si>
  <si>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</si>
  <si>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</si>
  <si>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</si>
  <si>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</si>
  <si>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</si>
  <si>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</si>
  <si>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</si>
  <si>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</si>
  <si>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</si>
  <si>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</si>
  <si>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</si>
  <si>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</si>
  <si>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</si>
  <si>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</si>
  <si>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</si>
  <si>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</si>
  <si>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</si>
  <si>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</si>
  <si>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</si>
  <si>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</si>
  <si>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</si>
  <si>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</si>
  <si>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</si>
  <si>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</si>
  <si>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</si>
  <si>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</si>
  <si>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</si>
  <si>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</si>
  <si>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</si>
  <si>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</si>
  <si>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</si>
  <si>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</si>
  <si>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</si>
  <si>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</si>
  <si>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</si>
  <si>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</si>
  <si>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</si>
  <si>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</si>
  <si>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</si>
  <si>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</si>
  <si>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</si>
  <si>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</si>
  <si>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</si>
  <si>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</si>
  <si>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</si>
  <si>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</si>
  <si>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</si>
  <si>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</si>
  <si>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</si>
  <si>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</si>
  <si>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</si>
  <si>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</si>
  <si>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</si>
  <si>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</si>
  <si>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</si>
  <si>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</si>
  <si>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</si>
  <si>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</si>
  <si>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</si>
  <si>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</si>
  <si>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</si>
  <si>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</si>
  <si>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</si>
  <si>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</si>
  <si>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</si>
  <si>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</si>
  <si>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</si>
  <si>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</si>
  <si>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</si>
  <si>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</si>
  <si>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</si>
  <si>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</si>
  <si>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</si>
  <si>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</si>
  <si>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</si>
  <si>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</si>
  <si>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</si>
  <si>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</si>
  <si>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</si>
  <si>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</si>
  <si>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</si>
  <si>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</si>
  <si>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</si>
  <si>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</si>
  <si>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</si>
  <si>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</si>
  <si>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</si>
  <si>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</si>
  <si>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</si>
  <si>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</si>
  <si>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</si>
  <si>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</si>
  <si>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</si>
  <si>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</si>
  <si>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</si>
  <si>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</si>
  <si>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</si>
  <si>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</si>
  <si>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</si>
  <si>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</si>
  <si>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</si>
  <si>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</si>
  <si>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</si>
  <si>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</si>
  <si>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</si>
  <si>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</si>
  <si>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</si>
  <si>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</si>
  <si>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</si>
  <si>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</si>
  <si>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</si>
  <si>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</si>
  <si>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</si>
  <si>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</si>
  <si>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</si>
  <si>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</si>
  <si>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</si>
  <si>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</si>
  <si>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</si>
  <si>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</si>
  <si>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</si>
  <si>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</si>
  <si>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</si>
  <si>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</si>
  <si>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</si>
  <si>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</si>
  <si>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</si>
  <si>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</si>
  <si>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</si>
  <si>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</si>
  <si>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</si>
  <si>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</si>
  <si>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</si>
  <si>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</si>
  <si>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</si>
  <si>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</si>
  <si>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</si>
  <si>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</si>
  <si>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</si>
  <si>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</si>
  <si>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</si>
  <si>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</si>
  <si>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</si>
  <si>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</si>
  <si>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</si>
  <si>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</si>
  <si>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</si>
  <si>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</si>
  <si>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</si>
  <si>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</si>
  <si>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</si>
  <si>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</si>
  <si>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</si>
  <si>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</si>
  <si>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</si>
  <si>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</si>
  <si>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</si>
  <si>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</si>
  <si>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</si>
  <si>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</si>
  <si>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</si>
  <si>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</si>
  <si>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</si>
  <si>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</si>
  <si>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</si>
  <si>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</si>
  <si>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</si>
  <si>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</si>
  <si>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</si>
  <si>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</si>
  <si>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</si>
  <si>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</si>
  <si>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</si>
  <si>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</si>
  <si>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</si>
  <si>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</si>
  <si>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</si>
  <si>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</si>
  <si>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</si>
  <si>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</si>
  <si>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</si>
  <si>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</si>
  <si>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</si>
  <si>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</si>
  <si>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</si>
  <si>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</si>
  <si>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</si>
  <si>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</si>
  <si>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</si>
  <si>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</si>
  <si>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</si>
  <si>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</si>
  <si>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</si>
  <si>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</si>
  <si>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</si>
  <si>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</si>
  <si>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</si>
  <si>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</si>
  <si>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</si>
  <si>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</si>
  <si>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</si>
  <si>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</si>
  <si>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</si>
  <si>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</si>
  <si>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</si>
  <si>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</si>
  <si>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</si>
  <si>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</si>
  <si>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</si>
  <si>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</si>
  <si>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</si>
  <si>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</si>
  <si>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</si>
  <si>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</si>
  <si>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</si>
  <si>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</si>
  <si>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</si>
  <si>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</si>
  <si>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</si>
  <si>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</si>
  <si>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</si>
  <si>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</si>
  <si>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</si>
  <si>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</si>
  <si>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</si>
  <si>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</si>
  <si>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</si>
  <si>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</si>
  <si>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</si>
  <si>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</si>
  <si>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</si>
  <si>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</si>
  <si>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</si>
  <si>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</si>
  <si>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</si>
  <si>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</si>
  <si>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</si>
  <si>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</si>
  <si>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</si>
  <si>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</si>
  <si>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</si>
  <si>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</si>
  <si>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</si>
  <si>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</si>
  <si>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</si>
  <si>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</si>
  <si>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</si>
  <si>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</si>
  <si>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</si>
  <si>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</si>
  <si>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</si>
  <si>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</si>
  <si>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</si>
  <si>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</si>
  <si>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</si>
  <si>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</si>
  <si>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</si>
  <si>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</si>
  <si>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</si>
  <si>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</si>
  <si>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</si>
  <si>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</si>
  <si>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</si>
  <si>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</si>
  <si>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</si>
  <si>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</si>
  <si>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</si>
  <si>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</si>
  <si>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</si>
  <si>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</si>
  <si>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</si>
  <si>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</si>
  <si>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</si>
  <si>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</si>
  <si>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</si>
  <si>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</si>
  <si>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</si>
  <si>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</si>
  <si>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</si>
  <si>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</si>
  <si>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</si>
  <si>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</si>
  <si>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</si>
  <si>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</si>
  <si>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</si>
  <si>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</si>
  <si>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</si>
  <si>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</si>
  <si>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</si>
  <si>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</si>
  <si>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</si>
  <si>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</si>
  <si>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</si>
  <si>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</si>
  <si>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</si>
  <si>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</si>
  <si>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</si>
  <si>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</si>
  <si>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</si>
  <si>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</si>
  <si>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</si>
  <si>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</si>
  <si>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</si>
  <si>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</si>
  <si>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</si>
  <si>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</si>
  <si>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</si>
  <si>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</si>
  <si>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</si>
  <si>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</si>
  <si>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</si>
  <si>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</si>
  <si>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</si>
  <si>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</si>
  <si>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</si>
  <si>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</si>
  <si>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</si>
  <si>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</si>
  <si>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</si>
  <si>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</si>
  <si>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</si>
  <si>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</si>
  <si>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</si>
  <si>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</si>
  <si>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</si>
  <si>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</si>
  <si>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</si>
  <si>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</si>
  <si>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</si>
  <si>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</si>
  <si>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</si>
  <si>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</si>
  <si>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</si>
  <si>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</si>
  <si>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</si>
  <si>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</si>
  <si>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</si>
  <si>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</si>
  <si>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</si>
  <si>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</si>
  <si>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</si>
  <si>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</si>
  <si>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</si>
  <si>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</si>
  <si>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</si>
  <si>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</si>
  <si>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</si>
  <si>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</si>
  <si>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</si>
  <si>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</si>
  <si>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</si>
  <si>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</si>
  <si>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</si>
  <si>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</si>
  <si>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</si>
  <si>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</si>
  <si>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</si>
  <si>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</si>
  <si>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</si>
  <si>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</si>
  <si>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</si>
  <si>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</si>
  <si>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</si>
  <si>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</si>
  <si>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</si>
  <si>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</si>
  <si>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</si>
  <si>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</si>
  <si>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</si>
  <si>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</si>
  <si>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</si>
  <si>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</si>
  <si>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</si>
  <si>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</si>
  <si>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</si>
  <si>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</si>
  <si>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</si>
  <si>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</si>
  <si>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</si>
  <si>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</si>
  <si>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</si>
  <si>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</si>
  <si>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</si>
  <si>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</si>
  <si>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</si>
  <si>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</si>
  <si>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</si>
  <si>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</si>
  <si>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</si>
  <si>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</si>
  <si>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</si>
  <si>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</si>
  <si>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</si>
  <si>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</si>
  <si>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</si>
  <si>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</si>
  <si>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</si>
  <si>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</si>
  <si>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</si>
  <si>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</si>
  <si>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</si>
  <si>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</si>
  <si>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</si>
  <si>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</si>
  <si>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</si>
  <si>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</si>
  <si>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</si>
  <si>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</si>
  <si>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</si>
  <si>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</si>
  <si>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</si>
  <si>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</si>
  <si>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</si>
  <si>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</si>
  <si>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</si>
  <si>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</si>
  <si>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</si>
  <si>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</si>
  <si>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</si>
  <si>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</si>
  <si>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</si>
  <si>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</si>
  <si>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</si>
  <si>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</si>
  <si>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</si>
  <si>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</si>
  <si>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</si>
  <si>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</si>
  <si>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</si>
  <si>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</si>
  <si>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</si>
  <si>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</si>
  <si>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</si>
  <si>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</si>
  <si>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</si>
  <si>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</si>
  <si>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</si>
  <si>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</si>
  <si>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</si>
  <si>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</si>
  <si>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</si>
  <si>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</si>
  <si>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</si>
  <si>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</si>
  <si>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</si>
  <si>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</si>
  <si>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</si>
  <si>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</si>
  <si>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</si>
  <si>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</si>
  <si>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</si>
  <si>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</si>
  <si>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</si>
  <si>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</si>
  <si>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</si>
  <si>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</si>
  <si>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</si>
  <si>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</si>
  <si>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</si>
  <si>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</si>
  <si>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</si>
  <si>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</si>
  <si>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</si>
  <si>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</si>
  <si>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</si>
  <si>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</si>
  <si>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</si>
  <si>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</si>
  <si>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</si>
  <si>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</si>
  <si>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</si>
  <si>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</si>
  <si>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</si>
  <si>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</si>
  <si>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</si>
  <si>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</si>
  <si>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</si>
  <si>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</si>
  <si>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</si>
  <si>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</si>
  <si>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</si>
  <si>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</si>
  <si>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</si>
  <si>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</si>
  <si>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</si>
  <si>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</si>
  <si>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</si>
  <si>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</si>
  <si>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</si>
  <si>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</si>
  <si>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</si>
  <si>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</si>
  <si>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</si>
  <si>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</si>
  <si>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</si>
  <si>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</si>
  <si>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</si>
  <si>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</si>
  <si>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</si>
  <si>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</si>
  <si>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</si>
  <si>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</si>
  <si>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</si>
  <si>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</si>
  <si>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</si>
  <si>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</si>
  <si>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</si>
  <si>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</si>
  <si>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</si>
  <si>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</si>
  <si>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</si>
  <si>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</si>
  <si>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</si>
  <si>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</si>
  <si>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</si>
  <si>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</si>
  <si>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</si>
  <si>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</si>
  <si>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</si>
  <si>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</si>
  <si>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</si>
  <si>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</si>
  <si>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</si>
  <si>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</si>
  <si>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</si>
  <si>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</si>
  <si>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</si>
  <si>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</si>
  <si>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</si>
  <si>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</si>
  <si>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</si>
  <si>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</si>
  <si>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</si>
  <si>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</si>
  <si>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</si>
  <si>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</si>
  <si>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</si>
  <si>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</si>
  <si>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</si>
  <si>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</si>
  <si>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</si>
  <si>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</si>
  <si>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</si>
  <si>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</si>
  <si>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</si>
  <si>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</si>
  <si>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</si>
  <si>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</si>
  <si>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</si>
  <si>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</si>
  <si>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</si>
  <si>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</si>
  <si>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</si>
  <si>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</si>
  <si>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</si>
  <si>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</si>
  <si>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</si>
  <si>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</si>
  <si>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</si>
  <si>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</si>
  <si>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</si>
  <si>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</si>
  <si>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</si>
  <si>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</si>
  <si>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</si>
  <si>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</si>
  <si>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</si>
  <si>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</si>
  <si>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</si>
  <si>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</si>
  <si>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</si>
  <si>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</si>
  <si>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</si>
  <si>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</si>
  <si>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</si>
  <si>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</si>
  <si>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</si>
  <si>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</si>
  <si>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</si>
  <si>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</si>
  <si>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</si>
  <si>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</si>
  <si>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</si>
  <si>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</si>
  <si>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</si>
  <si>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</si>
  <si>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</si>
  <si>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</si>
  <si>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</si>
  <si>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</si>
  <si>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</si>
  <si>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</si>
  <si>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</si>
  <si>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</si>
  <si>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</si>
  <si>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</si>
  <si>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</si>
  <si>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</si>
  <si>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</si>
  <si>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</si>
  <si>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</si>
  <si>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</si>
  <si>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</si>
  <si>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</si>
  <si>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</si>
  <si>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</si>
  <si>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</si>
  <si>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</si>
  <si>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</si>
  <si>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</si>
  <si>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</si>
  <si>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</si>
  <si>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</si>
  <si>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</si>
  <si>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</si>
  <si>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</si>
  <si>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</si>
  <si>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</si>
  <si>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</si>
  <si>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</si>
  <si>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</si>
  <si>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</si>
  <si>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</si>
  <si>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</si>
  <si>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</si>
  <si>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</si>
  <si>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</si>
  <si>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</si>
  <si>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</si>
  <si>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</si>
  <si>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</si>
  <si>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</si>
  <si>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</si>
  <si>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</si>
  <si>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</si>
  <si>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</si>
  <si>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</si>
  <si>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</si>
  <si>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</si>
  <si>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</si>
  <si>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</si>
  <si>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</si>
  <si>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</si>
  <si>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</si>
  <si>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</si>
  <si>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</si>
  <si>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</si>
  <si>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</si>
  <si>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</si>
  <si>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</si>
  <si>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</si>
  <si>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</si>
  <si>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</si>
  <si>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</si>
  <si>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</si>
  <si>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</si>
  <si>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</si>
  <si>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</si>
  <si>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</si>
  <si>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</si>
  <si>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</si>
  <si>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</si>
  <si>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</si>
  <si>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</si>
  <si>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</si>
  <si>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</si>
  <si>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</si>
  <si>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</si>
  <si>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</si>
  <si>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</si>
  <si>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</si>
  <si>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</si>
  <si>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</si>
  <si>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</si>
  <si>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</si>
  <si>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</si>
  <si>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</si>
  <si>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</si>
  <si>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</si>
  <si>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</si>
  <si>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</si>
  <si>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</si>
  <si>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</si>
  <si>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</si>
  <si>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</si>
  <si>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</si>
  <si>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</si>
  <si>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</si>
  <si>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</si>
  <si>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</si>
  <si>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</si>
  <si>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</si>
  <si>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</si>
  <si>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</si>
  <si>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</si>
  <si>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</si>
  <si>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</si>
  <si>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</si>
  <si>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</si>
  <si>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</si>
  <si>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</si>
  <si>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</si>
  <si>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</si>
  <si>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</si>
  <si>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</si>
  <si>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</si>
  <si>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</si>
  <si>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</si>
  <si>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</si>
  <si>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</si>
  <si>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</si>
  <si>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</si>
  <si>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</si>
  <si>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</si>
  <si>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</si>
  <si>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</si>
  <si>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</si>
  <si>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</si>
  <si>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</si>
  <si>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</si>
  <si>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</si>
  <si>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</si>
  <si>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</si>
  <si>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</si>
  <si>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</si>
  <si>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</si>
  <si>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</si>
  <si>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</si>
  <si>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</si>
  <si>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</si>
  <si>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</si>
  <si>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</si>
  <si>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</si>
  <si>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</si>
  <si>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</si>
  <si>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</si>
  <si>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</si>
  <si>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</si>
  <si>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</si>
  <si>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</si>
  <si>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</si>
  <si>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</si>
  <si>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</si>
  <si>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</si>
  <si>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</si>
  <si>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</si>
  <si>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</si>
  <si>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</si>
  <si>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</si>
  <si>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</si>
  <si>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</si>
  <si>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</si>
  <si>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</si>
  <si>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</si>
  <si>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</si>
  <si>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</si>
  <si>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</si>
  <si>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</si>
  <si>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</si>
  <si>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</si>
  <si>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</si>
  <si>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</si>
  <si>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</si>
  <si>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</si>
  <si>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</si>
  <si>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</si>
  <si>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</si>
  <si>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</si>
  <si>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</si>
  <si>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</si>
  <si>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</si>
  <si>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</si>
  <si>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</si>
  <si>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</si>
  <si>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</si>
  <si>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</si>
  <si>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</si>
  <si>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</si>
  <si>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</si>
  <si>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</si>
  <si>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</si>
  <si>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</si>
  <si>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</si>
  <si>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</si>
  <si>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</si>
  <si>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</si>
  <si>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</si>
  <si>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</si>
  <si>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</si>
  <si>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</si>
  <si>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</si>
  <si>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</si>
  <si>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</si>
  <si>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</si>
  <si>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</si>
  <si>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</si>
  <si>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</si>
  <si>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</si>
  <si>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</si>
  <si>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</si>
  <si>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</si>
  <si>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</si>
  <si>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</si>
  <si>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</si>
  <si>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</si>
  <si>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</si>
  <si>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</si>
  <si>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</si>
  <si>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</si>
  <si>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</si>
  <si>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</si>
  <si>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</si>
  <si>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</si>
  <si>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</si>
  <si>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</si>
  <si>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</si>
  <si>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</si>
  <si>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</si>
  <si>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</si>
  <si>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</si>
  <si>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</si>
  <si>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</si>
  <si>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</si>
  <si>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</si>
  <si>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</si>
  <si>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</si>
  <si>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</si>
  <si>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</si>
  <si>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</si>
  <si>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</si>
  <si>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</si>
  <si>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</si>
  <si>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</si>
  <si>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</si>
  <si>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</si>
  <si>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</si>
  <si>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</si>
  <si>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</si>
  <si>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</si>
  <si>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</si>
  <si>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</si>
  <si>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</si>
  <si>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</si>
  <si>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</si>
  <si>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</si>
  <si>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</si>
  <si>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</si>
  <si>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</si>
  <si>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</si>
  <si>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</si>
  <si>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</si>
  <si>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</si>
  <si>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</si>
  <si>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</si>
  <si>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</si>
  <si>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</si>
  <si>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</si>
  <si>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</si>
  <si>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</si>
  <si>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</si>
  <si>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</si>
  <si>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</si>
  <si>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</si>
  <si>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</si>
  <si>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</si>
  <si>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</si>
  <si>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</si>
  <si>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</si>
  <si>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</si>
  <si>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</si>
  <si>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</si>
  <si>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</si>
  <si>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</si>
  <si>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</si>
  <si>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</si>
  <si>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</si>
  <si>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</si>
  <si>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</si>
  <si>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</si>
  <si>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</si>
  <si>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</si>
  <si>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</si>
  <si>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</si>
  <si>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</si>
  <si>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</si>
  <si>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</si>
  <si>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</si>
  <si>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</si>
  <si>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</si>
  <si>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</si>
  <si>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</si>
  <si>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</si>
  <si>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</si>
  <si>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</si>
  <si>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</si>
  <si>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</si>
  <si>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</si>
  <si>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</si>
  <si>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</si>
  <si>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</si>
  <si>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</si>
  <si>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</si>
  <si>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</si>
  <si>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</si>
  <si>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</si>
  <si>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</si>
  <si>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</si>
  <si>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</si>
  <si>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</si>
  <si>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</si>
  <si>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</si>
  <si>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</si>
  <si>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</si>
  <si>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</si>
  <si>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</si>
  <si>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</si>
  <si>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</si>
  <si>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</si>
  <si>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</si>
  <si>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</si>
  <si>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</si>
  <si>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</si>
  <si>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</si>
  <si>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</si>
  <si>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</si>
  <si>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</si>
  <si>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</si>
  <si>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</si>
  <si>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</si>
  <si>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</si>
  <si>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</si>
  <si>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</si>
  <si>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</si>
  <si>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</si>
  <si>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</si>
  <si>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</si>
  <si>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</si>
  <si>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</si>
  <si>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</si>
  <si>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</si>
  <si>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</si>
  <si>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</si>
  <si>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</si>
  <si>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</si>
  <si>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</si>
  <si>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</si>
  <si>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</si>
  <si>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</si>
  <si>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</si>
  <si>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</si>
  <si>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</si>
  <si>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</si>
  <si>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</si>
  <si>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</si>
  <si>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</si>
  <si>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</si>
  <si>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</si>
  <si>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</si>
  <si>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</si>
  <si>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</si>
  <si>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</si>
  <si>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</si>
  <si>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</si>
  <si>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</si>
  <si>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</si>
  <si>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</si>
  <si>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</si>
  <si>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</si>
  <si>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</si>
  <si>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</si>
  <si>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</si>
  <si>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</si>
  <si>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</si>
  <si>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</si>
  <si>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</si>
  <si>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</si>
  <si>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</si>
  <si>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</si>
  <si>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</si>
  <si>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</si>
  <si>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</si>
  <si>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</si>
  <si>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</si>
  <si>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</si>
  <si>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</si>
  <si>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</si>
  <si>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</si>
  <si>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</si>
  <si>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</si>
  <si>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</si>
  <si>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</si>
  <si>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</si>
  <si>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</si>
  <si>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</si>
  <si>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</si>
  <si>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</si>
  <si>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</si>
  <si>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</si>
  <si>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</si>
  <si>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</si>
  <si>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</si>
  <si>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</si>
  <si>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</si>
  <si>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</si>
  <si>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</si>
  <si>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</si>
  <si>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</si>
  <si>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</si>
  <si>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</si>
  <si>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</si>
  <si>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</si>
  <si>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</si>
  <si>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</si>
  <si>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</si>
  <si>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</si>
  <si>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</si>
  <si>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</si>
  <si>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</si>
  <si>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</si>
  <si>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</si>
  <si>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</si>
  <si>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</si>
  <si>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</si>
  <si>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</si>
  <si>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</si>
  <si>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</si>
  <si>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</si>
  <si>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</si>
  <si>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</si>
  <si>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</si>
  <si>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</si>
  <si>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</si>
  <si>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</si>
  <si>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</si>
  <si>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</si>
  <si>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</si>
  <si>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</si>
  <si>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</si>
  <si>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</si>
  <si>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</si>
  <si>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</si>
  <si>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</si>
  <si>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</si>
  <si>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</si>
  <si>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</si>
  <si>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</si>
  <si>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</si>
  <si>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</si>
  <si>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</si>
  <si>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</si>
  <si>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</si>
  <si>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</si>
  <si>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</si>
  <si>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</si>
  <si>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</si>
  <si>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</si>
  <si>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</si>
  <si>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</si>
  <si>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</si>
  <si>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</si>
  <si>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</si>
  <si>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</si>
  <si>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</si>
  <si>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</si>
  <si>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</si>
  <si>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</si>
  <si>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</si>
  <si>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</si>
  <si>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</si>
  <si>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</si>
  <si>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</si>
  <si>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</si>
  <si>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</si>
  <si>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</si>
  <si>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</si>
  <si>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</si>
  <si>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</si>
  <si>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</si>
  <si>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</si>
  <si>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</si>
  <si>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</si>
  <si>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</si>
  <si>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</si>
  <si>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</si>
  <si>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</si>
  <si>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</si>
  <si>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</si>
  <si>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</si>
  <si>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</si>
  <si>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</si>
  <si>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</si>
  <si>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</si>
  <si>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</si>
  <si>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</si>
  <si>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</si>
  <si>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</si>
  <si>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</si>
  <si>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</si>
  <si>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</si>
  <si>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</si>
  <si>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</si>
  <si>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</si>
  <si>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</si>
  <si>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</si>
  <si>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</si>
  <si>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</si>
  <si>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</si>
  <si>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</si>
  <si>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</si>
  <si>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</si>
  <si>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</si>
  <si>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</si>
  <si>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</si>
  <si>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</si>
  <si>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</si>
  <si>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</si>
  <si>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</si>
  <si>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</si>
  <si>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</si>
  <si>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</si>
  <si>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</si>
  <si>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</si>
  <si>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</si>
  <si>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</si>
  <si>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</si>
  <si>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</si>
  <si>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</si>
  <si>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</si>
  <si>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</si>
  <si>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</si>
  <si>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</si>
  <si>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</si>
  <si>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</si>
  <si>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</si>
  <si>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</si>
  <si>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</si>
  <si>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</si>
  <si>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</si>
  <si>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</si>
  <si>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</si>
  <si>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</si>
  <si>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</si>
  <si>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</si>
  <si>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</si>
  <si>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</si>
  <si>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</si>
  <si>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</si>
  <si>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</si>
  <si>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</si>
  <si>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</si>
  <si>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</si>
  <si>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</si>
  <si>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</si>
  <si>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</si>
  <si>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</si>
  <si>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</si>
  <si>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</si>
  <si>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</si>
  <si>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</si>
  <si>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</si>
  <si>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</si>
  <si>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</si>
  <si>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</si>
  <si>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</si>
  <si>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</si>
  <si>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</si>
  <si>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</si>
  <si>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</si>
  <si>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</si>
  <si>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</si>
  <si>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</si>
  <si>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</si>
  <si>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</si>
  <si>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</si>
  <si>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</si>
  <si>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</si>
  <si>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</si>
  <si>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</si>
  <si>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</si>
  <si>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</si>
  <si>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</si>
  <si>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</si>
  <si>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</si>
  <si>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</si>
  <si>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</si>
  <si>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</si>
  <si>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</si>
  <si>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</si>
  <si>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</si>
  <si>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</si>
  <si>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</si>
  <si>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</si>
  <si>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</si>
  <si>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</si>
  <si>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</si>
  <si>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</si>
  <si>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</si>
  <si>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</si>
  <si>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</si>
  <si>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</si>
  <si>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</si>
  <si>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</si>
  <si>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</si>
  <si>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</si>
  <si>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</si>
  <si>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</si>
  <si>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</si>
  <si>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</si>
  <si>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</si>
  <si>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</si>
  <si>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</si>
  <si>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</si>
  <si>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</si>
  <si>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</si>
  <si>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</si>
  <si>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</si>
  <si>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</si>
  <si>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</si>
  <si>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</si>
  <si>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</si>
  <si>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</si>
  <si>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</si>
  <si>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</si>
  <si>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</si>
  <si>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</si>
  <si>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</si>
  <si>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</si>
  <si>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</si>
  <si>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</si>
  <si>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</si>
  <si>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</si>
  <si>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</si>
  <si>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</si>
  <si>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</si>
  <si>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</si>
  <si>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</si>
  <si>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</si>
  <si>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</si>
  <si>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</si>
  <si>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</si>
  <si>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</si>
  <si>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</si>
  <si>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</si>
  <si>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</si>
  <si>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</si>
  <si>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</si>
  <si>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</si>
  <si>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</si>
  <si>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</si>
  <si>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</si>
  <si>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</si>
  <si>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</si>
  <si>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</si>
  <si>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</si>
  <si>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</si>
  <si>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</si>
  <si>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</si>
  <si>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</si>
  <si>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</si>
  <si>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</si>
  <si>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</si>
  <si>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</si>
  <si>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</si>
  <si>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</si>
  <si>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</si>
  <si>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</si>
  <si>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</si>
  <si>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</si>
  <si>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</si>
  <si>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</si>
  <si>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</si>
  <si>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</si>
  <si>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</si>
  <si>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</si>
  <si>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</si>
  <si>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</si>
  <si>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</si>
  <si>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</si>
  <si>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</si>
  <si>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</si>
  <si>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</si>
  <si>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</si>
  <si>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</si>
  <si>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</si>
  <si>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</si>
  <si>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</si>
  <si>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</si>
  <si>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</si>
  <si>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</si>
  <si>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</si>
  <si>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</si>
  <si>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</si>
  <si>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</si>
  <si>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</si>
  <si>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</si>
  <si>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</si>
  <si>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</si>
  <si>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</si>
  <si>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</si>
  <si>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</si>
  <si>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</si>
  <si>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</si>
  <si>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</si>
  <si>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</si>
  <si>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</si>
  <si>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</si>
  <si>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</si>
  <si>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</si>
  <si>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</si>
  <si>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</si>
  <si>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</si>
  <si>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</si>
  <si>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</si>
  <si>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</si>
  <si>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</si>
  <si>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</si>
  <si>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</si>
  <si>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</si>
  <si>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</si>
  <si>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</si>
  <si>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</si>
  <si>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</si>
  <si>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</si>
  <si>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</si>
  <si>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</si>
  <si>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</si>
  <si>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</si>
  <si>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</si>
  <si>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</si>
  <si>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</si>
  <si>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</si>
  <si>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</si>
  <si>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</si>
  <si>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</si>
  <si>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</si>
  <si>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</si>
  <si>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</si>
  <si>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</si>
  <si>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</si>
  <si>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</si>
  <si>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</si>
  <si>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</si>
  <si>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</si>
  <si>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</si>
  <si>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</si>
  <si>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</si>
  <si>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</si>
  <si>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</si>
  <si>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</si>
  <si>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</si>
  <si>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</si>
  <si>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</si>
  <si>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</si>
  <si>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</si>
  <si>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</si>
  <si>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</si>
  <si>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</si>
  <si>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</si>
  <si>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</si>
  <si>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</si>
  <si>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</si>
  <si>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</si>
  <si>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</si>
  <si>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</si>
  <si>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</si>
  <si>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</si>
  <si>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</si>
  <si>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</si>
  <si>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</si>
  <si>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</si>
  <si>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</si>
  <si>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</si>
  <si>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</si>
  <si>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</si>
  <si>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</si>
  <si>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</si>
  <si>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</si>
  <si>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</si>
  <si>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</si>
  <si>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</si>
  <si>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</si>
  <si>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</si>
  <si>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</si>
  <si>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</si>
  <si>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</si>
  <si>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</si>
  <si>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</si>
  <si>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</si>
  <si>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</si>
  <si>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</si>
  <si>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</si>
  <si>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</si>
  <si>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</si>
  <si>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</si>
  <si>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</si>
  <si>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</si>
  <si>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</si>
  <si>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</si>
  <si>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</si>
  <si>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</si>
  <si>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</si>
  <si>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</si>
  <si>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</si>
  <si>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</si>
  <si>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</si>
  <si>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</si>
  <si>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</si>
  <si>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</si>
  <si>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</si>
  <si>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</si>
  <si>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</si>
  <si>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</si>
  <si>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</si>
  <si>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</si>
  <si>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</si>
  <si>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</si>
  <si>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</si>
  <si>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</si>
  <si>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</si>
  <si>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</si>
  <si>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</si>
  <si>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</si>
  <si>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</si>
  <si>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</si>
  <si>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</si>
  <si>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</si>
  <si>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</si>
  <si>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</si>
  <si>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</si>
  <si>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</si>
  <si>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</si>
  <si>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</si>
  <si>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</si>
  <si>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</si>
  <si>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</si>
  <si>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</si>
  <si>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</si>
  <si>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</si>
  <si>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</si>
  <si>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</si>
  <si>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</si>
  <si>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</si>
  <si>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</si>
  <si>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</si>
  <si>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</si>
  <si>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</si>
  <si>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</si>
  <si>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</si>
  <si>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</si>
  <si>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</si>
  <si>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</si>
  <si>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</si>
  <si>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</si>
  <si>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</si>
  <si>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</si>
  <si>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</si>
  <si>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</si>
  <si>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</si>
  <si>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</si>
  <si>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</si>
  <si>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</si>
  <si>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</si>
  <si>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</si>
  <si>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</si>
  <si>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</si>
  <si>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</si>
  <si>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</si>
  <si>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</si>
  <si>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</si>
  <si>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</si>
  <si>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</si>
  <si>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</si>
  <si>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</si>
  <si>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</si>
  <si>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</si>
  <si>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</si>
  <si>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</si>
  <si>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</si>
  <si>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</si>
  <si>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</si>
  <si>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</si>
  <si>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</si>
  <si>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</si>
  <si>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</si>
  <si>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</si>
  <si>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</si>
  <si>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</si>
  <si>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</si>
  <si>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</si>
  <si>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</si>
  <si>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</si>
  <si>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</si>
  <si>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</si>
  <si>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</si>
  <si>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</si>
  <si>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</si>
  <si>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</si>
  <si>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</si>
  <si>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</si>
  <si>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</si>
  <si>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</si>
  <si>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</si>
  <si>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</si>
  <si>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</si>
  <si>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</si>
  <si>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</si>
  <si>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</si>
  <si>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</si>
  <si>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</si>
  <si>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</si>
  <si>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</si>
  <si>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</si>
  <si>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</si>
  <si>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</si>
  <si>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</si>
  <si>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</si>
  <si>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</si>
  <si>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</si>
  <si>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</si>
  <si>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</si>
  <si>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</si>
  <si>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</si>
  <si>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</si>
  <si>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</si>
  <si>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</si>
  <si>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</si>
  <si>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</si>
  <si>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</si>
  <si>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</si>
  <si>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</si>
  <si>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</si>
  <si>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</si>
  <si>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</si>
  <si>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</si>
  <si>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</si>
  <si>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</si>
  <si>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</si>
  <si>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</si>
  <si>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</si>
  <si>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</si>
  <si>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</si>
  <si>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</si>
  <si>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</si>
  <si>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</si>
  <si>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</si>
  <si>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</si>
  <si>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</si>
  <si>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</si>
  <si>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</si>
  <si>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</si>
  <si>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</si>
  <si>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</si>
  <si>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</si>
  <si>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</si>
  <si>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</si>
  <si>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</si>
  <si>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</si>
  <si>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</si>
  <si>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</si>
  <si>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</si>
  <si>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</si>
  <si>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</si>
  <si>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</si>
  <si>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</si>
  <si>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</si>
  <si>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</si>
  <si>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</si>
  <si>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</si>
  <si>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</si>
  <si>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</si>
  <si>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</si>
  <si>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</si>
  <si>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</si>
  <si>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</si>
  <si>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</si>
  <si>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</si>
  <si>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</si>
  <si>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</si>
  <si>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</si>
  <si>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</si>
  <si>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</si>
  <si>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</si>
  <si>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</si>
  <si>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</si>
  <si>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</si>
  <si>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</si>
  <si>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</si>
  <si>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</si>
  <si>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</si>
  <si>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</si>
  <si>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</si>
  <si>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</si>
  <si>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</si>
  <si>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</si>
  <si>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</si>
  <si>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</si>
  <si>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</si>
  <si>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</si>
  <si>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</si>
  <si>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</si>
  <si>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</si>
  <si>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</si>
  <si>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</si>
  <si>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</si>
  <si>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</si>
  <si>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</si>
  <si>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</si>
  <si>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</si>
  <si>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</si>
  <si>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</si>
  <si>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</si>
  <si>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</si>
  <si>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</si>
  <si>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</si>
  <si>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</si>
  <si>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</si>
  <si>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</si>
  <si>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</si>
  <si>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</si>
  <si>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</si>
  <si>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</si>
  <si>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</si>
  <si>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</si>
  <si>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</si>
  <si>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</si>
  <si>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</si>
  <si>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</si>
  <si>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</si>
  <si>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</si>
  <si>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</si>
  <si>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</si>
  <si>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</si>
  <si>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</si>
  <si>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</si>
  <si>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</si>
  <si>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</si>
  <si>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</si>
  <si>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</si>
  <si>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</si>
  <si>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</si>
  <si>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</si>
  <si>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</si>
  <si>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</si>
  <si>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</si>
  <si>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</si>
  <si>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</si>
  <si>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</si>
  <si>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</si>
  <si>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</si>
  <si>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</si>
  <si>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</si>
  <si>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</si>
  <si>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</si>
  <si>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</si>
  <si>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</si>
  <si>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</si>
  <si>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</si>
  <si>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</si>
  <si>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</si>
  <si>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</si>
  <si>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</si>
  <si>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</si>
  <si>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</si>
  <si>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</si>
  <si>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</si>
  <si>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</si>
  <si>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</si>
  <si>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</si>
  <si>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</si>
  <si>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</si>
  <si>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</si>
  <si>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</si>
  <si>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</si>
  <si>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</si>
  <si>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</si>
  <si>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</si>
  <si>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</si>
  <si>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</si>
  <si>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</si>
  <si>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</si>
  <si>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</si>
  <si>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</si>
  <si>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</si>
  <si>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</si>
  <si>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</si>
  <si>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</si>
  <si>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</si>
  <si>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</si>
  <si>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</si>
  <si>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</si>
  <si>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</si>
  <si>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</si>
  <si>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</si>
  <si>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</si>
  <si>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</si>
  <si>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</si>
  <si>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</si>
  <si>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</si>
  <si>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</si>
  <si>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</si>
  <si>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</si>
  <si>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</si>
  <si>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</si>
  <si>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</si>
  <si>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</si>
  <si>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</si>
  <si>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</si>
  <si>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</si>
  <si>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</si>
  <si>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</si>
  <si>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</si>
  <si>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</si>
  <si>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</si>
  <si>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</si>
  <si>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</si>
  <si>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</si>
  <si>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</si>
  <si>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</si>
  <si>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</si>
  <si>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</si>
  <si>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</si>
  <si>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</si>
  <si>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</si>
  <si>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</si>
  <si>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</si>
  <si>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</si>
  <si>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</si>
  <si>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</si>
  <si>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</si>
  <si>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</si>
  <si>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</si>
  <si>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</si>
  <si>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</si>
  <si>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</si>
  <si>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</si>
  <si>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</si>
  <si>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</si>
  <si>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</si>
  <si>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</si>
  <si>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</si>
  <si>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</si>
  <si>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</si>
  <si>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</si>
  <si>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</si>
  <si>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</si>
  <si>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</si>
  <si>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</si>
  <si>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</si>
  <si>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</si>
  <si>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</si>
  <si>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</si>
  <si>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</si>
  <si>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</si>
  <si>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</si>
  <si>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</si>
  <si>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</si>
  <si>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</si>
  <si>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</si>
  <si>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</si>
  <si>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</si>
  <si>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</si>
  <si>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</si>
  <si>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</si>
  <si>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</si>
  <si>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</si>
  <si>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</si>
  <si>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</si>
  <si>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</si>
  <si>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</si>
  <si>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</si>
  <si>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</si>
  <si>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</si>
  <si>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</si>
  <si>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</si>
  <si>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</si>
  <si>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</si>
  <si>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</si>
  <si>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</si>
  <si>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</si>
  <si>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</si>
  <si>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</si>
  <si>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</si>
  <si>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</si>
  <si>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</si>
  <si>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</si>
  <si>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</si>
  <si>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</si>
  <si>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</si>
  <si>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</si>
  <si>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</si>
  <si>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</si>
  <si>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</si>
  <si>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</si>
  <si>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</si>
  <si>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</si>
  <si>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</si>
  <si>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</si>
  <si>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</si>
  <si>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</si>
  <si>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</si>
  <si>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</si>
  <si>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</si>
  <si>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</si>
  <si>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</si>
  <si>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</si>
  <si>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</si>
  <si>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</si>
  <si>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</si>
  <si>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</si>
  <si>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</si>
  <si>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</si>
  <si>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</si>
  <si>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</si>
  <si>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</si>
  <si>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</si>
  <si>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</si>
  <si>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</si>
  <si>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</si>
  <si>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</si>
  <si>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</si>
  <si>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</si>
  <si>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</si>
  <si>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</si>
  <si>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</si>
  <si>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</si>
  <si>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</si>
  <si>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</si>
  <si>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</si>
  <si>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</si>
  <si>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</si>
  <si>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</si>
  <si>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</si>
  <si>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</si>
  <si>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</si>
  <si>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</si>
  <si>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</si>
  <si>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</si>
  <si>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</si>
  <si>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</si>
  <si>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</si>
  <si>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</si>
  <si>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</si>
  <si>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</si>
  <si>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</si>
  <si>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</si>
  <si>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</si>
  <si>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</si>
  <si>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</si>
  <si>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</si>
  <si>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</si>
  <si>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</si>
  <si>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</si>
  <si>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</si>
  <si>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</si>
  <si>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</si>
  <si>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</si>
  <si>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</si>
  <si>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</si>
  <si>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</si>
  <si>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</si>
  <si>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</si>
  <si>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</si>
  <si>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</si>
  <si>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</si>
  <si>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</si>
  <si>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</si>
  <si>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</si>
  <si>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</si>
  <si>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</si>
  <si>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</si>
  <si>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</si>
  <si>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</si>
  <si>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</si>
  <si>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</si>
  <si>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</si>
  <si>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</si>
  <si>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</si>
  <si>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</si>
  <si>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</si>
  <si>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</si>
  <si>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</si>
  <si>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</si>
  <si>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</si>
  <si>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</si>
  <si>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</si>
  <si>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</si>
  <si>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</si>
  <si>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</si>
  <si>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</si>
  <si>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</si>
  <si>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</si>
  <si>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</si>
  <si>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</si>
  <si>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</si>
  <si>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</si>
  <si>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</si>
  <si>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</si>
  <si>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</si>
  <si>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</si>
  <si>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</si>
  <si>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</si>
  <si>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</si>
  <si>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</si>
  <si>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</si>
  <si>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</si>
  <si>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</si>
  <si>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</si>
  <si>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</si>
  <si>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</si>
  <si>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</si>
  <si>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</si>
  <si>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</si>
  <si>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</si>
  <si>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</si>
  <si>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</si>
  <si>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</si>
  <si>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</si>
  <si>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</si>
  <si>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</si>
  <si>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</si>
  <si>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</si>
  <si>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</si>
  <si>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</si>
  <si>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</si>
  <si>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</si>
  <si>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</si>
  <si>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</si>
  <si>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</si>
  <si>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</si>
  <si>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</si>
  <si>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</si>
  <si>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</si>
  <si>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</si>
  <si>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</si>
  <si>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</si>
  <si>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</si>
  <si>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</si>
  <si>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</si>
  <si>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</si>
  <si>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</si>
  <si>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</si>
  <si>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</si>
  <si>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</si>
  <si>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</si>
  <si>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</si>
  <si>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</si>
  <si>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</si>
  <si>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</si>
  <si>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</si>
  <si>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</si>
  <si>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</si>
  <si>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</si>
  <si>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</si>
  <si>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</si>
  <si>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</si>
  <si>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</si>
  <si>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</si>
  <si>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</si>
  <si>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</si>
  <si>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</si>
  <si>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</si>
  <si>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</si>
  <si>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</si>
  <si>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</si>
  <si>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</si>
  <si>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</si>
  <si>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</si>
  <si>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</si>
  <si>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</si>
  <si>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</si>
  <si>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</si>
  <si>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</si>
  <si>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</si>
  <si>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</si>
  <si>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</si>
  <si>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</si>
  <si>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</si>
  <si>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</si>
  <si>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</si>
  <si>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</si>
  <si>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</si>
  <si>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</si>
  <si>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</si>
  <si>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</si>
  <si>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</si>
  <si>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</si>
  <si>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</si>
  <si>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</si>
  <si>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</si>
  <si>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</si>
  <si>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</si>
  <si>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</si>
  <si>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</si>
  <si>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</si>
  <si>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</si>
  <si>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</si>
  <si>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</si>
  <si>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</si>
  <si>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</si>
  <si>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</si>
  <si>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</si>
  <si>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</si>
  <si>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</si>
  <si>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</si>
  <si>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</si>
  <si>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</si>
  <si>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</si>
  <si>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</si>
  <si>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</si>
  <si>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</si>
  <si>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</si>
  <si>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</si>
  <si>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</si>
  <si>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</si>
  <si>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</si>
  <si>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</si>
  <si>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</si>
  <si>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</si>
  <si>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</si>
  <si>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</si>
  <si>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</si>
  <si>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</si>
  <si>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</si>
  <si>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</si>
  <si>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</si>
  <si>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</si>
  <si>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</si>
  <si>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</si>
  <si>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</si>
  <si>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</si>
  <si>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</si>
  <si>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</si>
  <si>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</si>
  <si>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</si>
  <si>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</si>
  <si>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</si>
  <si>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</si>
  <si>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</si>
  <si>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</si>
  <si>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</si>
  <si>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</si>
  <si>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</si>
  <si>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</si>
  <si>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</si>
  <si>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</si>
  <si>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</si>
  <si>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</si>
  <si>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</si>
  <si>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</si>
  <si>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</si>
  <si>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</si>
  <si>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</si>
  <si>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</si>
  <si>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</si>
  <si>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</si>
  <si>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</si>
  <si>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</si>
  <si>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</si>
  <si>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</si>
  <si>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</si>
  <si>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</si>
  <si>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</si>
  <si>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</si>
  <si>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</si>
  <si>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</si>
  <si>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</si>
  <si>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</si>
  <si>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</si>
  <si>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</si>
  <si>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</si>
  <si>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</si>
  <si>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</si>
  <si>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</si>
  <si>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</si>
  <si>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</si>
  <si>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</si>
  <si>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</si>
  <si>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</si>
  <si>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</si>
  <si>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</si>
  <si>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</si>
  <si>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</si>
  <si>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</si>
  <si>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</si>
  <si>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</si>
  <si>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</si>
  <si>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</si>
  <si>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</si>
  <si>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</si>
  <si>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</si>
  <si>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</si>
  <si>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</si>
  <si>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</si>
  <si>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</si>
  <si>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</si>
  <si>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</si>
  <si>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</si>
  <si>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</si>
  <si>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</si>
  <si>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</si>
  <si>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</si>
  <si>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</si>
  <si>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</si>
  <si>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</si>
  <si>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</si>
  <si>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</si>
  <si>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</si>
  <si>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</si>
  <si>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</si>
  <si>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</si>
  <si>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</si>
  <si>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</si>
  <si>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</si>
  <si>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</si>
  <si>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</si>
  <si>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</si>
  <si>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</si>
  <si>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</si>
  <si>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</si>
  <si>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</si>
  <si>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</si>
  <si>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</si>
  <si>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</si>
  <si>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</si>
  <si>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</si>
  <si>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</si>
  <si>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</si>
  <si>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</si>
  <si>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</si>
  <si>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</si>
  <si>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</si>
  <si>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</si>
  <si>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</si>
  <si>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</si>
  <si>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</si>
  <si>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</si>
  <si>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</si>
  <si>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</si>
  <si>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</si>
  <si>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</si>
  <si>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</si>
  <si>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</si>
  <si>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</si>
  <si>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</si>
  <si>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</si>
  <si>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</si>
  <si>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</si>
  <si>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</si>
  <si>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</si>
  <si>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</si>
  <si>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</si>
  <si>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</si>
  <si>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</si>
  <si>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</si>
  <si>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</si>
  <si>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</si>
  <si>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</si>
  <si>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</si>
  <si>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</si>
  <si>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</si>
  <si>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</si>
  <si>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</si>
  <si>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</si>
  <si>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</si>
  <si>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</si>
  <si>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</si>
  <si>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</si>
  <si>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</si>
  <si>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</si>
  <si>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</si>
  <si>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</si>
  <si>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</si>
  <si>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</si>
  <si>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</si>
  <si>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</si>
  <si>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</si>
  <si>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</si>
  <si>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</si>
  <si>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</si>
  <si>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</si>
  <si>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</si>
  <si>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</si>
  <si>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</si>
  <si>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</si>
  <si>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</si>
  <si>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</si>
  <si>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</si>
  <si>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</si>
  <si>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</si>
  <si>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</si>
  <si>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</si>
  <si>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</si>
  <si>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</si>
  <si>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</si>
  <si>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</si>
  <si>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</si>
  <si>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</si>
  <si>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</si>
  <si>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</si>
  <si>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</si>
  <si>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</si>
  <si>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</si>
  <si>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</si>
  <si>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</si>
  <si>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</si>
  <si>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</si>
  <si>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</si>
  <si>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</si>
  <si>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</si>
  <si>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</si>
  <si>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</si>
  <si>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</si>
  <si>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</si>
  <si>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</si>
  <si>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</si>
  <si>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</si>
  <si>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</si>
  <si>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</si>
  <si>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</si>
  <si>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</si>
  <si>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</si>
  <si>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</si>
  <si>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</si>
  <si>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</si>
  <si>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</si>
  <si>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</si>
  <si>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</si>
  <si>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</si>
  <si>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</si>
  <si>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</si>
  <si>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</si>
  <si>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</si>
  <si>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</si>
  <si>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</si>
  <si>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</si>
  <si>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</si>
  <si>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</si>
  <si>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</si>
  <si>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</si>
  <si>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</si>
  <si>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</si>
  <si>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</si>
  <si>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</si>
  <si>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</si>
  <si>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</si>
  <si>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</si>
  <si>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</si>
  <si>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</si>
  <si>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</si>
  <si>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</si>
  <si>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</si>
  <si>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</si>
  <si>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</si>
  <si>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</si>
  <si>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</si>
  <si>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</si>
  <si>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</si>
  <si>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</si>
  <si>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</si>
  <si>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</si>
  <si>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</si>
  <si>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</si>
  <si>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</si>
  <si>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</si>
  <si>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</si>
  <si>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</si>
  <si>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</si>
  <si>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</si>
  <si>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</si>
  <si>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</si>
  <si>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</si>
  <si>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</si>
  <si>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</si>
  <si>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</si>
  <si>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</si>
  <si>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</si>
  <si>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</si>
  <si>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</si>
  <si>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</si>
  <si>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</si>
  <si>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</si>
  <si>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</si>
  <si>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</si>
  <si>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</si>
  <si>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</si>
  <si>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</si>
  <si>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</si>
  <si>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</si>
  <si>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</si>
  <si>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</si>
  <si>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</si>
  <si>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</si>
  <si>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</si>
  <si>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</si>
  <si>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</si>
  <si>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</si>
  <si>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</si>
  <si>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</si>
  <si>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</si>
  <si>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</si>
  <si>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</si>
  <si>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</si>
  <si>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</si>
  <si>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</si>
  <si>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</si>
  <si>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</si>
  <si>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</si>
  <si>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</si>
  <si>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</si>
  <si>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</si>
  <si>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</si>
  <si>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</si>
  <si>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</si>
  <si>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</si>
  <si>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</si>
  <si>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</si>
  <si>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</si>
  <si>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</si>
  <si>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</si>
  <si>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</si>
  <si>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</si>
  <si>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</si>
  <si>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</si>
  <si>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</si>
  <si>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</si>
  <si>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</si>
  <si>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</si>
  <si>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</si>
  <si>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</si>
  <si>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</si>
  <si>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</si>
  <si>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</si>
  <si>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</si>
  <si>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</si>
  <si>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</si>
  <si>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</si>
  <si>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</si>
  <si>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</si>
  <si>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</si>
  <si>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</si>
  <si>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</si>
  <si>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</si>
  <si>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</si>
  <si>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</si>
  <si>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</si>
  <si>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</si>
  <si>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</si>
  <si>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</si>
  <si>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</si>
  <si>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</si>
  <si>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</si>
  <si>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</si>
  <si>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</si>
  <si>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</si>
  <si>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</si>
  <si>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</si>
  <si>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</si>
  <si>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</si>
  <si>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</si>
  <si>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</si>
  <si>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</si>
  <si>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</si>
  <si>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</si>
  <si>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</si>
  <si>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</si>
  <si>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</si>
  <si>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</si>
  <si>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</si>
  <si>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</si>
  <si>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</si>
  <si>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</si>
  <si>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</si>
  <si>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</si>
  <si>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</si>
  <si>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</si>
  <si>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</si>
  <si>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</si>
  <si>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</si>
  <si>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</si>
  <si>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</si>
  <si>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</si>
  <si>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</si>
  <si>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</si>
  <si>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</si>
  <si>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</si>
  <si>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</si>
  <si>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</si>
  <si>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</si>
  <si>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</si>
  <si>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</si>
  <si>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</si>
  <si>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</si>
  <si>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</si>
  <si>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</si>
  <si>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</si>
  <si>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</si>
  <si>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</si>
  <si>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</si>
  <si>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</si>
  <si>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</si>
  <si>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</si>
  <si>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</si>
  <si>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</si>
  <si>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</si>
  <si>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</si>
  <si>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</si>
  <si>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</si>
  <si>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</si>
  <si>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</si>
  <si>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</si>
  <si>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</si>
  <si>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</si>
  <si>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</si>
  <si>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</si>
  <si>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</si>
  <si>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</si>
  <si>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</si>
  <si>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</si>
  <si>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</si>
  <si>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</si>
  <si>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</si>
  <si>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</si>
  <si>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</si>
  <si>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</si>
  <si>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</si>
  <si>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</si>
  <si>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</si>
  <si>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</si>
  <si>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</si>
  <si>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</si>
  <si>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</si>
  <si>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</si>
  <si>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</si>
  <si>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</si>
  <si>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</si>
  <si>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</si>
  <si>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</si>
  <si>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</si>
  <si>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</si>
  <si>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</si>
  <si>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</si>
  <si>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</si>
  <si>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</si>
  <si>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</si>
  <si>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</si>
  <si>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</si>
  <si>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</si>
  <si>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</si>
  <si>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</si>
  <si>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</si>
  <si>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</si>
  <si>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</si>
  <si>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</si>
  <si>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</si>
  <si>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</si>
  <si>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</si>
  <si>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</si>
  <si>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</si>
  <si>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</si>
  <si>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</si>
  <si>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</si>
  <si>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</si>
  <si>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</si>
  <si>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</si>
  <si>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</si>
  <si>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</si>
  <si>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</si>
  <si>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</si>
  <si>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</si>
  <si>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</si>
  <si>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</si>
  <si>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</si>
  <si>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</si>
  <si>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</si>
  <si>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</si>
  <si>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</si>
  <si>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</si>
  <si>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</si>
  <si>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</si>
  <si>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</si>
  <si>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</si>
  <si>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</si>
  <si>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</si>
  <si>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</si>
  <si>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</si>
  <si>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</si>
  <si>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</si>
  <si>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</si>
  <si>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</si>
  <si>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</si>
  <si>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</si>
  <si>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</si>
  <si>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</si>
  <si>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</si>
  <si>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</si>
  <si>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</si>
  <si>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</si>
  <si>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</si>
  <si>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</si>
  <si>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</si>
  <si>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</si>
  <si>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</si>
  <si>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</si>
  <si>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</si>
  <si>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</si>
  <si>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</si>
  <si>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</si>
  <si>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</si>
  <si>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</si>
  <si>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</si>
  <si>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</si>
  <si>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</si>
  <si>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</si>
  <si>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</si>
  <si>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</si>
  <si>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</si>
  <si>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</si>
  <si>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</si>
  <si>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</si>
  <si>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</si>
  <si>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</si>
  <si>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</si>
  <si>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</si>
  <si>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</si>
  <si>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</si>
  <si>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</si>
  <si>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</si>
  <si>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</si>
  <si>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</si>
  <si>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</si>
  <si>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</si>
  <si>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</si>
  <si>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</si>
  <si>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</si>
  <si>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</si>
  <si>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</si>
  <si>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</si>
  <si>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</si>
  <si>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</si>
  <si>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</si>
  <si>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</si>
  <si>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</si>
  <si>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</si>
  <si>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</si>
  <si>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</si>
  <si>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</si>
  <si>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</si>
  <si>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</si>
  <si>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</si>
  <si>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</si>
  <si>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</si>
  <si>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</si>
  <si>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</si>
  <si>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</si>
  <si>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</si>
  <si>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</si>
  <si>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</si>
  <si>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</si>
  <si>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</si>
  <si>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</si>
  <si>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</si>
  <si>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</si>
  <si>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</si>
  <si>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</si>
  <si>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</si>
  <si>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</si>
  <si>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</si>
  <si>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</si>
  <si>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</si>
  <si>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</si>
  <si>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</si>
  <si>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</si>
  <si>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</si>
  <si>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</si>
  <si>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</si>
  <si>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</si>
  <si>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</si>
  <si>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</si>
  <si>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</si>
  <si>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</si>
  <si>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</si>
  <si>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</si>
  <si>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</si>
  <si>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</si>
  <si>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</si>
  <si>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</si>
  <si>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</si>
  <si>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</si>
  <si>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</si>
  <si>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</si>
  <si>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</si>
  <si>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</si>
  <si>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</si>
  <si>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</si>
  <si>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</si>
  <si>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</si>
  <si>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</si>
  <si>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</si>
  <si>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</si>
  <si>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</si>
  <si>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</si>
  <si>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</si>
  <si>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</si>
  <si>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</si>
  <si>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</si>
  <si>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</si>
  <si>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</si>
  <si>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</si>
  <si>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</si>
  <si>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</si>
  <si>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</si>
  <si>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</si>
  <si>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</si>
  <si>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</si>
  <si>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</si>
  <si>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</si>
  <si>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</si>
  <si>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</si>
  <si>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</si>
  <si>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</si>
  <si>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</si>
  <si>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</si>
  <si>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</si>
  <si>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</si>
  <si>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</si>
  <si>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</si>
  <si>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</si>
  <si>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</si>
  <si>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</si>
  <si>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</si>
  <si>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</si>
  <si>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</si>
  <si>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</si>
  <si>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</si>
  <si>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</si>
  <si>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</si>
  <si>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</si>
  <si>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</si>
  <si>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</si>
  <si>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</si>
  <si>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</si>
  <si>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</si>
  <si>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</si>
  <si>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</si>
  <si>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</si>
  <si>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</si>
  <si>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</si>
  <si>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</si>
  <si>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</si>
  <si>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</si>
  <si>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</si>
  <si>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</si>
  <si>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</si>
  <si>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</si>
  <si>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</si>
  <si>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</si>
  <si>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</si>
  <si>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</si>
  <si>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</si>
  <si>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</si>
  <si>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</si>
  <si>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</si>
  <si>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</si>
  <si>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</si>
  <si>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</si>
  <si>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</si>
  <si>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</si>
  <si>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</si>
  <si>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</si>
  <si>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</si>
  <si>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</si>
  <si>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</si>
  <si>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</si>
  <si>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</si>
  <si>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</si>
  <si>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</si>
  <si>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</si>
  <si>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</si>
  <si>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</si>
  <si>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</si>
  <si>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</si>
  <si>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</si>
  <si>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</si>
  <si>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</si>
  <si>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</si>
  <si>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</si>
  <si>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</si>
  <si>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</si>
  <si>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</si>
  <si>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</si>
  <si>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</si>
  <si>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</si>
  <si>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</si>
  <si>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</si>
  <si>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</si>
  <si>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</si>
  <si>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</si>
  <si>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</si>
  <si>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</si>
  <si>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</si>
  <si>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</si>
  <si>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</si>
  <si>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</si>
  <si>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</si>
  <si>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</si>
  <si>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</si>
  <si>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</si>
  <si>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</si>
  <si>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</si>
  <si>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</si>
  <si>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</si>
  <si>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</si>
  <si>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</si>
  <si>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</si>
  <si>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</si>
  <si>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</si>
  <si>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</si>
  <si>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</si>
  <si>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</si>
  <si>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</si>
  <si>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</si>
  <si>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</si>
  <si>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</si>
  <si>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</si>
  <si>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</si>
  <si>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</si>
  <si>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</si>
  <si>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</si>
  <si>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</si>
  <si>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</si>
  <si>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</si>
  <si>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</si>
  <si>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</si>
  <si>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</si>
  <si>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</si>
  <si>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</si>
  <si>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</si>
  <si>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</si>
  <si>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</si>
  <si>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</si>
  <si>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</si>
  <si>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</si>
  <si>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</si>
  <si>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</si>
  <si>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</si>
  <si>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</si>
  <si>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</si>
  <si>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</si>
  <si>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</si>
  <si>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</si>
  <si>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</si>
  <si>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</si>
  <si>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</si>
  <si>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</si>
  <si>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</si>
  <si>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</si>
  <si>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</si>
  <si>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</si>
  <si>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</si>
  <si>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</si>
  <si>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</si>
  <si>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</si>
  <si>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</si>
  <si>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</si>
  <si>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</si>
  <si>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</si>
  <si>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</si>
  <si>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</si>
  <si>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</si>
  <si>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</si>
  <si>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</si>
  <si>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</si>
  <si>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</si>
  <si>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</si>
  <si>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</si>
  <si>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</si>
  <si>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</si>
  <si>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</si>
  <si>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</si>
  <si>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</si>
  <si>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</si>
  <si>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</si>
  <si>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</si>
  <si>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</si>
  <si>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</si>
  <si>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</si>
  <si>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</si>
  <si>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</si>
  <si>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</si>
  <si>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</si>
  <si>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</si>
  <si>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</si>
  <si>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</si>
  <si>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</si>
  <si>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</si>
  <si>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</si>
  <si>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</si>
  <si>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</si>
  <si>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</si>
  <si>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</si>
  <si>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</si>
  <si>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</si>
  <si>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</si>
  <si>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</si>
  <si>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</si>
  <si>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</si>
  <si>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</si>
  <si>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</si>
  <si>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</si>
  <si>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</si>
  <si>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</si>
  <si>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</si>
  <si>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</si>
  <si>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</si>
  <si>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</si>
  <si>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</si>
  <si>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</si>
  <si>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</si>
  <si>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</si>
  <si>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</si>
  <si>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</si>
  <si>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</si>
  <si>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</si>
  <si>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</si>
  <si>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</si>
  <si>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</si>
  <si>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</si>
  <si>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</si>
  <si>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</si>
  <si>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</si>
  <si>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</si>
  <si>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</si>
  <si>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</si>
  <si>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</si>
  <si>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</si>
  <si>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</si>
  <si>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</si>
  <si>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</si>
  <si>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</si>
  <si>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</si>
  <si>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</si>
  <si>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</si>
  <si>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</si>
  <si>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</si>
  <si>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</si>
  <si>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</si>
  <si>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</si>
  <si>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</si>
  <si>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</si>
  <si>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</si>
  <si>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</si>
  <si>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</si>
  <si>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</si>
  <si>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</si>
  <si>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</si>
  <si>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</si>
  <si>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</si>
  <si>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</si>
  <si>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</si>
  <si>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</si>
  <si>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</si>
  <si>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</si>
  <si>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</si>
  <si>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</si>
  <si>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</si>
  <si>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</si>
  <si>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</si>
  <si>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</si>
  <si>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</si>
  <si>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</si>
  <si>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</si>
  <si>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</si>
  <si>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</si>
  <si>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</si>
  <si>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</si>
  <si>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</si>
  <si>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</si>
  <si>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</si>
  <si>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</si>
  <si>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</si>
  <si>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</si>
  <si>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</si>
  <si>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</si>
  <si>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</si>
  <si>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</si>
  <si>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</si>
  <si>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</si>
  <si>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</si>
  <si>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</si>
  <si>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</si>
  <si>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</si>
  <si>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</si>
  <si>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</si>
  <si>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</si>
  <si>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</si>
  <si>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</si>
  <si>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</si>
  <si>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</si>
  <si>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</si>
  <si>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</si>
  <si>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</si>
  <si>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</si>
  <si>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</si>
  <si>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</si>
  <si>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</si>
  <si>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</si>
  <si>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</si>
  <si>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</si>
  <si>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</si>
  <si>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</si>
  <si>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</si>
  <si>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</si>
  <si>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</si>
  <si>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</si>
  <si>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</si>
  <si>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</si>
  <si>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</si>
  <si>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</si>
  <si>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</si>
  <si>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</si>
  <si>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</si>
  <si>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</si>
  <si>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</si>
  <si>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</si>
  <si>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</si>
  <si>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</si>
  <si>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</si>
  <si>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</si>
  <si>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</si>
  <si>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</si>
  <si>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</si>
  <si>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</si>
  <si>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</si>
  <si>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</si>
  <si>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</si>
  <si>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</si>
  <si>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</si>
  <si>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</si>
  <si>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</si>
  <si>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</si>
  <si>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</si>
  <si>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</si>
  <si>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</si>
  <si>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</si>
  <si>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</si>
  <si>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</si>
  <si>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</si>
  <si>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</si>
  <si>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</si>
  <si>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</si>
  <si>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</si>
  <si>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</si>
  <si>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</si>
  <si>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</si>
  <si>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</si>
  <si>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</si>
  <si>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</si>
  <si>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</si>
  <si>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</si>
  <si>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</si>
  <si>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</si>
  <si>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</si>
  <si>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</si>
  <si>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</si>
  <si>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</si>
  <si>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</si>
  <si>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</si>
  <si>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</si>
  <si>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</si>
  <si>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</si>
  <si>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</si>
  <si>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</si>
  <si>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</si>
  <si>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</si>
  <si>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</si>
  <si>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</si>
  <si>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</si>
  <si>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</si>
  <si>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</si>
  <si>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</si>
  <si>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</si>
  <si>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</si>
  <si>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</si>
  <si>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</si>
  <si>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</si>
  <si>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</si>
  <si>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</si>
  <si>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</si>
  <si>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</si>
  <si>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</si>
  <si>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</si>
  <si>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</si>
  <si>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</si>
  <si>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</si>
  <si>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</si>
  <si>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</si>
  <si>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</si>
  <si>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</si>
  <si>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</si>
  <si>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</si>
  <si>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</si>
  <si>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</si>
  <si>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</si>
  <si>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</si>
  <si>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</si>
  <si>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</si>
  <si>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</si>
  <si>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</si>
  <si>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</si>
  <si>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</si>
  <si>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</si>
  <si>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</si>
  <si>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</si>
  <si>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</si>
  <si>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</si>
  <si>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</si>
  <si>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</si>
  <si>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</si>
  <si>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</si>
  <si>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</si>
  <si>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</si>
  <si>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</si>
  <si>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</si>
  <si>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</si>
  <si>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</si>
  <si>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</si>
  <si>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</si>
  <si>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</si>
  <si>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</si>
  <si>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</si>
  <si>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</si>
  <si>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</si>
  <si>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</si>
  <si>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</si>
  <si>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</si>
  <si>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</si>
  <si>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</si>
  <si>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</si>
  <si>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</si>
  <si>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</si>
  <si>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</si>
  <si>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</si>
  <si>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</si>
  <si>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</si>
  <si>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</si>
  <si>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</si>
  <si>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</si>
  <si>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</si>
  <si>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</si>
  <si>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</si>
  <si>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</si>
  <si>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</si>
  <si>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</si>
  <si>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</si>
  <si>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</si>
  <si>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</si>
  <si>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</si>
  <si>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</si>
  <si>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</si>
  <si>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</si>
  <si>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</si>
  <si>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</si>
  <si>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</si>
  <si>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</si>
  <si>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</si>
  <si>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</si>
  <si>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</si>
  <si>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</si>
  <si>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</si>
  <si>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</si>
  <si>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</si>
  <si>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</si>
  <si>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</si>
  <si>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</si>
  <si>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</si>
  <si>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</si>
  <si>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</si>
  <si>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</si>
  <si>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</si>
  <si>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</si>
  <si>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</si>
  <si>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</si>
  <si>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</si>
  <si>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</si>
  <si>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</si>
  <si>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</si>
  <si>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</si>
  <si>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</si>
  <si>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</si>
  <si>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</si>
  <si>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</si>
  <si>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</si>
  <si>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</si>
  <si>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</si>
  <si>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</si>
  <si>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</si>
  <si>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</si>
  <si>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</si>
  <si>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</si>
  <si>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</si>
  <si>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</si>
  <si>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</si>
  <si>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</si>
  <si>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</si>
  <si>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</si>
  <si>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</si>
  <si>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</si>
  <si>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</si>
  <si>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</si>
  <si>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</si>
  <si>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</si>
  <si>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</si>
  <si>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</si>
  <si>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</si>
  <si>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</si>
  <si>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</si>
  <si>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</si>
  <si>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</si>
  <si>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</si>
  <si>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</si>
  <si>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</si>
  <si>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</si>
  <si>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</si>
  <si>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</si>
  <si>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</si>
  <si>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</si>
  <si>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</si>
  <si>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</si>
  <si>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</si>
  <si>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</si>
  <si>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</si>
  <si>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</si>
  <si>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</si>
  <si>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</si>
  <si>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</si>
  <si>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</si>
  <si>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</si>
  <si>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</si>
  <si>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</si>
  <si>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</si>
  <si>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</si>
  <si>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</si>
  <si>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</si>
  <si>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</si>
  <si>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</si>
  <si>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</si>
  <si>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</si>
  <si>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</si>
  <si>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</si>
  <si>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</si>
  <si>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</si>
  <si>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</si>
  <si>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</si>
  <si>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</si>
  <si>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</si>
  <si>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</si>
  <si>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</si>
  <si>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</si>
  <si>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</si>
  <si>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</si>
  <si>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</si>
  <si>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</si>
  <si>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</si>
  <si>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</si>
  <si>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</si>
  <si>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</si>
  <si>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</si>
  <si>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</si>
  <si>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</si>
  <si>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</si>
  <si>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</si>
  <si>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</si>
  <si>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</si>
  <si>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</si>
  <si>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</si>
  <si>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</si>
  <si>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</si>
  <si>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</si>
  <si>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</si>
  <si>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</si>
  <si>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</si>
  <si>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</si>
  <si>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</si>
  <si>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</si>
  <si>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</si>
  <si>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</si>
  <si>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</si>
  <si>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</si>
  <si>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</si>
  <si>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</si>
  <si>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</si>
  <si>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</si>
  <si>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</si>
  <si>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</si>
  <si>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</si>
  <si>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</si>
  <si>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</si>
  <si>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</si>
  <si>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</si>
  <si>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</si>
  <si>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</si>
  <si>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</si>
  <si>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</si>
  <si>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</si>
  <si>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</si>
  <si>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</si>
  <si>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</si>
  <si>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</si>
  <si>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</si>
  <si>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</si>
  <si>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</si>
  <si>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</si>
  <si>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</si>
  <si>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</si>
  <si>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</si>
  <si>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</si>
  <si>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</si>
  <si>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</si>
  <si>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</si>
  <si>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</si>
  <si>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</si>
  <si>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</si>
  <si>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</si>
  <si>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</si>
  <si>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</si>
  <si>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</si>
  <si>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</si>
  <si>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</si>
  <si>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</si>
  <si>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</si>
  <si>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</si>
  <si>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</si>
  <si>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</si>
  <si>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</si>
  <si>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</si>
  <si>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</si>
  <si>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</si>
  <si>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</si>
  <si>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</si>
  <si>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</si>
  <si>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</si>
  <si>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</si>
  <si>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</si>
  <si>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</si>
  <si>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</si>
  <si>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</si>
  <si>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</si>
  <si>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</si>
  <si>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</si>
  <si>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</si>
  <si>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</si>
  <si>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</si>
  <si>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</si>
  <si>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</si>
  <si>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</si>
  <si>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</si>
  <si>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</si>
  <si>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</si>
  <si>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</si>
  <si>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</si>
  <si>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</si>
  <si>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</si>
  <si>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</si>
  <si>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</si>
  <si>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</si>
  <si>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</si>
  <si>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</si>
  <si>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</si>
  <si>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</si>
  <si>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</si>
  <si>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</si>
  <si>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</si>
  <si>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</si>
  <si>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</si>
  <si>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</si>
  <si>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</si>
  <si>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</si>
  <si>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</si>
  <si>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</si>
  <si>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</si>
  <si>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</si>
  <si>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</si>
  <si>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</si>
  <si>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</si>
  <si>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</si>
  <si>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</si>
  <si>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</si>
  <si>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</si>
  <si>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</si>
  <si>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</si>
  <si>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</si>
  <si>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</si>
  <si>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</si>
  <si>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</si>
  <si>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</si>
  <si>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</si>
  <si>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</si>
  <si>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</si>
  <si>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</si>
  <si>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</si>
  <si>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</si>
  <si>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</si>
  <si>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</si>
  <si>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</si>
  <si>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</si>
  <si>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</si>
  <si>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</si>
  <si>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</si>
  <si>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</si>
  <si>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</si>
  <si>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</si>
  <si>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</si>
  <si>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</si>
  <si>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</si>
  <si>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</si>
  <si>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</si>
  <si>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</si>
  <si>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</si>
  <si>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</si>
  <si>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</si>
  <si>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</si>
  <si>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</si>
  <si>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</si>
  <si>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</si>
  <si>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</si>
  <si>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</si>
  <si>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</si>
  <si>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</si>
  <si>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</si>
  <si>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</si>
  <si>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</si>
  <si>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</si>
  <si>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</si>
  <si>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</si>
  <si>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</si>
  <si>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</si>
  <si>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</si>
  <si>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</si>
  <si>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</si>
  <si>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</si>
  <si>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</si>
  <si>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</si>
  <si>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</si>
  <si>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</si>
  <si>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</si>
  <si>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</si>
  <si>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</si>
  <si>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</si>
  <si>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</si>
  <si>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</si>
  <si>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</si>
  <si>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</si>
  <si>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</si>
  <si>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</si>
  <si>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</si>
  <si>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</si>
  <si>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</si>
  <si>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</si>
  <si>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</si>
  <si>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</si>
  <si>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</si>
  <si>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</si>
  <si>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</si>
  <si>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</si>
  <si>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</si>
  <si>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</si>
  <si>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</si>
  <si>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</si>
  <si>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</si>
  <si>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</si>
  <si>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</si>
  <si>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</si>
  <si>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</si>
  <si>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</si>
  <si>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</si>
  <si>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</si>
  <si>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</si>
  <si>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</si>
  <si>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</si>
  <si>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</si>
  <si>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</si>
  <si>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</si>
  <si>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</si>
  <si>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</si>
  <si>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</si>
  <si>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</si>
  <si>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</si>
  <si>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</si>
  <si>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</si>
  <si>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</si>
  <si>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</si>
  <si>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</si>
  <si>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</si>
  <si>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</si>
  <si>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</si>
  <si>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</si>
  <si>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</si>
  <si>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</si>
  <si>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</si>
  <si>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</si>
  <si>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</si>
  <si>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</si>
  <si>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</si>
  <si>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</si>
  <si>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</si>
  <si>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</si>
  <si>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</si>
  <si>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</si>
  <si>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</si>
  <si>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</si>
  <si>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</si>
  <si>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</si>
  <si>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</si>
  <si>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</si>
  <si>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</si>
  <si>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</si>
  <si>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</si>
  <si>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</si>
  <si>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</si>
  <si>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</si>
  <si>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</si>
  <si>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</si>
  <si>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</si>
  <si>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</si>
  <si>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</si>
  <si>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</si>
  <si>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</si>
  <si>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</si>
  <si>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</si>
  <si>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</si>
  <si>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</si>
  <si>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</si>
  <si>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</si>
  <si>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</si>
  <si>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</si>
  <si>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</si>
  <si>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</si>
  <si>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</si>
  <si>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</si>
  <si>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</si>
  <si>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</si>
  <si>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</si>
  <si>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</si>
  <si>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</si>
  <si>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</si>
  <si>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</si>
  <si>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</si>
  <si>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</si>
  <si>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</si>
  <si>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</si>
  <si>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</si>
  <si>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</si>
  <si>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</si>
  <si>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</si>
  <si>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</si>
  <si>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</si>
  <si>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</si>
  <si>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</si>
  <si>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</si>
  <si>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</si>
  <si>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</si>
  <si>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</si>
  <si>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</si>
  <si>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</si>
  <si>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</si>
  <si>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</si>
  <si>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</si>
  <si>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</si>
  <si>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</si>
  <si>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</si>
  <si>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</si>
  <si>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</si>
  <si>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</si>
  <si>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</si>
  <si>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</si>
  <si>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</si>
  <si>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</si>
  <si>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</si>
  <si>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</si>
  <si>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</si>
  <si>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</si>
  <si>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</si>
  <si>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</si>
  <si>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</si>
  <si>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</si>
  <si>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</si>
  <si>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</si>
  <si>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</si>
  <si>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</si>
  <si>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</si>
  <si>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</si>
  <si>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</si>
  <si>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</si>
  <si>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</si>
  <si>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</si>
  <si>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</si>
  <si>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</si>
  <si>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</si>
  <si>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</si>
  <si>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</si>
  <si>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</si>
  <si>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</si>
  <si>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</si>
  <si>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</si>
  <si>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</si>
  <si>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</si>
  <si>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</si>
  <si>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</si>
  <si>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</si>
  <si>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</si>
  <si>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</si>
  <si>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</si>
  <si>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</si>
  <si>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</si>
  <si>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</si>
  <si>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</si>
  <si>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</si>
  <si>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</si>
  <si>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</si>
  <si>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</si>
  <si>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</si>
  <si>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</si>
  <si>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</si>
  <si>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</si>
  <si>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</si>
  <si>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</si>
  <si>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</si>
  <si>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</si>
  <si>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</si>
  <si>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</si>
  <si>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</si>
  <si>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</si>
  <si>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</si>
  <si>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</si>
  <si>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</si>
  <si>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</si>
  <si>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</si>
  <si>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</si>
  <si>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</si>
  <si>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</si>
  <si>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</si>
  <si>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</si>
  <si>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</si>
  <si>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</si>
  <si>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</si>
  <si>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</si>
  <si>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</si>
  <si>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</si>
  <si>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</si>
  <si>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</si>
  <si>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</si>
  <si>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</si>
  <si>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</si>
  <si>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</si>
  <si>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</si>
  <si>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</si>
  <si>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</si>
  <si>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</si>
  <si>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</si>
  <si>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</si>
  <si>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</si>
  <si>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</si>
  <si>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</si>
  <si>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</si>
  <si>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</si>
  <si>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</si>
  <si>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</si>
  <si>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</si>
  <si>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</si>
  <si>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</si>
  <si>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</si>
  <si>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</si>
  <si>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</si>
  <si>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</si>
  <si>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</si>
  <si>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</si>
  <si>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</si>
  <si>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</si>
  <si>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</si>
  <si>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</si>
  <si>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</si>
  <si>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</si>
  <si>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</si>
  <si>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</si>
  <si>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</si>
  <si>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</si>
  <si>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</si>
  <si>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</si>
  <si>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</si>
  <si>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</si>
  <si>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</si>
  <si>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</si>
  <si>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</si>
  <si>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</si>
  <si>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</si>
  <si>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</si>
  <si>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</si>
  <si>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</si>
  <si>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</si>
  <si>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</si>
  <si>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</si>
  <si>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</si>
  <si>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</si>
  <si>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</si>
  <si>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</si>
  <si>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</si>
  <si>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</si>
  <si>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</si>
  <si>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</si>
  <si>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</si>
  <si>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</si>
  <si>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</si>
  <si>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</si>
  <si>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</si>
  <si>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</si>
  <si>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</si>
  <si>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</si>
  <si>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</si>
  <si>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</si>
  <si>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</si>
  <si>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</si>
  <si>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</si>
  <si>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</si>
  <si>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</si>
  <si>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</si>
  <si>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</si>
  <si>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</si>
  <si>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</si>
  <si>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</si>
  <si>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</si>
  <si>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</si>
  <si>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</si>
  <si>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</si>
  <si>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</si>
  <si>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</si>
  <si>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</si>
  <si>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</si>
  <si>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</si>
  <si>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</si>
  <si>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</si>
  <si>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</si>
  <si>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</si>
  <si>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</si>
  <si>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</si>
  <si>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</si>
  <si>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</si>
  <si>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</si>
  <si>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</si>
  <si>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</si>
  <si>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</si>
  <si>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</si>
  <si>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</si>
  <si>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</si>
  <si>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</si>
  <si>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</si>
  <si>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</si>
  <si>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</si>
  <si>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</si>
  <si>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</si>
  <si>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</si>
  <si>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</si>
  <si>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</si>
  <si>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</si>
  <si>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</si>
  <si>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</si>
  <si>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</si>
  <si>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</si>
  <si>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</si>
  <si>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</si>
  <si>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</si>
  <si>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</si>
  <si>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</si>
  <si>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</si>
  <si>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</si>
  <si>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</si>
  <si>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</si>
  <si>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</si>
  <si>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</si>
  <si>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</si>
  <si>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</si>
  <si>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</si>
  <si>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</si>
  <si>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</si>
  <si>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</si>
  <si>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</si>
  <si>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</si>
  <si>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</si>
  <si>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</si>
  <si>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</si>
  <si>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</si>
  <si>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</si>
  <si>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</si>
  <si>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</si>
  <si>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</si>
  <si>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</si>
  <si>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</si>
  <si>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</si>
  <si>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</si>
  <si>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</si>
  <si>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</si>
  <si>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</si>
  <si>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</si>
  <si>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</si>
  <si>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</si>
  <si>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</si>
  <si>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</si>
  <si>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</si>
  <si>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</si>
  <si>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</si>
  <si>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</si>
  <si>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</si>
  <si>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</si>
  <si>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</si>
  <si>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</si>
  <si>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</si>
  <si>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</si>
  <si>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</si>
  <si>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</si>
  <si>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</si>
  <si>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</si>
  <si>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</si>
  <si>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</si>
  <si>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</si>
  <si>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</si>
  <si>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</si>
  <si>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</si>
  <si>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</si>
  <si>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</si>
  <si>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</si>
  <si>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</si>
  <si>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</si>
  <si>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</si>
  <si>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</si>
  <si>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</si>
  <si>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</si>
  <si>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</si>
  <si>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</si>
  <si>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</si>
  <si>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</si>
  <si>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</si>
  <si>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</si>
  <si>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</si>
  <si>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</si>
  <si>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</si>
  <si>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</si>
  <si>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</si>
  <si>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</si>
  <si>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</si>
  <si>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</si>
  <si>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</si>
  <si>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</si>
  <si>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</si>
  <si>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</si>
  <si>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</si>
  <si>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</si>
  <si>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</si>
  <si>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</si>
  <si>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</si>
  <si>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</si>
  <si>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</si>
  <si>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</si>
  <si>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</si>
  <si>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</si>
  <si>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</si>
  <si>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</si>
  <si>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</si>
  <si>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</si>
  <si>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</si>
  <si>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</si>
  <si>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</si>
  <si>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</si>
  <si>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</si>
  <si>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</si>
  <si>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</si>
  <si>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</si>
  <si>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</si>
  <si>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</si>
  <si>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</si>
  <si>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</si>
  <si>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</si>
  <si>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</si>
  <si>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</si>
  <si>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</si>
  <si>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</si>
  <si>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</si>
  <si>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</si>
  <si>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</si>
  <si>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</si>
  <si>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</si>
  <si>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</si>
  <si>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</si>
  <si>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</si>
  <si>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</si>
  <si>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</si>
  <si>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</si>
  <si>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</si>
  <si>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</si>
  <si>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</si>
  <si>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</si>
  <si>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</si>
  <si>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</si>
  <si>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</si>
  <si>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</si>
  <si>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</si>
  <si>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</si>
  <si>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</si>
  <si>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</si>
  <si>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</si>
  <si>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</si>
  <si>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</si>
  <si>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</si>
  <si>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</si>
  <si>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</si>
  <si>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</si>
  <si>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</si>
  <si>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</si>
  <si>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</si>
  <si>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</si>
  <si>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</si>
  <si>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</si>
  <si>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</si>
  <si>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</si>
  <si>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</si>
  <si>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</si>
  <si>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</si>
  <si>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</si>
  <si>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</si>
  <si>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</si>
  <si>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</si>
  <si>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</si>
  <si>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</si>
  <si>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</si>
  <si>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</si>
  <si>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</si>
  <si>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</si>
  <si>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</si>
  <si>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</si>
  <si>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</si>
  <si>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</si>
  <si>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</si>
  <si>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</si>
  <si>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</si>
  <si>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</si>
  <si>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</si>
  <si>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</si>
  <si>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</si>
  <si>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</si>
  <si>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</si>
  <si>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</si>
  <si>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</si>
  <si>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</si>
  <si>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</si>
  <si>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</si>
  <si>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</si>
  <si>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</si>
  <si>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</si>
  <si>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</si>
  <si>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</si>
  <si>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</si>
  <si>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</si>
  <si>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</si>
  <si>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</si>
  <si>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</si>
  <si>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</si>
  <si>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</si>
  <si>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</si>
  <si>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</si>
  <si>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</si>
  <si>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</si>
  <si>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</si>
  <si>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</si>
  <si>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</si>
  <si>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</si>
  <si>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</si>
  <si>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</si>
  <si>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</si>
  <si>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</si>
  <si>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</si>
  <si>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</si>
  <si>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</si>
  <si>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</si>
  <si>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</si>
  <si>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</si>
  <si>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</si>
  <si>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</si>
  <si>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</si>
  <si>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</si>
  <si>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</si>
  <si>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</si>
  <si>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</si>
  <si>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</si>
  <si>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</si>
  <si>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</si>
  <si>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</si>
  <si>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</si>
  <si>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</si>
  <si>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</si>
  <si>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</si>
  <si>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</si>
  <si>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</si>
  <si>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</si>
  <si>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</si>
  <si>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</si>
  <si>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</si>
  <si>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</si>
  <si>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</si>
  <si>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</si>
  <si>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</si>
  <si>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</si>
  <si>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</si>
  <si>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</si>
  <si>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</si>
  <si>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</si>
  <si>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</si>
  <si>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</si>
  <si>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</si>
  <si>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</si>
  <si>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</si>
  <si>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</si>
  <si>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</si>
  <si>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</si>
  <si>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</si>
  <si>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</si>
  <si>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</si>
  <si>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</si>
  <si>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</si>
  <si>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</si>
  <si>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</si>
  <si>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</si>
  <si>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</si>
  <si>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</si>
  <si>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</si>
  <si>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</si>
  <si>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</si>
  <si>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</si>
  <si>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</si>
  <si>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</si>
  <si>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</si>
  <si>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</si>
  <si>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</si>
  <si>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</si>
  <si>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</si>
  <si>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</si>
  <si>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</si>
  <si>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</si>
  <si>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</si>
  <si>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</si>
  <si>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</si>
  <si>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</si>
  <si>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</si>
  <si>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</si>
  <si>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</si>
  <si>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</si>
  <si>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</si>
  <si>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</si>
  <si>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</si>
  <si>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</si>
  <si>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</si>
  <si>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</si>
  <si>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</si>
  <si>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</si>
  <si>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</si>
  <si>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</si>
  <si>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</si>
  <si>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</si>
  <si>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</si>
  <si>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</si>
  <si>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</si>
  <si>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</si>
  <si>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</si>
  <si>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</si>
  <si>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</si>
  <si>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</si>
  <si>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</si>
  <si>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</si>
  <si>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</si>
  <si>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</si>
  <si>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</si>
  <si>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</si>
  <si>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</si>
  <si>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</si>
  <si>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</si>
  <si>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</si>
  <si>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</si>
  <si>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</si>
  <si>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</si>
  <si>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</si>
  <si>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</si>
  <si>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</si>
  <si>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</si>
  <si>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</si>
  <si>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</si>
  <si>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</si>
  <si>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</si>
  <si>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</si>
  <si>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</si>
  <si>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</si>
  <si>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</si>
  <si>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</si>
  <si>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</si>
  <si>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</si>
  <si>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</si>
  <si>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</si>
  <si>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</si>
  <si>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</si>
  <si>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</si>
  <si>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</si>
  <si>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</si>
  <si>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</si>
  <si>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</si>
  <si>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</si>
  <si>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</si>
  <si>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</si>
  <si>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</si>
  <si>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</si>
  <si>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</si>
  <si>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</si>
  <si>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</si>
  <si>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</si>
  <si>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</si>
  <si>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</si>
  <si>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</si>
  <si>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</si>
  <si>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</si>
  <si>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</si>
  <si>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</si>
  <si>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</si>
  <si>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</si>
  <si>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</si>
  <si>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</si>
  <si>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</si>
  <si>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</si>
  <si>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</si>
  <si>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</si>
  <si>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</si>
  <si>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</si>
  <si>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</si>
  <si>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</si>
  <si>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</si>
  <si>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</si>
  <si>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</si>
  <si>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</si>
  <si>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</si>
  <si>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</si>
  <si>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</si>
  <si>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</si>
  <si>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</si>
  <si>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</si>
  <si>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</si>
  <si>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</si>
  <si>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</si>
  <si>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</si>
  <si>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</si>
  <si>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</si>
  <si>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</si>
  <si>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</si>
  <si>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</si>
  <si>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</si>
  <si>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</si>
  <si>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</si>
  <si>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</si>
  <si>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</si>
  <si>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</si>
  <si>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</si>
  <si>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</si>
  <si>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</si>
  <si>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</si>
  <si>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</si>
  <si>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</si>
  <si>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</si>
  <si>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</si>
  <si>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</si>
  <si>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</si>
  <si>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</si>
  <si>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</si>
  <si>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</si>
  <si>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</si>
  <si>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</si>
  <si>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</si>
  <si>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</si>
  <si>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</si>
  <si>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</si>
  <si>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</si>
  <si>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</si>
  <si>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</si>
  <si>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</si>
  <si>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</si>
  <si>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</si>
  <si>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</si>
  <si>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</si>
  <si>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</si>
  <si>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</si>
  <si>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</si>
  <si>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</si>
  <si>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</si>
  <si>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</si>
  <si>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</si>
  <si>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</si>
  <si>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</si>
  <si>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</si>
  <si>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</si>
  <si>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</si>
  <si>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</si>
  <si>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</si>
  <si>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</si>
  <si>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</si>
  <si>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</si>
  <si>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</si>
  <si>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</si>
  <si>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</si>
  <si>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</si>
  <si>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</si>
  <si>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</si>
  <si>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</si>
  <si>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</si>
  <si>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</si>
  <si>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</si>
  <si>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</si>
  <si>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</si>
  <si>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</si>
  <si>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</si>
  <si>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</si>
  <si>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</si>
  <si>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</si>
  <si>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</si>
  <si>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</si>
  <si>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</si>
  <si>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</si>
  <si>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</si>
  <si>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</si>
  <si>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</si>
  <si>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</si>
  <si>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</si>
  <si>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</si>
  <si>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</si>
  <si>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</si>
  <si>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</si>
  <si>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</si>
  <si>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</si>
  <si>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</si>
  <si>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</si>
  <si>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</si>
  <si>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</si>
  <si>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</si>
  <si>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</si>
  <si>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</si>
  <si>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</si>
  <si>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</si>
  <si>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</si>
  <si>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</si>
  <si>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</si>
  <si>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</si>
  <si>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</si>
  <si>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</si>
  <si>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</si>
  <si>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</si>
  <si>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</si>
  <si>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</si>
  <si>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</si>
  <si>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</si>
  <si>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</si>
  <si>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</si>
  <si>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</si>
  <si>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</si>
  <si>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</si>
  <si>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</si>
  <si>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</si>
  <si>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</si>
  <si>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</si>
  <si>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</si>
  <si>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</si>
  <si>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</si>
  <si>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</si>
  <si>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</si>
  <si>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</si>
  <si>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</si>
  <si>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</si>
  <si>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</si>
  <si>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</si>
  <si>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</si>
  <si>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</si>
  <si>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</si>
  <si>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</si>
  <si>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</si>
  <si>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</si>
  <si>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</si>
  <si>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</si>
  <si>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</si>
  <si>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</si>
  <si>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</si>
  <si>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</si>
  <si>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</si>
  <si>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</si>
  <si>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</si>
  <si>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</si>
  <si>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</si>
  <si>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</si>
  <si>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</si>
  <si>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</si>
  <si>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</si>
  <si>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</si>
  <si>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</si>
  <si>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</si>
  <si>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</si>
  <si>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</si>
  <si>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</si>
  <si>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</si>
  <si>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</si>
  <si>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</si>
  <si>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</si>
  <si>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</si>
  <si>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</si>
  <si>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</si>
  <si>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</si>
  <si>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</si>
  <si>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</si>
  <si>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</si>
  <si>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</si>
  <si>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</si>
  <si>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</si>
  <si>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</si>
  <si>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</si>
  <si>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</si>
  <si>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</si>
  <si>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</si>
  <si>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</si>
  <si>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</si>
  <si>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</si>
  <si>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</si>
  <si>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</si>
  <si>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</si>
  <si>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</si>
  <si>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</si>
  <si>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</si>
  <si>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</si>
  <si>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</si>
  <si>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</si>
  <si>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</si>
  <si>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</si>
  <si>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</si>
  <si>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</si>
  <si>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</si>
  <si>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</si>
  <si>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</si>
  <si>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</si>
  <si>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</si>
  <si>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</si>
  <si>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</si>
  <si>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</si>
  <si>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</si>
  <si>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</si>
  <si>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</si>
  <si>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</si>
  <si>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</si>
  <si>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</si>
  <si>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</si>
  <si>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</si>
  <si>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</si>
  <si>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</si>
  <si>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</si>
  <si>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</si>
  <si>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</si>
  <si>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</si>
  <si>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</si>
  <si>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</si>
  <si>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</si>
  <si>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</si>
  <si>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</si>
  <si>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</si>
  <si>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</si>
  <si>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</si>
  <si>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</si>
  <si>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</si>
  <si>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</si>
  <si>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</si>
  <si>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</si>
  <si>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</si>
  <si>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</si>
  <si>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</si>
  <si>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</si>
  <si>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</si>
  <si>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</si>
  <si>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</si>
  <si>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</si>
  <si>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</si>
  <si>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</si>
  <si>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</si>
  <si>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</si>
  <si>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</si>
  <si>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</si>
  <si>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</si>
  <si>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</si>
  <si>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</si>
  <si>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</si>
  <si>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</si>
  <si>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</si>
  <si>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</si>
  <si>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</si>
  <si>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</si>
  <si>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</si>
  <si>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</si>
  <si>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</si>
  <si>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</si>
  <si>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</si>
  <si>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</si>
  <si>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</si>
  <si>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</si>
  <si>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</si>
  <si>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</si>
  <si>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</si>
  <si>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</si>
  <si>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</si>
  <si>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</si>
  <si>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</si>
  <si>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</si>
  <si>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</si>
  <si>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</si>
  <si>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</si>
  <si>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</si>
  <si>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</si>
  <si>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</si>
  <si>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</si>
  <si>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</si>
  <si>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</si>
  <si>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</si>
  <si>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</si>
  <si>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</si>
  <si>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</si>
  <si>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</si>
  <si>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</si>
  <si>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</si>
  <si>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</si>
  <si>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</si>
  <si>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</si>
  <si>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</si>
  <si>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</si>
  <si>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</si>
  <si>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</si>
  <si>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</si>
  <si>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</si>
  <si>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</si>
  <si>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</si>
  <si>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</si>
  <si>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</si>
  <si>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</si>
  <si>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</si>
  <si>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</si>
  <si>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</si>
  <si>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</si>
  <si>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</si>
  <si>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</si>
  <si>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</si>
  <si>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</si>
  <si>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</si>
  <si>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</si>
  <si>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</si>
  <si>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</si>
  <si>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</si>
  <si>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</si>
  <si>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</si>
  <si>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</si>
  <si>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</si>
  <si>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</si>
  <si>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</si>
  <si>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</si>
  <si>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</si>
  <si>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</si>
  <si>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</si>
  <si>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</si>
  <si>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</si>
  <si>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</si>
  <si>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</si>
  <si>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</si>
  <si>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</si>
  <si>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</si>
  <si>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</si>
  <si>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</si>
  <si>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</si>
  <si>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</si>
  <si>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</si>
  <si>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</si>
  <si>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</si>
  <si>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</si>
  <si>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</si>
  <si>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</si>
  <si>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</si>
  <si>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</si>
  <si>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</si>
  <si>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</si>
  <si>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</si>
  <si>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</si>
  <si>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</si>
  <si>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</si>
  <si>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</si>
  <si>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</si>
  <si>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</si>
  <si>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</si>
  <si>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</si>
  <si>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</si>
  <si>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</si>
  <si>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</si>
  <si>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</si>
  <si>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</si>
  <si>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</si>
  <si>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</si>
  <si>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</si>
  <si>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</si>
  <si>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</si>
  <si>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</si>
  <si>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</si>
  <si>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</si>
  <si>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</si>
  <si>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</si>
  <si>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</si>
  <si>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</si>
  <si>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</si>
  <si>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</si>
  <si>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</si>
  <si>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</si>
  <si>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</si>
  <si>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</si>
  <si>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</si>
  <si>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</si>
  <si>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</si>
  <si>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</si>
  <si>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</si>
  <si>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</si>
  <si>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</si>
  <si>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</si>
  <si>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</si>
  <si>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</si>
  <si>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</si>
  <si>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</si>
  <si>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</si>
  <si>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</si>
  <si>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</si>
  <si>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</si>
  <si>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</si>
  <si>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</si>
  <si>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</si>
  <si>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</si>
  <si>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</si>
  <si>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</si>
  <si>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</si>
  <si>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</si>
  <si>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</si>
  <si>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</si>
  <si>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</si>
  <si>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</si>
  <si>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</si>
  <si>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</si>
  <si>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</si>
  <si>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</si>
  <si>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</si>
  <si>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</si>
  <si>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</si>
  <si>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</si>
  <si>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</si>
  <si>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</si>
  <si>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</si>
  <si>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</si>
  <si>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</si>
  <si>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</si>
  <si>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</si>
  <si>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</si>
  <si>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</si>
  <si>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</si>
  <si>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</si>
  <si>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</si>
  <si>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</si>
  <si>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</si>
  <si>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</si>
  <si>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</si>
  <si>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</si>
  <si>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</si>
  <si>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</si>
  <si>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</si>
  <si>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</si>
  <si>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</si>
  <si>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</si>
  <si>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</si>
  <si>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</si>
  <si>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</si>
  <si>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</si>
  <si>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</si>
  <si>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</si>
  <si>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</si>
  <si>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</si>
  <si>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</si>
  <si>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</si>
  <si>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</si>
  <si>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</si>
  <si>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</si>
  <si>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</si>
  <si>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</si>
  <si>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</si>
  <si>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</si>
  <si>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</si>
  <si>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</si>
  <si>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</si>
  <si>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</si>
  <si>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</si>
  <si>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</si>
  <si>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</si>
  <si>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</si>
  <si>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</si>
  <si>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</si>
  <si>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</si>
  <si>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</si>
  <si>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</si>
  <si>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</si>
  <si>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</si>
  <si>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</si>
  <si>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</si>
  <si>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</si>
  <si>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</si>
  <si>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</si>
  <si>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</si>
  <si>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</si>
  <si>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</si>
  <si>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</si>
  <si>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</si>
  <si>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</si>
  <si>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</si>
  <si>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</si>
  <si>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</si>
  <si>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</si>
  <si>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</si>
  <si>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</si>
  <si>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</si>
  <si>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</si>
  <si>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</si>
  <si>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</si>
  <si>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</si>
  <si>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</si>
  <si>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</si>
  <si>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</si>
  <si>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</si>
  <si>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</si>
  <si>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</si>
  <si>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</si>
  <si>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</si>
  <si>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</si>
  <si>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</si>
  <si>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</si>
  <si>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</si>
  <si>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</si>
  <si>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</si>
  <si>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</si>
  <si>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</si>
  <si>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</si>
  <si>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</si>
  <si>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</si>
  <si>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</si>
  <si>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</si>
  <si>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</si>
  <si>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</si>
  <si>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</si>
  <si>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</si>
  <si>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</si>
  <si>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</si>
  <si>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</si>
  <si>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</si>
  <si>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</si>
  <si>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</si>
  <si>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</si>
  <si>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</si>
  <si>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</si>
  <si>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</si>
  <si>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</si>
  <si>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</si>
  <si>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</si>
  <si>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</si>
  <si>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</si>
  <si>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</si>
  <si>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</si>
  <si>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</si>
  <si>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</si>
  <si>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</si>
  <si>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</si>
  <si>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</si>
  <si>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</si>
  <si>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</si>
  <si>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</si>
  <si>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</si>
  <si>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</si>
  <si>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</si>
  <si>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</si>
  <si>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</si>
  <si>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</si>
  <si>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</si>
  <si>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</si>
  <si>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</si>
  <si>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</si>
  <si>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</si>
  <si>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</si>
  <si>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</si>
  <si>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</si>
  <si>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</si>
  <si>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</si>
  <si>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</si>
  <si>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</si>
  <si>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</si>
  <si>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</si>
  <si>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</si>
  <si>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</si>
  <si>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</si>
  <si>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</si>
  <si>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</si>
  <si>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</si>
  <si>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</si>
  <si>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</si>
  <si>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</si>
  <si>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</si>
  <si>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</si>
  <si>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</si>
  <si>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</si>
  <si>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</si>
  <si>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</si>
  <si>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</si>
  <si>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</si>
  <si>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</si>
  <si>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</si>
  <si>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</si>
  <si>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</si>
  <si>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</si>
  <si>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</si>
  <si>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</si>
  <si>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</si>
  <si>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</si>
  <si>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</si>
  <si>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</si>
  <si>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</si>
  <si>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</si>
  <si>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</si>
  <si>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</si>
  <si>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</si>
  <si>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</si>
  <si>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</si>
  <si>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</si>
  <si>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</si>
  <si>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</si>
  <si>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</si>
  <si>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</si>
  <si>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</si>
  <si>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</si>
  <si>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</si>
  <si>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</si>
  <si>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</si>
  <si>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</si>
  <si>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</si>
  <si>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</si>
  <si>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</si>
  <si>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</si>
  <si>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</si>
  <si>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</si>
  <si>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</si>
  <si>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</si>
  <si>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</si>
  <si>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</si>
  <si>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</si>
  <si>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</si>
  <si>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</si>
  <si>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</si>
  <si>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</si>
  <si>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</si>
  <si>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</si>
  <si>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</si>
  <si>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</si>
  <si>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</si>
  <si>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</si>
  <si>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</si>
  <si>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</si>
  <si>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</si>
  <si>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</si>
  <si>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</si>
  <si>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</si>
  <si>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</si>
  <si>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</si>
  <si>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</si>
  <si>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</si>
  <si>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</si>
  <si>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</si>
  <si>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</si>
  <si>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</si>
  <si>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</si>
  <si>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</si>
  <si>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</si>
  <si>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</si>
  <si>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</si>
  <si>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</si>
  <si>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</si>
  <si>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</si>
  <si>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</si>
  <si>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</si>
  <si>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</si>
  <si>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</si>
  <si>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</si>
  <si>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</si>
  <si>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</si>
  <si>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</si>
  <si>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</si>
  <si>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</si>
  <si>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</si>
  <si>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</si>
  <si>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</si>
  <si>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</si>
  <si>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</si>
  <si>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</si>
  <si>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</si>
  <si>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</si>
  <si>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</si>
  <si>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</si>
  <si>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</si>
  <si>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</si>
  <si>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</si>
  <si>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</si>
  <si>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</si>
  <si>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</si>
  <si>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</si>
  <si>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</si>
  <si>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</si>
  <si>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</si>
  <si>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</si>
  <si>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</si>
  <si>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</si>
  <si>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</si>
  <si>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</si>
  <si>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</si>
  <si>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</si>
  <si>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</si>
  <si>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</si>
  <si>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</si>
  <si>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</si>
  <si>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</si>
  <si>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</si>
  <si>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</si>
  <si>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</si>
  <si>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</si>
  <si>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</si>
  <si>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</si>
  <si>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</si>
  <si>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</si>
  <si>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</si>
  <si>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</si>
  <si>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</si>
  <si>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</si>
  <si>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</si>
  <si>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</si>
  <si>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</si>
  <si>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</si>
  <si>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</si>
  <si>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</si>
  <si>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</si>
  <si>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</si>
  <si>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</si>
  <si>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</si>
  <si>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</si>
  <si>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</si>
  <si>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</si>
  <si>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</si>
  <si>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</si>
  <si>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</si>
  <si>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</si>
  <si>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</si>
  <si>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</si>
  <si>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</si>
  <si>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</si>
  <si>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</si>
  <si>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</si>
  <si>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</si>
  <si>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</si>
  <si>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</si>
  <si>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</si>
  <si>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</si>
  <si>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</si>
  <si>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</si>
  <si>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</si>
  <si>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</si>
  <si>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</si>
  <si>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</si>
  <si>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</si>
  <si>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</si>
  <si>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</si>
  <si>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</si>
  <si>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</si>
  <si>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</si>
  <si>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</si>
  <si>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</si>
  <si>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</si>
  <si>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</si>
  <si>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</si>
  <si>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</si>
  <si>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</si>
  <si>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</si>
  <si>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</si>
  <si>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</si>
  <si>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</si>
  <si>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</si>
  <si>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</si>
  <si>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</si>
  <si>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</si>
  <si>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</si>
  <si>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</si>
  <si>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</si>
  <si>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</si>
  <si>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</si>
  <si>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</si>
  <si>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</si>
  <si>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</si>
  <si>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</si>
  <si>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</si>
  <si>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</si>
  <si>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</si>
  <si>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</si>
  <si>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</si>
  <si>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</si>
  <si>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</si>
  <si>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</si>
  <si>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</si>
  <si>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</si>
  <si>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</si>
  <si>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</si>
  <si>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</si>
  <si>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</si>
  <si>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</si>
  <si>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</si>
  <si>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</si>
  <si>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</si>
  <si>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</si>
  <si>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</si>
  <si>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</si>
  <si>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</si>
  <si>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</si>
  <si>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</si>
  <si>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</si>
  <si>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</si>
  <si>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</si>
  <si>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</si>
  <si>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</si>
  <si>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</si>
  <si>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</si>
  <si>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</si>
  <si>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</si>
  <si>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</si>
  <si>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</si>
  <si>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</si>
  <si>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</si>
  <si>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</si>
  <si>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</si>
  <si>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</si>
  <si>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</si>
  <si>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</si>
  <si>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</si>
  <si>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</si>
  <si>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</si>
  <si>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</si>
  <si>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</si>
  <si>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</si>
  <si>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</si>
  <si>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</si>
  <si>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</si>
  <si>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</si>
  <si>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</si>
  <si>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</si>
  <si>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</si>
  <si>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</si>
  <si>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</si>
  <si>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</si>
  <si>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</si>
  <si>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</si>
  <si>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</si>
  <si>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</si>
  <si>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</si>
  <si>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</si>
  <si>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</si>
  <si>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</si>
  <si>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</si>
  <si>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</si>
  <si>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</si>
  <si>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</si>
  <si>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</si>
  <si>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</si>
  <si>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</si>
  <si>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</si>
  <si>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</si>
  <si>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</si>
  <si>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</si>
  <si>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</si>
  <si>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</si>
  <si>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</si>
  <si>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</si>
  <si>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</si>
  <si>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</si>
  <si>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</si>
  <si>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</si>
  <si>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</si>
  <si>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</si>
  <si>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</si>
  <si>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</si>
  <si>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</si>
  <si>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</si>
  <si>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</si>
  <si>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</si>
  <si>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</si>
  <si>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</si>
  <si>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</si>
  <si>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</si>
  <si>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</si>
  <si>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</si>
  <si>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</si>
  <si>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</si>
  <si>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</si>
  <si>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</si>
  <si>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</si>
  <si>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</si>
  <si>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</si>
  <si>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</si>
  <si>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</si>
  <si>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</si>
  <si>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</si>
  <si>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</si>
  <si>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</si>
  <si>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</si>
  <si>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</si>
  <si>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</si>
  <si>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</si>
  <si>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</si>
  <si>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</si>
  <si>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</si>
  <si>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</si>
  <si>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</si>
  <si>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</si>
  <si>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</si>
  <si>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</si>
  <si>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</si>
  <si>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</si>
  <si>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</si>
  <si>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</si>
  <si>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</si>
  <si>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</si>
  <si>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</si>
  <si>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</si>
  <si>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</si>
  <si>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</si>
  <si>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</si>
  <si>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</si>
  <si>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</si>
  <si>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</si>
  <si>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</si>
  <si>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</si>
  <si>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</si>
  <si>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</si>
  <si>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</si>
  <si>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</si>
  <si>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</si>
  <si>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</si>
  <si>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</si>
  <si>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</si>
  <si>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</si>
  <si>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</si>
  <si>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</si>
  <si>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</si>
  <si>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</si>
  <si>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</si>
  <si>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</si>
  <si>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</si>
  <si>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</si>
  <si>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</si>
  <si>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</si>
  <si>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</si>
  <si>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</si>
  <si>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</si>
  <si>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</si>
  <si>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</si>
  <si>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</si>
  <si>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</si>
  <si>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</si>
  <si>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</si>
  <si>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</si>
  <si>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</si>
  <si>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</si>
  <si>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</si>
  <si>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</si>
  <si>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</si>
  <si>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</si>
  <si>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</si>
  <si>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</si>
  <si>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</si>
  <si>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</si>
  <si>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</si>
  <si>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</si>
  <si>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</si>
  <si>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</si>
  <si>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</si>
  <si>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</si>
  <si>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</si>
  <si>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</si>
  <si>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</si>
  <si>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</si>
  <si>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</si>
  <si>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</si>
  <si>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</si>
  <si>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</si>
  <si>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</si>
  <si>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</si>
  <si>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</si>
  <si>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</si>
  <si>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</si>
  <si>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</si>
  <si>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</si>
  <si>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</si>
  <si>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</si>
  <si>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</si>
  <si>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</si>
  <si>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</si>
  <si>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</si>
  <si>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</si>
  <si>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</si>
  <si>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</si>
  <si>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</si>
  <si>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</si>
  <si>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</si>
  <si>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</si>
  <si>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</si>
  <si>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</si>
  <si>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</si>
  <si>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</si>
  <si>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</si>
  <si>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</si>
  <si>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</si>
  <si>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</si>
  <si>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</si>
  <si>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</si>
  <si>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</si>
  <si>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</si>
  <si>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</si>
  <si>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</si>
  <si>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</si>
  <si>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</si>
  <si>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</si>
  <si>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</si>
  <si>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</si>
  <si>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</si>
  <si>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</si>
  <si>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</si>
  <si>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</si>
  <si>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</si>
  <si>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</si>
  <si>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</si>
  <si>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</si>
  <si>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</si>
  <si>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</si>
  <si>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</si>
  <si>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</si>
  <si>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</si>
  <si>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</si>
  <si>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</si>
  <si>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</si>
  <si>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</si>
  <si>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</si>
  <si>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</si>
  <si>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</si>
  <si>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</si>
  <si>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</si>
  <si>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</si>
  <si>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</si>
  <si>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</si>
  <si>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</si>
  <si>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</si>
  <si>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</si>
  <si>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</si>
  <si>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</si>
  <si>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</si>
  <si>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</si>
  <si>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</si>
  <si>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</si>
  <si>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</si>
  <si>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</si>
  <si>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</si>
  <si>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</si>
  <si>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</si>
  <si>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</si>
  <si>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</si>
  <si>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</si>
  <si>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</si>
  <si>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</si>
  <si>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</si>
  <si>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</si>
  <si>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</si>
  <si>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</si>
  <si>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</si>
  <si>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</si>
  <si>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</si>
  <si>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</si>
  <si>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</si>
  <si>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</si>
  <si>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</si>
  <si>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</si>
  <si>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</si>
  <si>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</si>
  <si>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</si>
  <si>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</si>
  <si>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</si>
  <si>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</si>
  <si>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</si>
  <si>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</si>
  <si>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</si>
  <si>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</si>
  <si>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</si>
  <si>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</si>
  <si>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</si>
  <si>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</si>
  <si>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</si>
  <si>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</si>
  <si>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</si>
  <si>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</si>
  <si>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</si>
  <si>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</si>
  <si>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</si>
  <si>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</si>
  <si>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</si>
  <si>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</si>
  <si>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</si>
  <si>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</si>
  <si>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</si>
  <si>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</si>
  <si>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</si>
  <si>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</si>
  <si>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</si>
  <si>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</si>
  <si>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</si>
  <si>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</si>
  <si>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</si>
  <si>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</si>
  <si>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</si>
  <si>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</si>
  <si>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</si>
  <si>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</si>
  <si>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</si>
  <si>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</si>
  <si>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</si>
  <si>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</si>
  <si>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</si>
  <si>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</si>
  <si>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</si>
  <si>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</si>
  <si>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</si>
  <si>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</si>
  <si>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</si>
  <si>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</si>
  <si>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</si>
  <si>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</si>
  <si>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</si>
  <si>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</si>
  <si>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</si>
  <si>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</si>
  <si>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</si>
  <si>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</si>
  <si>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</si>
  <si>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</si>
  <si>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</si>
  <si>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</si>
  <si>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</si>
  <si>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</si>
  <si>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</si>
  <si>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</si>
  <si>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</si>
  <si>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</si>
  <si>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</si>
  <si>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</si>
  <si>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</si>
  <si>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</si>
  <si>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</si>
  <si>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</si>
  <si>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</si>
  <si>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</si>
  <si>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</si>
  <si>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</si>
  <si>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</si>
  <si>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</si>
  <si>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</si>
  <si>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</si>
  <si>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</si>
  <si>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</si>
  <si>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</si>
  <si>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</si>
  <si>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</si>
  <si>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</si>
  <si>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</si>
  <si>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</si>
  <si>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</si>
  <si>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</si>
  <si>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</si>
  <si>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</si>
  <si>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</si>
  <si>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</si>
  <si>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</si>
  <si>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</si>
  <si>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</si>
  <si>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</si>
  <si>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</si>
  <si>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</si>
  <si>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</si>
  <si>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</si>
  <si>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</si>
  <si>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</si>
  <si>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</si>
  <si>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</si>
  <si>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</si>
  <si>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</si>
  <si>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</si>
  <si>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</si>
  <si>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</si>
  <si>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</si>
  <si>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</si>
  <si>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</si>
  <si>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</si>
  <si>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</si>
  <si>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</si>
  <si>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</si>
  <si>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</si>
  <si>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</si>
  <si>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</si>
  <si>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</si>
  <si>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</si>
  <si>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</si>
  <si>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</si>
  <si>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</si>
  <si>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</si>
  <si>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</si>
  <si>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</si>
  <si>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</si>
  <si>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</si>
  <si>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</si>
  <si>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</si>
  <si>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</si>
  <si>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</si>
  <si>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</si>
  <si>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</si>
  <si>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</si>
  <si>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</si>
  <si>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</si>
  <si>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</si>
  <si>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</si>
  <si>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</si>
  <si>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</si>
  <si>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</si>
  <si>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</si>
  <si>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</si>
  <si>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</si>
  <si>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</si>
  <si>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</si>
  <si>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</si>
  <si>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</si>
  <si>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</si>
  <si>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</si>
  <si>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</si>
  <si>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</si>
  <si>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</si>
  <si>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</si>
  <si>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</si>
  <si>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</si>
  <si>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</si>
  <si>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</si>
  <si>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</si>
  <si>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</si>
  <si>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</si>
  <si>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</si>
  <si>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</si>
  <si>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</si>
  <si>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</si>
  <si>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</si>
  <si>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</si>
  <si>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</si>
  <si>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</si>
  <si>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</si>
  <si>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</si>
  <si>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</si>
  <si>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</si>
  <si>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</si>
  <si>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</si>
  <si>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</si>
  <si>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</si>
  <si>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</si>
  <si>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</si>
  <si>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</si>
  <si>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</si>
  <si>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</si>
  <si>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</si>
  <si>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</si>
  <si>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</si>
  <si>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</si>
  <si>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</si>
  <si>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</si>
  <si>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</si>
  <si>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</si>
  <si>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</si>
  <si>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</si>
  <si>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</si>
  <si>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</si>
  <si>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</si>
  <si>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</si>
  <si>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</si>
  <si>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</si>
  <si>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</si>
  <si>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</si>
  <si>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</si>
  <si>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</si>
  <si>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</si>
  <si>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</si>
  <si>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</si>
  <si>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</si>
  <si>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</si>
  <si>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</si>
  <si>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</si>
  <si>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</si>
  <si>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</si>
  <si>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</si>
  <si>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</si>
  <si>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</si>
  <si>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</si>
  <si>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</si>
  <si>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</si>
  <si>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</si>
  <si>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</si>
  <si>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</si>
  <si>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</si>
  <si>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</si>
  <si>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</si>
  <si>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</si>
  <si>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</si>
  <si>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</si>
  <si>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</si>
  <si>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</si>
  <si>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</si>
  <si>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</si>
  <si>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</si>
  <si>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</si>
  <si>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</si>
  <si>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</si>
  <si>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</si>
  <si>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</si>
  <si>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</si>
  <si>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</si>
  <si>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</si>
  <si>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</si>
  <si>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</si>
  <si>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</si>
  <si>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</si>
  <si>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</si>
  <si>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</si>
  <si>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</si>
  <si>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</si>
  <si>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</si>
  <si>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</si>
  <si>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</si>
  <si>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</si>
  <si>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</si>
  <si>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</si>
  <si>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</si>
  <si>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</si>
  <si>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</si>
  <si>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</si>
  <si>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</si>
  <si>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</si>
  <si>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</si>
  <si>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</si>
  <si>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</si>
  <si>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</si>
  <si>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</si>
  <si>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</si>
  <si>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</si>
  <si>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</si>
  <si>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</si>
  <si>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</si>
  <si>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</si>
  <si>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</si>
  <si>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</si>
  <si>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</si>
  <si>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</si>
  <si>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</si>
  <si>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</si>
  <si>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</si>
  <si>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</si>
  <si>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</si>
  <si>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</si>
  <si>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</si>
  <si>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</si>
  <si>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</si>
  <si>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</si>
  <si>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</si>
  <si>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</si>
  <si>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</si>
  <si>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</si>
  <si>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</si>
  <si>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</si>
  <si>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</si>
  <si>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</si>
  <si>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</si>
  <si>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</si>
  <si>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</si>
  <si>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</si>
  <si>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</si>
  <si>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</si>
  <si>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</si>
  <si>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</si>
  <si>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</si>
  <si>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</si>
  <si>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</si>
  <si>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</si>
  <si>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</si>
  <si>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</si>
  <si>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</si>
  <si>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</si>
  <si>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</si>
  <si>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</si>
  <si>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</si>
  <si>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</si>
  <si>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</si>
  <si>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</si>
  <si>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</si>
  <si>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</si>
  <si>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</si>
  <si>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</si>
  <si>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</si>
  <si>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</si>
  <si>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</si>
  <si>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</si>
  <si>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</si>
  <si>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</si>
  <si>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</si>
  <si>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</si>
  <si>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</si>
  <si>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</si>
  <si>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</si>
  <si>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</si>
  <si>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</si>
  <si>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</si>
  <si>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</si>
  <si>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</si>
  <si>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</si>
  <si>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</si>
  <si>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</si>
  <si>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</si>
  <si>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</si>
  <si>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</si>
  <si>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</si>
  <si>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</si>
  <si>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</si>
  <si>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</si>
  <si>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</si>
  <si>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</si>
  <si>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</si>
  <si>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</si>
  <si>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</si>
  <si>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</si>
  <si>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</si>
  <si>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</si>
  <si>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</si>
  <si>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</si>
  <si>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</si>
  <si>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</si>
  <si>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</si>
  <si>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</si>
  <si>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</si>
  <si>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</si>
  <si>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</si>
  <si>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</si>
  <si>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</si>
  <si>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</si>
  <si>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</si>
  <si>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</si>
  <si>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</si>
  <si>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</si>
  <si>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</si>
  <si>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</si>
  <si>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</si>
  <si>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</si>
  <si>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</si>
  <si>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</si>
  <si>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</si>
  <si>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</si>
  <si>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</si>
  <si>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</si>
  <si>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</si>
  <si>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</si>
  <si>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</si>
  <si>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</si>
  <si>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</si>
  <si>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</si>
  <si>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</si>
  <si>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</si>
  <si>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</si>
  <si>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</si>
  <si>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</si>
  <si>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</si>
  <si>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</si>
  <si>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</si>
  <si>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</si>
  <si>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</si>
  <si>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</si>
  <si>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</si>
  <si>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</si>
  <si>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</si>
  <si>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</si>
  <si>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</si>
  <si>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</si>
  <si>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</si>
  <si>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</si>
  <si>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</si>
  <si>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</si>
  <si>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</si>
  <si>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</si>
  <si>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</si>
  <si>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</si>
  <si>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</si>
  <si>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</si>
  <si>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</si>
  <si>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</si>
  <si>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</si>
  <si>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</si>
  <si>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</si>
  <si>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</si>
  <si>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</si>
  <si>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</si>
  <si>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</si>
  <si>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</si>
  <si>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</si>
  <si>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</si>
  <si>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</si>
  <si>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</si>
  <si>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</si>
  <si>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</si>
  <si>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</si>
  <si>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</si>
  <si>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</si>
  <si>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</si>
  <si>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</si>
  <si>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</si>
  <si>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</si>
  <si>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</si>
  <si>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</si>
  <si>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</si>
  <si>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</si>
  <si>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</si>
  <si>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</si>
  <si>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</si>
  <si>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</si>
  <si>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</si>
  <si>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</si>
  <si>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</si>
  <si>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</si>
  <si>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</si>
  <si>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</si>
  <si>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</si>
  <si>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</si>
  <si>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</si>
  <si>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</si>
  <si>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</si>
  <si>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</si>
  <si>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</si>
  <si>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</si>
  <si>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</si>
  <si>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</si>
  <si>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</si>
  <si>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</si>
  <si>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</si>
  <si>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</si>
  <si>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</si>
  <si>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</si>
  <si>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</si>
  <si>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</si>
  <si>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</si>
  <si>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</si>
  <si>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</si>
  <si>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</si>
  <si>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</si>
  <si>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</si>
  <si>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</si>
  <si>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</si>
  <si>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</si>
  <si>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</si>
  <si>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</si>
  <si>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</si>
  <si>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</si>
  <si>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</si>
  <si>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</si>
  <si>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</si>
  <si>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</si>
  <si>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</si>
  <si>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</si>
  <si>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</si>
  <si>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</si>
  <si>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</si>
  <si>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</si>
  <si>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</si>
  <si>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</si>
  <si>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</si>
  <si>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</si>
  <si>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</si>
  <si>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</si>
  <si>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</si>
  <si>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</si>
  <si>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</si>
  <si>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</si>
  <si>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</si>
  <si>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</si>
  <si>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</si>
  <si>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</si>
  <si>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</si>
  <si>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</si>
  <si>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</si>
  <si>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</si>
  <si>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</si>
  <si>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</si>
  <si>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</si>
  <si>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</si>
  <si>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</si>
  <si>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</si>
  <si>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</si>
  <si>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</si>
  <si>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</si>
  <si>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</si>
  <si>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</si>
  <si>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</si>
  <si>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</si>
  <si>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</si>
  <si>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</si>
  <si>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</si>
  <si>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</si>
  <si>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</si>
  <si>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</si>
  <si>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</si>
  <si>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</si>
  <si>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</si>
  <si>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</si>
  <si>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</si>
  <si>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</si>
  <si>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</si>
  <si>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</si>
  <si>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</si>
  <si>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</si>
  <si>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</si>
  <si>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</si>
  <si>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</si>
  <si>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</si>
  <si>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</si>
  <si>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</si>
  <si>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</si>
  <si>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</si>
  <si>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</si>
  <si>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</si>
  <si>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</si>
  <si>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</si>
  <si>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</si>
  <si>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</si>
  <si>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</si>
  <si>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</si>
  <si>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</si>
  <si>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</si>
  <si>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</si>
  <si>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</si>
  <si>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</si>
  <si>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</si>
  <si>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</si>
  <si>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</si>
  <si>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</si>
  <si>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</si>
  <si>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</si>
  <si>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</si>
  <si>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</si>
  <si>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</si>
  <si>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</si>
  <si>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</si>
  <si>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</si>
  <si>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</si>
  <si>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</si>
  <si>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</si>
  <si>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</si>
  <si>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</si>
  <si>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</si>
  <si>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</si>
  <si>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</si>
  <si>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</si>
  <si>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</si>
  <si>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</si>
  <si>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</si>
  <si>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</si>
  <si>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</si>
  <si>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</si>
  <si>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</si>
  <si>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</si>
  <si>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</si>
  <si>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</si>
  <si>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</si>
  <si>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</si>
  <si>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</si>
  <si>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</si>
  <si>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</si>
  <si>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</si>
  <si>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</si>
  <si>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</si>
  <si>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</si>
  <si>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</si>
  <si>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</si>
  <si>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</si>
  <si>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</si>
  <si>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</si>
  <si>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</si>
  <si>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</si>
  <si>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</si>
  <si>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</si>
  <si>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</si>
  <si>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</si>
  <si>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</si>
  <si>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</si>
  <si>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</si>
  <si>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</si>
  <si>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</si>
  <si>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</si>
  <si>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</si>
  <si>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</si>
  <si>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</si>
  <si>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</si>
  <si>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</si>
  <si>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</si>
  <si>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</si>
  <si>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</si>
  <si>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</si>
  <si>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</si>
  <si>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</si>
  <si>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</si>
  <si>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</si>
  <si>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</si>
  <si>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</si>
  <si>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</si>
  <si>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</si>
  <si>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</si>
  <si>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</si>
  <si>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</si>
  <si>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</si>
  <si>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</si>
  <si>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</si>
  <si>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</si>
  <si>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</si>
  <si>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</si>
  <si>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</si>
  <si>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</si>
  <si>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</si>
  <si>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</si>
  <si>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</si>
  <si>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</si>
  <si>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</si>
  <si>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</si>
  <si>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</si>
  <si>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</si>
  <si>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</si>
  <si>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</si>
  <si>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</si>
  <si>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</si>
  <si>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</si>
  <si>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</si>
  <si>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</si>
  <si>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</si>
  <si>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</si>
  <si>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</si>
  <si>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</si>
  <si>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</si>
  <si>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</si>
  <si>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</si>
  <si>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</si>
  <si>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</si>
  <si>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</si>
  <si>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</si>
  <si>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</si>
  <si>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</si>
  <si>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</si>
  <si>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</si>
  <si>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</si>
  <si>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</si>
  <si>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</si>
  <si>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</si>
  <si>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</si>
  <si>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</si>
  <si>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</si>
  <si>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</si>
  <si>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</si>
  <si>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</si>
  <si>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</si>
  <si>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</si>
  <si>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</si>
  <si>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</si>
  <si>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</si>
  <si>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</si>
  <si>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</si>
  <si>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</si>
  <si>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</si>
  <si>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</si>
  <si>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</si>
  <si>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</si>
  <si>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</si>
  <si>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</si>
  <si>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</si>
  <si>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</si>
  <si>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</si>
  <si>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</si>
  <si>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</si>
  <si>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</si>
  <si>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</si>
  <si>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</si>
  <si>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</si>
  <si>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</si>
  <si>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</si>
  <si>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</si>
  <si>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</si>
  <si>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</si>
  <si>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</si>
  <si>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</si>
  <si>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</si>
  <si>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</si>
  <si>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</si>
  <si>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</si>
  <si>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</si>
  <si>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</si>
  <si>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</si>
  <si>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</si>
  <si>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</si>
  <si>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</si>
  <si>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</si>
  <si>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</si>
  <si>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</si>
  <si>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</si>
  <si>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</si>
  <si>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</si>
  <si>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</si>
  <si>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</si>
  <si>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</si>
  <si>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</si>
  <si>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</si>
  <si>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</si>
  <si>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</si>
  <si>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</si>
  <si>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</si>
  <si>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</si>
  <si>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</si>
  <si>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</si>
  <si>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</si>
  <si>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</si>
  <si>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</si>
  <si>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</si>
  <si>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</si>
  <si>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</si>
  <si>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</si>
  <si>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</si>
  <si>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</si>
  <si>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</si>
  <si>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</si>
  <si>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</si>
  <si>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</si>
  <si>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</si>
  <si>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</si>
  <si>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</si>
  <si>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</si>
  <si>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</si>
  <si>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</si>
  <si>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</si>
  <si>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</si>
  <si>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</si>
  <si>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</si>
  <si>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</si>
  <si>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</si>
  <si>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</si>
  <si>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</si>
  <si>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</si>
  <si>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</si>
  <si>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</si>
  <si>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</si>
  <si>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</si>
  <si>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</si>
  <si>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</si>
  <si>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</si>
  <si>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</si>
  <si>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</si>
  <si>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</si>
  <si>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</si>
  <si>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</si>
  <si>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</si>
  <si>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</si>
  <si>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</si>
  <si>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</si>
  <si>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</si>
  <si>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</si>
  <si>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</si>
  <si>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</si>
  <si>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</si>
  <si>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</si>
  <si>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</si>
  <si>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</si>
  <si>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</si>
  <si>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</si>
  <si>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</si>
  <si>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</si>
  <si>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</si>
  <si>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</si>
  <si>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</si>
  <si>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</si>
  <si>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</si>
  <si>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</si>
  <si>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</si>
  <si>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</si>
  <si>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</si>
  <si>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</si>
  <si>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</si>
  <si>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</si>
  <si>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</si>
  <si>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</si>
  <si>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</si>
  <si>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</si>
  <si>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</si>
  <si>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</si>
  <si>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</si>
  <si>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</si>
  <si>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</si>
  <si>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</si>
  <si>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</si>
  <si>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</si>
  <si>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</si>
  <si>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</si>
  <si>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</si>
  <si>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</si>
  <si>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</si>
  <si>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</si>
  <si>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</si>
  <si>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</si>
  <si>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</si>
  <si>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</si>
  <si>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</si>
  <si>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</si>
  <si>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</si>
  <si>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</si>
  <si>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</si>
  <si>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</si>
  <si>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</si>
  <si>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</si>
  <si>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</si>
  <si>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</si>
  <si>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</si>
  <si>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</si>
  <si>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</si>
  <si>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</si>
  <si>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</si>
  <si>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</si>
  <si>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</si>
  <si>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</si>
  <si>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</si>
  <si>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</si>
  <si>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</si>
  <si>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</si>
  <si>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</si>
  <si>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</si>
  <si>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</si>
  <si>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</si>
  <si>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</si>
  <si>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</si>
  <si>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</si>
  <si>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</si>
  <si>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</si>
  <si>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</si>
  <si>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</si>
  <si>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</si>
  <si>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</si>
  <si>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</si>
  <si>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</si>
  <si>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</si>
  <si>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</si>
  <si>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</si>
  <si>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</si>
  <si>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</si>
  <si>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</si>
  <si>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</si>
  <si>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</si>
  <si>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</si>
  <si>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</si>
  <si>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</si>
  <si>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</si>
  <si>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</si>
  <si>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</si>
  <si>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</si>
  <si>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</si>
  <si>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</si>
  <si>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</si>
  <si>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</si>
  <si>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</si>
  <si>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</si>
  <si>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</si>
  <si>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</si>
  <si>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</si>
  <si>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</si>
  <si>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</si>
  <si>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</si>
  <si>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</si>
  <si>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</si>
  <si>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</si>
  <si>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</si>
  <si>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</si>
  <si>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</si>
  <si>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</si>
  <si>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</si>
  <si>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</si>
  <si>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</si>
  <si>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</si>
  <si>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</si>
  <si>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</si>
  <si>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</si>
  <si>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</si>
  <si>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</si>
  <si>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</si>
  <si>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</si>
  <si>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</si>
  <si>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</si>
  <si>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</si>
  <si>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</si>
  <si>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</si>
  <si>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</si>
  <si>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</si>
  <si>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</si>
  <si>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</si>
  <si>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</si>
  <si>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</si>
  <si>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</si>
  <si>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</si>
  <si>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</si>
  <si>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</si>
  <si>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</si>
  <si>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</si>
  <si>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</si>
  <si>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</si>
  <si>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</si>
  <si>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</si>
  <si>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</si>
  <si>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</si>
  <si>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</si>
  <si>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</si>
  <si>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</si>
  <si>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</si>
  <si>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</si>
  <si>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</si>
  <si>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</si>
  <si>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</si>
  <si>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</si>
  <si>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</si>
  <si>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</si>
  <si>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</si>
  <si>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</si>
  <si>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</si>
  <si>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</si>
  <si>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</si>
  <si>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</si>
  <si>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</si>
  <si>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</si>
  <si>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</si>
  <si>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</si>
  <si>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</si>
  <si>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</si>
  <si>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</si>
  <si>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</si>
  <si>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</si>
  <si>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</si>
  <si>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</si>
  <si>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</si>
  <si>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</si>
  <si>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</si>
  <si>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</si>
  <si>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</si>
  <si>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</si>
  <si>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</si>
  <si>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</si>
  <si>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</si>
  <si>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</si>
  <si>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</si>
  <si>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</si>
  <si>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</si>
  <si>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</si>
  <si>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</si>
  <si>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</si>
  <si>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</si>
  <si>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</si>
  <si>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</si>
  <si>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</si>
  <si>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</si>
  <si>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</si>
  <si>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</si>
  <si>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</si>
  <si>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</si>
  <si>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</si>
  <si>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</si>
  <si>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</si>
  <si>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</si>
  <si>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</si>
  <si>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</si>
  <si>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</si>
  <si>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</si>
  <si>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</si>
  <si>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</si>
  <si>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</si>
  <si>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</si>
  <si>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</si>
  <si>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</si>
  <si>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</si>
  <si>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</si>
  <si>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</si>
  <si>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</si>
  <si>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</si>
  <si>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</si>
  <si>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</si>
  <si>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</si>
  <si>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</si>
  <si>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</si>
  <si>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</si>
  <si>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</si>
  <si>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</si>
  <si>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</si>
  <si>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</si>
  <si>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</si>
  <si>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</si>
  <si>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</si>
  <si>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</si>
  <si>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</si>
  <si>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</si>
  <si>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</si>
  <si>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</si>
  <si>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</si>
  <si>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</si>
  <si>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</si>
  <si>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</si>
  <si>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</si>
  <si>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</si>
  <si>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</si>
  <si>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</si>
  <si>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</si>
  <si>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</si>
  <si>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</si>
  <si>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</si>
  <si>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</si>
  <si>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</si>
  <si>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</si>
  <si>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</si>
  <si>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</si>
  <si>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</si>
  <si>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</si>
  <si>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</si>
  <si>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</si>
  <si>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</si>
  <si>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</si>
  <si>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</si>
  <si>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</si>
  <si>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</si>
  <si>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</si>
  <si>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</si>
  <si>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</si>
  <si>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</si>
  <si>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</si>
  <si>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</si>
  <si>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</si>
  <si>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</si>
  <si>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</si>
  <si>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</si>
  <si>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</si>
  <si>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</si>
  <si>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</si>
  <si>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</si>
  <si>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</si>
  <si>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</si>
  <si>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</si>
  <si>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</si>
  <si>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</si>
  <si>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</si>
  <si>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</si>
  <si>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</si>
  <si>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</si>
  <si>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</si>
  <si>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</si>
  <si>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</si>
  <si>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</si>
  <si>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</si>
  <si>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</si>
  <si>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</si>
  <si>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</si>
  <si>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</si>
  <si>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</si>
  <si>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</si>
  <si>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</si>
  <si>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</si>
  <si>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</si>
  <si>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</si>
  <si>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</si>
  <si>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</si>
  <si>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</si>
  <si>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</si>
  <si>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</si>
  <si>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</si>
  <si>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</si>
  <si>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</si>
  <si>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</si>
  <si>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</si>
  <si>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</si>
  <si>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</si>
  <si>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</si>
  <si>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</si>
  <si>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</si>
  <si>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</si>
  <si>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</si>
  <si>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</si>
  <si>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</si>
  <si>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</si>
  <si>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</si>
  <si>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</si>
  <si>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</si>
  <si>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</si>
  <si>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</si>
  <si>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</si>
  <si>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</si>
  <si>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</si>
  <si>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</si>
  <si>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</si>
  <si>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</si>
  <si>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</si>
  <si>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</si>
  <si>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</si>
  <si>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</si>
  <si>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</si>
  <si>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</si>
  <si>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</si>
  <si>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</si>
  <si>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</si>
  <si>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</si>
  <si>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</si>
  <si>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</si>
  <si>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</si>
  <si>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</si>
  <si>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</si>
  <si>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</si>
  <si>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</si>
  <si>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</si>
  <si>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</si>
  <si>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</si>
  <si>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</si>
  <si>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</si>
  <si>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</si>
  <si>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</si>
  <si>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</si>
  <si>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</si>
  <si>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</si>
  <si>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</si>
  <si>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</si>
  <si>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</si>
  <si>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</si>
  <si>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</si>
  <si>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</si>
  <si>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</si>
  <si>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</si>
  <si>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</si>
  <si>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</si>
  <si>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</si>
  <si>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</si>
  <si>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</si>
  <si>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</si>
  <si>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</si>
  <si>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</si>
  <si>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</si>
  <si>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</si>
  <si>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</si>
  <si>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</si>
  <si>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</si>
  <si>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</si>
  <si>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</si>
  <si>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</si>
  <si>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</si>
  <si>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</si>
  <si>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</si>
  <si>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</si>
  <si>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</si>
  <si>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</si>
  <si>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</si>
  <si>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</si>
  <si>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</si>
  <si>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</si>
  <si>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</si>
  <si>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</si>
  <si>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</si>
  <si>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</si>
  <si>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</si>
  <si>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</si>
  <si>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</si>
  <si>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</si>
  <si>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</si>
  <si>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</si>
  <si>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</si>
  <si>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</si>
  <si>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</si>
  <si>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</si>
  <si>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</si>
  <si>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</si>
  <si>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</si>
  <si>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</si>
  <si>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</si>
  <si>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</si>
  <si>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</si>
  <si>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</si>
  <si>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</si>
  <si>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</si>
  <si>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</si>
  <si>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</si>
  <si>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</si>
  <si>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</si>
  <si>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</si>
  <si>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</si>
  <si>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</si>
  <si>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</si>
  <si>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</si>
  <si>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</si>
  <si>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</si>
  <si>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</si>
  <si>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</si>
  <si>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</si>
  <si>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</si>
  <si>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</si>
  <si>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</si>
  <si>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</si>
  <si>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</si>
  <si>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</si>
  <si>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</si>
  <si>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</si>
  <si>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</si>
  <si>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</si>
  <si>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</si>
  <si>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</si>
  <si>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</si>
  <si>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</si>
  <si>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</si>
  <si>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</si>
  <si>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</si>
  <si>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</si>
  <si>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</si>
  <si>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</si>
  <si>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</si>
  <si>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</si>
  <si>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</si>
  <si>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</si>
  <si>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</si>
  <si>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</si>
  <si>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</si>
  <si>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</si>
  <si>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</si>
  <si>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</si>
  <si>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</si>
  <si>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</si>
  <si>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</si>
  <si>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</si>
  <si>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</si>
  <si>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</si>
  <si>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</si>
  <si>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</si>
  <si>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</si>
  <si>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</si>
  <si>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</si>
  <si>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</si>
  <si>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</si>
  <si>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</si>
  <si>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</si>
  <si>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</si>
  <si>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</si>
  <si>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</si>
  <si>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</si>
  <si>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</si>
  <si>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</si>
  <si>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</si>
  <si>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</si>
  <si>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</si>
  <si>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</si>
  <si>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</si>
  <si>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</si>
  <si>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</si>
  <si>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</si>
  <si>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</si>
  <si>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</si>
  <si>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</si>
  <si>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</si>
  <si>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</si>
  <si>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</si>
  <si>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</si>
  <si>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</si>
  <si>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</si>
  <si>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</si>
  <si>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</si>
  <si>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</si>
  <si>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</si>
  <si>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</si>
  <si>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</si>
  <si>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</si>
  <si>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</si>
  <si>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</si>
  <si>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</si>
  <si>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</si>
  <si>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</si>
  <si>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</si>
  <si>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</si>
  <si>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</si>
  <si>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</si>
  <si>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</si>
  <si>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</si>
  <si>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</si>
  <si>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</si>
  <si>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</si>
  <si>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</si>
  <si>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</si>
  <si>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</si>
  <si>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</si>
  <si>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</si>
  <si>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</si>
  <si>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</si>
  <si>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</si>
  <si>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</si>
  <si>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</si>
  <si>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</si>
  <si>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</si>
  <si>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</si>
  <si>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</si>
  <si>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</si>
  <si>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</si>
  <si>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</si>
  <si>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</si>
  <si>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</si>
  <si>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</si>
  <si>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</si>
  <si>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</si>
  <si>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</si>
  <si>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</si>
  <si>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</si>
  <si>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</si>
  <si>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</si>
  <si>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</si>
  <si>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</si>
  <si>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</si>
  <si>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</si>
  <si>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</si>
  <si>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</si>
  <si>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</si>
  <si>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</si>
  <si>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</si>
  <si>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</si>
  <si>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</si>
  <si>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</si>
  <si>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</si>
  <si>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</si>
  <si>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</si>
  <si>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</si>
  <si>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</si>
  <si>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</si>
  <si>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</si>
  <si>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</si>
  <si>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</si>
  <si>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</si>
  <si>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</si>
  <si>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</si>
  <si>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</si>
  <si>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</si>
  <si>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</si>
  <si>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</si>
  <si>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</si>
  <si>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</si>
  <si>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</si>
  <si>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</si>
  <si>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</si>
  <si>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</si>
  <si>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</si>
  <si>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</si>
  <si>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</si>
  <si>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</si>
  <si>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</si>
  <si>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</si>
  <si>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</si>
  <si>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</si>
  <si>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</si>
  <si>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</si>
  <si>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</si>
  <si>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</si>
  <si>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</si>
  <si>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</si>
  <si>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</si>
  <si>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</si>
  <si>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</si>
  <si>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</si>
  <si>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</si>
  <si>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</si>
  <si>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</si>
  <si>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</si>
  <si>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</si>
  <si>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</si>
  <si>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</si>
  <si>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</si>
  <si>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</si>
  <si>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</si>
  <si>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</si>
  <si>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</si>
  <si>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</si>
  <si>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</si>
  <si>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</si>
  <si>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</si>
  <si>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</si>
  <si>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</si>
  <si>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</si>
  <si>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</si>
  <si>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</si>
  <si>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</si>
  <si>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</si>
  <si>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</si>
  <si>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</si>
  <si>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</si>
  <si>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</si>
  <si>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</si>
  <si>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</si>
  <si>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</si>
  <si>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</si>
  <si>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</si>
  <si>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</si>
  <si>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</si>
  <si>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</si>
  <si>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</si>
  <si>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</si>
  <si>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</si>
  <si>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</si>
  <si>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</si>
  <si>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</si>
  <si>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</si>
  <si>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</si>
  <si>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</si>
  <si>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</si>
  <si>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</si>
  <si>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</si>
  <si>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</si>
  <si>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</si>
  <si>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</si>
  <si>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</si>
  <si>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</si>
  <si>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</si>
  <si>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</si>
  <si>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</si>
  <si>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</si>
  <si>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</si>
  <si>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</si>
  <si>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</si>
  <si>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</si>
  <si>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</si>
  <si>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</si>
  <si>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</si>
  <si>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</si>
  <si>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</si>
  <si>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</si>
  <si>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</si>
  <si>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</si>
  <si>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</si>
  <si>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</si>
  <si>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</si>
  <si>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</si>
  <si>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</si>
  <si>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</si>
  <si>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</si>
  <si>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</si>
  <si>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</si>
  <si>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</si>
  <si>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</si>
  <si>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</si>
  <si>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</si>
  <si>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</si>
  <si>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</si>
  <si>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</si>
  <si>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</si>
  <si>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</si>
  <si>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</si>
  <si>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</si>
  <si>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</si>
  <si>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</si>
  <si>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</si>
  <si>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</si>
  <si>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</si>
  <si>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</si>
  <si>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</si>
  <si>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</si>
  <si>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</si>
  <si>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</si>
  <si>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</si>
  <si>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</si>
  <si>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</si>
  <si>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</si>
  <si>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</si>
  <si>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</si>
  <si>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</si>
  <si>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</si>
  <si>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</si>
  <si>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</si>
  <si>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</si>
  <si>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</si>
  <si>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</si>
  <si>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</si>
  <si>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</si>
  <si>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</si>
  <si>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</si>
  <si>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</si>
  <si>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</si>
  <si>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</si>
  <si>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</si>
  <si>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</si>
  <si>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</si>
  <si>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</si>
  <si>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</si>
  <si>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</si>
  <si>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</si>
  <si>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</si>
  <si>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</si>
  <si>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</si>
  <si>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</si>
  <si>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</si>
  <si>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</si>
  <si>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</si>
  <si>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</si>
  <si>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</si>
  <si>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</si>
  <si>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</si>
  <si>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</si>
  <si>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</si>
  <si>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</si>
  <si>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</si>
  <si>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</si>
  <si>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</si>
  <si>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</si>
  <si>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</si>
  <si>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</si>
  <si>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</si>
  <si>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</si>
  <si>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</si>
  <si>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</si>
  <si>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</si>
  <si>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</si>
  <si>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</si>
  <si>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</si>
  <si>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</si>
  <si>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</si>
  <si>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</si>
  <si>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</si>
  <si>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</si>
  <si>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</si>
  <si>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</si>
  <si>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</si>
  <si>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</si>
  <si>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</si>
  <si>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</si>
  <si>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</si>
  <si>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</si>
  <si>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</si>
  <si>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</si>
  <si>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</si>
  <si>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</si>
  <si>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</si>
  <si>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</si>
  <si>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</si>
  <si>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</si>
  <si>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</si>
  <si>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</si>
  <si>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</si>
  <si>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</si>
  <si>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</si>
  <si>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</si>
  <si>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</si>
  <si>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</si>
  <si>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</si>
  <si>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</si>
  <si>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</si>
  <si>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</si>
  <si>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</si>
  <si>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</si>
  <si>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</si>
  <si>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</si>
  <si>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</si>
  <si>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</si>
  <si>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</si>
  <si>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</si>
  <si>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</si>
  <si>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</si>
  <si>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</si>
  <si>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</si>
  <si>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</si>
  <si>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</si>
  <si>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</si>
  <si>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</si>
  <si>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</si>
  <si>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</si>
  <si>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</si>
  <si>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</si>
  <si>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</si>
  <si>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</si>
  <si>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</si>
  <si>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</si>
  <si>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</si>
  <si>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</si>
  <si>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</si>
  <si>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</si>
  <si>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</si>
  <si>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</si>
  <si>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</si>
  <si>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</si>
  <si>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</si>
  <si>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</si>
  <si>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</si>
  <si>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</si>
  <si>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</si>
  <si>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</si>
  <si>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</si>
  <si>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</si>
  <si>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</si>
  <si>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</si>
  <si>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</si>
  <si>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</si>
  <si>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</si>
  <si>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</si>
  <si>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</si>
  <si>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</si>
  <si>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</si>
  <si>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</si>
  <si>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</si>
  <si>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</si>
  <si>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</si>
  <si>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</si>
  <si>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</si>
  <si>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</si>
  <si>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</si>
  <si>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</si>
  <si>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</si>
  <si>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</si>
  <si>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</si>
  <si>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</si>
  <si>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</si>
  <si>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</si>
  <si>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</si>
  <si>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</si>
  <si>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</si>
  <si>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</si>
  <si>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</si>
  <si>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</si>
  <si>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</si>
  <si>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</si>
  <si>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</si>
  <si>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</si>
  <si>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</si>
  <si>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</si>
  <si>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</si>
  <si>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</si>
  <si>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</si>
  <si>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</si>
  <si>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</si>
  <si>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</si>
  <si>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</si>
  <si>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</si>
  <si>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</si>
  <si>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</si>
  <si>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</si>
  <si>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</si>
  <si>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</si>
  <si>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</si>
  <si>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</si>
  <si>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</si>
  <si>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</si>
  <si>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</si>
  <si>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</si>
  <si>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</si>
  <si>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</si>
  <si>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</si>
  <si>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</si>
  <si>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</si>
  <si>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</si>
  <si>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</si>
  <si>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</si>
  <si>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</si>
  <si>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</si>
  <si>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</si>
  <si>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</si>
  <si>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</si>
  <si>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</si>
  <si>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</si>
  <si>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</si>
  <si>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</si>
  <si>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</si>
  <si>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</si>
  <si>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</si>
  <si>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</si>
  <si>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</si>
  <si>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</si>
  <si>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</si>
  <si>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</si>
  <si>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</si>
  <si>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</si>
  <si>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</si>
  <si>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</si>
  <si>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</si>
  <si>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</si>
  <si>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</si>
  <si>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</si>
  <si>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</si>
  <si>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</si>
  <si>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</si>
  <si>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</si>
  <si>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</si>
  <si>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</si>
  <si>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</si>
  <si>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</si>
  <si>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</si>
  <si>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</si>
  <si>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</si>
  <si>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</si>
  <si>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</si>
  <si>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</si>
  <si>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</si>
  <si>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</si>
  <si>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</si>
  <si>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</si>
  <si>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</si>
  <si>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</si>
  <si>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</si>
  <si>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</si>
  <si>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</si>
  <si>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</si>
  <si>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</si>
  <si>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</si>
  <si>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</si>
  <si>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</si>
  <si>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</si>
  <si>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</si>
  <si>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</si>
  <si>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</si>
  <si>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</si>
  <si>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</si>
  <si>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</si>
  <si>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</si>
  <si>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</si>
  <si>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</si>
  <si>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</si>
  <si>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</si>
  <si>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</si>
  <si>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</si>
  <si>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</si>
  <si>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</si>
  <si>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</si>
  <si>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</si>
  <si>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</si>
  <si>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</si>
  <si>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</si>
  <si>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</si>
  <si>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</si>
  <si>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</si>
  <si>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</si>
  <si>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</si>
  <si>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</si>
  <si>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</si>
  <si>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</si>
  <si>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</si>
  <si>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</si>
  <si>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</si>
  <si>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</si>
  <si>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</si>
  <si>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</si>
  <si>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</si>
  <si>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</si>
  <si>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</si>
  <si>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</si>
  <si>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</si>
  <si>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</si>
  <si>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</si>
  <si>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</si>
  <si>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</si>
  <si>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</si>
  <si>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</si>
  <si>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</si>
  <si>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</si>
  <si>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</si>
  <si>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</si>
  <si>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</si>
  <si>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</si>
  <si>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</si>
  <si>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</si>
  <si>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</si>
  <si>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</si>
  <si>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</si>
  <si>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</si>
  <si>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</si>
  <si>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</si>
  <si>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</si>
  <si>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</si>
  <si>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</si>
  <si>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</si>
  <si>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</si>
  <si>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</si>
  <si>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</si>
  <si>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</si>
  <si>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</si>
  <si>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</si>
  <si>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</si>
  <si>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</si>
  <si>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</si>
  <si>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</si>
  <si>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</si>
  <si>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</si>
  <si>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</si>
  <si>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</si>
  <si>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</si>
  <si>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</si>
  <si>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</si>
  <si>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</si>
  <si>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</si>
  <si>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</si>
  <si>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</si>
  <si>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</si>
  <si>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</si>
  <si>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</si>
  <si>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</si>
  <si>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</si>
  <si>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</si>
  <si>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</si>
  <si>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</si>
  <si>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</si>
  <si>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</si>
  <si>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</si>
  <si>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</si>
  <si>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</si>
  <si>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</si>
  <si>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</si>
  <si>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</si>
  <si>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</si>
  <si>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</si>
  <si>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</si>
  <si>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</si>
  <si>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</si>
  <si>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</si>
  <si>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</si>
  <si>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</si>
  <si>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</si>
  <si>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</si>
  <si>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</si>
  <si>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</si>
  <si>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</si>
  <si>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</si>
  <si>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</si>
  <si>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</si>
  <si>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</si>
  <si>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</si>
  <si>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</si>
  <si>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</si>
  <si>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</si>
  <si>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</si>
  <si>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</si>
  <si>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</si>
  <si>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</si>
  <si>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</si>
  <si>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</si>
  <si>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</si>
  <si>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</si>
  <si>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</si>
  <si>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</si>
  <si>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</si>
  <si>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</si>
  <si>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</si>
  <si>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</si>
  <si>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</si>
  <si>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</si>
  <si>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</si>
  <si>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</si>
  <si>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</si>
  <si>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</si>
  <si>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</si>
  <si>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</si>
  <si>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</si>
  <si>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</si>
  <si>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</si>
  <si>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</si>
  <si>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</si>
  <si>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</si>
  <si>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</si>
  <si>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</si>
  <si>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</si>
  <si>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</si>
  <si>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</si>
  <si>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</si>
  <si>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</si>
  <si>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</si>
  <si>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</si>
  <si>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</si>
  <si>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</si>
  <si>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</si>
  <si>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</si>
  <si>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</si>
  <si>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</si>
  <si>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</si>
  <si>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</si>
  <si>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</si>
  <si>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</si>
  <si>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</si>
  <si>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</si>
  <si>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</si>
  <si>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</si>
  <si>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</si>
  <si>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</si>
  <si>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</si>
  <si>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</si>
  <si>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</si>
  <si>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</si>
  <si>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</si>
  <si>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</si>
  <si>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</si>
  <si>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</si>
  <si>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</si>
  <si>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</si>
  <si>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</si>
  <si>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</si>
  <si>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</si>
  <si>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</si>
  <si>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</si>
  <si>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</si>
  <si>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</si>
  <si>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</si>
  <si>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</si>
  <si>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</si>
  <si>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</si>
  <si>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</si>
  <si>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</si>
  <si>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</si>
  <si>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</si>
  <si>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</si>
  <si>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</si>
  <si>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</si>
  <si>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</si>
  <si>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</si>
  <si>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</si>
  <si>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</si>
  <si>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</si>
  <si>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</si>
  <si>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</si>
  <si>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</si>
  <si>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</si>
  <si>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</si>
  <si>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</si>
  <si>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</si>
  <si>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</si>
  <si>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</si>
  <si>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</si>
  <si>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</si>
  <si>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</si>
  <si>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</si>
  <si>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</si>
  <si>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</si>
  <si>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</si>
  <si>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</si>
  <si>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</si>
  <si>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</si>
  <si>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</si>
  <si>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</si>
  <si>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</si>
  <si>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</si>
  <si>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</si>
  <si>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</si>
  <si>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</si>
  <si>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</si>
  <si>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</si>
  <si>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</si>
  <si>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</si>
  <si>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</si>
  <si>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</si>
  <si>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</si>
  <si>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</si>
  <si>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</si>
  <si>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</si>
  <si>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</si>
  <si>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</si>
  <si>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</si>
  <si>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</si>
  <si>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</si>
  <si>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</si>
  <si>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</si>
  <si>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</si>
  <si>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</si>
  <si>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</si>
  <si>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</si>
  <si>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</si>
  <si>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</si>
  <si>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</si>
  <si>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</si>
  <si>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</si>
  <si>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</si>
  <si>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</si>
  <si>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</si>
  <si>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</si>
  <si>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</si>
  <si>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</si>
  <si>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</si>
  <si>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</si>
  <si>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</si>
  <si>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</si>
  <si>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</si>
  <si>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</si>
  <si>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</si>
  <si>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</si>
  <si>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</si>
  <si>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</si>
  <si>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</si>
  <si>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</si>
  <si>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</si>
  <si>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</si>
  <si>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</si>
  <si>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</si>
  <si>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</si>
  <si>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</si>
  <si>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</si>
  <si>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</si>
  <si>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</si>
  <si>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</si>
  <si>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</si>
  <si>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</si>
  <si>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</si>
  <si>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</si>
  <si>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</si>
  <si>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</si>
  <si>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</si>
  <si>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</si>
  <si>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</si>
  <si>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</si>
  <si>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</si>
  <si>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</si>
  <si>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</si>
  <si>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</si>
  <si>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</si>
  <si>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</si>
  <si>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</si>
  <si>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</si>
  <si>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</si>
  <si>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</si>
  <si>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</si>
  <si>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</si>
  <si>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</si>
  <si>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</si>
  <si>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</si>
  <si>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</si>
  <si>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</si>
  <si>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</si>
  <si>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</si>
  <si>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</si>
  <si>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</si>
  <si>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</si>
  <si>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</si>
  <si>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</si>
  <si>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</si>
  <si>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</si>
  <si>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</si>
  <si>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</si>
  <si>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</si>
  <si>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</si>
  <si>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</si>
  <si>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</si>
  <si>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</si>
  <si>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</si>
  <si>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</si>
  <si>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</si>
  <si>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</si>
  <si>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</si>
  <si>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</si>
  <si>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</si>
  <si>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</si>
  <si>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</si>
  <si>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</si>
  <si>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</si>
  <si>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</si>
  <si>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</si>
  <si>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</si>
  <si>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</si>
  <si>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</si>
  <si>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</si>
  <si>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</si>
  <si>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</si>
  <si>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</si>
  <si>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</si>
  <si>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</si>
  <si>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</si>
  <si>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</si>
  <si>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</si>
  <si>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</si>
  <si>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</si>
  <si>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</si>
  <si>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</si>
  <si>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</si>
  <si>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</si>
  <si>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</si>
  <si>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</si>
  <si>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</si>
  <si>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</si>
  <si>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</si>
  <si>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</si>
  <si>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</si>
  <si>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</si>
  <si>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</si>
  <si>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</si>
  <si>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</si>
  <si>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</si>
  <si>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</si>
  <si>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</si>
  <si>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</si>
  <si>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</si>
  <si>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</si>
  <si>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</si>
  <si>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</si>
  <si>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</si>
  <si>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</si>
  <si>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</si>
  <si>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</si>
  <si>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</si>
  <si>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</si>
  <si>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</si>
  <si>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</si>
  <si>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</si>
  <si>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</si>
  <si>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</si>
  <si>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</si>
  <si>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</si>
  <si>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</si>
  <si>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</si>
  <si>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</si>
  <si>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</si>
  <si>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</si>
  <si>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</si>
  <si>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</si>
  <si>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</si>
  <si>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</si>
  <si>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</si>
  <si>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</si>
  <si>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</si>
  <si>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</si>
  <si>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</si>
  <si>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</si>
  <si>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</si>
  <si>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</si>
  <si>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</si>
  <si>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</si>
  <si>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</si>
  <si>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</si>
  <si>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</si>
  <si>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</si>
  <si>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</si>
  <si>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</si>
  <si>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</si>
  <si>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</si>
  <si>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</si>
  <si>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</si>
  <si>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</si>
  <si>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</si>
  <si>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</si>
  <si>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</si>
  <si>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</si>
  <si>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</si>
  <si>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</si>
  <si>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</si>
  <si>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</si>
  <si>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</si>
  <si>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</si>
  <si>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</si>
  <si>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</si>
  <si>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</si>
  <si>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</si>
  <si>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</si>
  <si>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</si>
  <si>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</si>
  <si>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</si>
  <si>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</si>
  <si>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</si>
  <si>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</si>
  <si>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</si>
  <si>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</si>
  <si>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</si>
  <si>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</si>
  <si>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</si>
  <si>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</si>
  <si>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</si>
  <si>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</si>
  <si>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</si>
  <si>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</si>
  <si>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</si>
  <si>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</si>
  <si>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</si>
  <si>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</si>
  <si>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</si>
  <si>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</si>
  <si>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</si>
  <si>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</si>
  <si>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</si>
  <si>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</si>
  <si>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</si>
  <si>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</si>
  <si>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</si>
  <si>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</si>
  <si>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</si>
  <si>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</si>
  <si>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</si>
  <si>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</si>
  <si>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</si>
  <si>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</si>
  <si>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</si>
  <si>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</si>
  <si>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</si>
  <si>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</si>
  <si>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</si>
  <si>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</si>
  <si>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</si>
  <si>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</si>
  <si>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</si>
  <si>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</si>
  <si>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</si>
  <si>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</si>
  <si>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</si>
  <si>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</si>
  <si>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</si>
  <si>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</si>
  <si>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</si>
  <si>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</si>
  <si>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</si>
  <si>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</si>
  <si>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</si>
  <si>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</si>
  <si>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</si>
  <si>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</si>
  <si>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</si>
  <si>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</si>
  <si>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</si>
  <si>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</si>
  <si>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</si>
  <si>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</si>
  <si>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</si>
  <si>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</si>
  <si>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</si>
  <si>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</si>
  <si>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</si>
  <si>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</si>
  <si>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</si>
  <si>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</si>
  <si>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</si>
  <si>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</si>
  <si>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</si>
  <si>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</si>
  <si>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</si>
  <si>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</si>
  <si>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</si>
  <si>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</si>
  <si>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</si>
  <si>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</si>
  <si>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</si>
  <si>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</si>
  <si>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</si>
  <si>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</si>
  <si>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</si>
  <si>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</si>
  <si>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</si>
  <si>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</si>
  <si>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</si>
  <si>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</si>
  <si>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</si>
  <si>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</si>
  <si>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</si>
  <si>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</si>
  <si>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</si>
  <si>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</si>
  <si>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</si>
  <si>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</si>
  <si>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</si>
  <si>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</si>
  <si>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</si>
  <si>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</si>
  <si>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</si>
  <si>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</si>
  <si>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</si>
  <si>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</si>
  <si>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</si>
  <si>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</si>
  <si>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</si>
  <si>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</si>
  <si>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</si>
  <si>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</si>
  <si>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</si>
  <si>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</si>
  <si>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</si>
  <si>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</si>
  <si>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</si>
  <si>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</si>
  <si>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</si>
  <si>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</si>
  <si>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</si>
  <si>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</si>
  <si>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</si>
  <si>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</si>
  <si>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</si>
  <si>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</si>
  <si>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</si>
  <si>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</si>
  <si>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</si>
  <si>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</si>
  <si>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</si>
  <si>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</si>
  <si>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</si>
  <si>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</si>
  <si>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</si>
  <si>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</si>
  <si>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</si>
  <si>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</si>
  <si>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</si>
  <si>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</si>
  <si>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</si>
  <si>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</si>
  <si>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</si>
  <si>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</si>
  <si>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</si>
  <si>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</si>
  <si>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</si>
  <si>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</si>
  <si>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</si>
  <si>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</si>
  <si>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</si>
  <si>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</si>
  <si>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</si>
  <si>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</si>
  <si>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</si>
  <si>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</si>
  <si>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</si>
  <si>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</si>
  <si>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</si>
  <si>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</si>
  <si>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</si>
  <si>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</si>
  <si>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</si>
  <si>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</si>
  <si>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</si>
  <si>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</si>
  <si>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</si>
  <si>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</si>
  <si>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</si>
  <si>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</si>
  <si>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</si>
  <si>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</si>
  <si>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</si>
  <si>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</si>
  <si>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</si>
  <si>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</si>
  <si>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</si>
  <si>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</si>
  <si>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</si>
  <si>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</si>
  <si>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</si>
  <si>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</si>
  <si>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</si>
  <si>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</si>
  <si>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</si>
  <si>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</si>
  <si>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</si>
  <si>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</si>
  <si>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</si>
  <si>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</si>
  <si>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</si>
  <si>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</si>
  <si>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</si>
  <si>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</si>
  <si>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</si>
  <si>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</si>
  <si>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</si>
  <si>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</si>
  <si>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</si>
  <si>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</si>
  <si>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</si>
  <si>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</si>
  <si>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</si>
  <si>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</si>
  <si>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</si>
  <si>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</si>
  <si>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</si>
  <si>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</si>
  <si>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</si>
  <si>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</si>
  <si>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</si>
  <si>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</si>
  <si>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</si>
  <si>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</si>
  <si>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</si>
  <si>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</si>
  <si>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</si>
  <si>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</si>
  <si>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</si>
  <si>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</si>
  <si>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</si>
  <si>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</si>
  <si>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</si>
  <si>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</si>
  <si>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</si>
  <si>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</si>
  <si>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</si>
  <si>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</si>
  <si>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</si>
  <si>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</si>
  <si>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</si>
  <si>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</si>
  <si>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</si>
  <si>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</si>
  <si>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</si>
  <si>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</si>
  <si>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</si>
  <si>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</si>
  <si>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</si>
  <si>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</si>
  <si>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</si>
  <si>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</si>
  <si>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</si>
  <si>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</si>
  <si>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</si>
  <si>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</si>
  <si>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</si>
  <si>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</si>
  <si>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</si>
  <si>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</si>
  <si>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</si>
  <si>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</si>
  <si>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</si>
  <si>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</si>
  <si>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</si>
  <si>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</si>
  <si>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</si>
  <si>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</si>
  <si>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</si>
  <si>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</si>
  <si>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</si>
  <si>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</si>
  <si>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</si>
  <si>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</si>
  <si>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</si>
  <si>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</si>
  <si>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</si>
  <si>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</si>
  <si>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</si>
  <si>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</si>
  <si>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</si>
  <si>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</si>
  <si>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</si>
  <si>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</si>
  <si>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</si>
  <si>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</si>
  <si>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</si>
  <si>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</si>
  <si>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</si>
  <si>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</si>
  <si>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</si>
  <si>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</si>
  <si>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</si>
  <si>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</si>
  <si>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</si>
  <si>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</si>
  <si>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</si>
  <si>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</si>
  <si>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</si>
  <si>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</si>
  <si>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</si>
  <si>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</si>
  <si>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</si>
  <si>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</si>
  <si>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</si>
  <si>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</si>
  <si>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</si>
  <si>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</si>
  <si>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</si>
  <si>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</si>
  <si>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</si>
  <si>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</si>
  <si>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</si>
  <si>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</si>
  <si>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</si>
  <si>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</si>
  <si>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</si>
  <si>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</si>
  <si>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</si>
  <si>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</si>
  <si>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</si>
  <si>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</si>
  <si>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</si>
  <si>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</si>
  <si>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</si>
  <si>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</si>
  <si>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</si>
  <si>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</si>
  <si>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</si>
  <si>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</si>
  <si>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</si>
  <si>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</si>
  <si>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</si>
  <si>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</si>
  <si>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</si>
  <si>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</si>
  <si>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</si>
  <si>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</si>
  <si>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</si>
  <si>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</si>
  <si>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</si>
  <si>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</si>
  <si>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</si>
  <si>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</si>
  <si>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</si>
  <si>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</si>
  <si>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</si>
  <si>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</si>
  <si>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</si>
  <si>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</si>
  <si>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</si>
  <si>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</si>
  <si>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</si>
  <si>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</si>
  <si>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</si>
  <si>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</si>
  <si>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</si>
  <si>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</si>
  <si>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</si>
  <si>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</si>
  <si>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</si>
  <si>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</si>
  <si>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</si>
  <si>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</si>
  <si>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</si>
  <si>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</si>
  <si>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</si>
  <si>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</si>
  <si>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</si>
  <si>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</si>
  <si>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</si>
  <si>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</si>
  <si>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</si>
  <si>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</si>
  <si>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</si>
  <si>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</si>
  <si>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</si>
  <si>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</si>
  <si>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</si>
  <si>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</si>
  <si>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</si>
  <si>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</si>
  <si>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</si>
  <si>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</si>
  <si>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</si>
  <si>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</si>
  <si>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</si>
  <si>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</si>
  <si>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</si>
  <si>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</si>
  <si>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</si>
  <si>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</si>
  <si>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</si>
  <si>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</si>
  <si>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</si>
  <si>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</si>
  <si>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</si>
  <si>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</si>
  <si>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</si>
  <si>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</si>
  <si>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</si>
  <si>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</si>
  <si>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</si>
  <si>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</si>
  <si>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</si>
  <si>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</si>
  <si>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</si>
  <si>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</si>
  <si>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</si>
  <si>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</si>
  <si>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</si>
  <si>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</si>
  <si>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</si>
  <si>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</si>
  <si>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</si>
  <si>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</si>
  <si>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</si>
  <si>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</si>
  <si>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</si>
  <si>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</si>
  <si>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</si>
  <si>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</si>
  <si>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</si>
  <si>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</si>
  <si>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</si>
  <si>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</si>
  <si>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</si>
  <si>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</si>
  <si>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</si>
  <si>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</si>
  <si>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</si>
  <si>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</si>
  <si>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</si>
  <si>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</si>
  <si>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</si>
  <si>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</si>
  <si>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</si>
  <si>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</si>
  <si>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</si>
  <si>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</si>
  <si>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</si>
  <si>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</si>
  <si>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</si>
  <si>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</si>
  <si>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</si>
  <si>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</si>
  <si>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</si>
  <si>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</si>
  <si>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</si>
  <si>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</si>
  <si>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</si>
  <si>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</si>
  <si>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</si>
  <si>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</si>
  <si>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</si>
  <si>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</si>
  <si>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</si>
  <si>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</si>
  <si>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</si>
  <si>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</si>
  <si>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</si>
  <si>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</si>
  <si>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</si>
  <si>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</si>
  <si>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</si>
  <si>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</si>
  <si>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</si>
  <si>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</si>
  <si>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</si>
  <si>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</si>
  <si>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</si>
  <si>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</si>
  <si>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</si>
  <si>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</si>
  <si>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</si>
  <si>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</si>
  <si>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</si>
  <si>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</si>
  <si>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</si>
  <si>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</si>
  <si>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</si>
  <si>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</si>
  <si>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</si>
  <si>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</si>
  <si>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</si>
  <si>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</si>
  <si>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</si>
  <si>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</si>
  <si>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</si>
  <si>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</si>
  <si>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</si>
  <si>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</si>
  <si>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</si>
  <si>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</si>
  <si>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</si>
  <si>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</si>
  <si>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</si>
  <si>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</si>
  <si>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</si>
  <si>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</si>
  <si>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</si>
  <si>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</si>
  <si>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</si>
  <si>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</si>
  <si>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</si>
  <si>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</si>
  <si>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</si>
  <si>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</si>
  <si>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</si>
  <si>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</si>
  <si>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</si>
  <si>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</si>
  <si>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</si>
  <si>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</si>
  <si>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</si>
  <si>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</si>
  <si>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</si>
  <si>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</si>
  <si>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</si>
  <si>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</si>
  <si>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</si>
  <si>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</si>
  <si>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</si>
  <si>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</si>
  <si>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</si>
  <si>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</si>
  <si>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</si>
  <si>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</si>
  <si>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</si>
  <si>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</si>
  <si>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</si>
  <si>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</si>
  <si>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</si>
  <si>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</si>
  <si>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</si>
  <si>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</si>
  <si>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</si>
  <si>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</si>
  <si>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</si>
  <si>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</si>
  <si>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</si>
  <si>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</si>
  <si>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</si>
  <si>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</si>
  <si>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</si>
  <si>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</si>
  <si>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</si>
  <si>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</si>
  <si>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</si>
  <si>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</si>
  <si>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</si>
  <si>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</si>
  <si>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</si>
  <si>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</si>
  <si>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</si>
  <si>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</si>
  <si>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</si>
  <si>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</si>
  <si>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</si>
  <si>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</si>
  <si>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</si>
  <si>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</si>
  <si>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</si>
  <si>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</si>
  <si>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</si>
  <si>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</si>
  <si>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</si>
  <si>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</si>
  <si>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</si>
  <si>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</si>
  <si>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</si>
  <si>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</si>
  <si>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</si>
  <si>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</si>
  <si>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</si>
  <si>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</si>
  <si>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</si>
  <si>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</si>
  <si>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</si>
  <si>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</si>
  <si>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</si>
  <si>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</si>
  <si>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</si>
  <si>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</si>
  <si>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</si>
  <si>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</si>
  <si>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</si>
  <si>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</si>
  <si>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</si>
  <si>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</si>
  <si>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</si>
  <si>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</si>
  <si>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</si>
  <si>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</si>
  <si>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</si>
  <si>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</si>
  <si>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</si>
  <si>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</si>
  <si>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</si>
  <si>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</si>
  <si>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</si>
  <si>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</si>
  <si>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</si>
  <si>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</si>
  <si>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</si>
  <si>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</si>
  <si>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</si>
  <si>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</si>
  <si>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</si>
  <si>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</si>
  <si>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</si>
  <si>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</si>
  <si>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</si>
  <si>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</si>
  <si>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</si>
  <si>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</si>
  <si>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</si>
  <si>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</si>
  <si>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</si>
  <si>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</si>
  <si>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</si>
  <si>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</si>
  <si>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</si>
  <si>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</si>
  <si>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</si>
  <si>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</si>
  <si>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</si>
  <si>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</si>
  <si>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</si>
  <si>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</si>
  <si>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</si>
  <si>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</si>
  <si>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</si>
  <si>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</si>
  <si>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</si>
  <si>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</si>
  <si>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</si>
  <si>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</si>
  <si>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</si>
  <si>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</si>
  <si>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</si>
  <si>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</si>
  <si>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</si>
  <si>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</si>
  <si>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</si>
  <si>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</si>
  <si>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</si>
  <si>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</si>
  <si>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</si>
  <si>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</si>
  <si>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</si>
  <si>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</si>
  <si>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</si>
  <si>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</si>
  <si>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</si>
  <si>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</si>
  <si>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</si>
  <si>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</si>
  <si>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</si>
  <si>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</si>
  <si>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</si>
  <si>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</si>
  <si>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</si>
  <si>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</si>
  <si>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</si>
  <si>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</si>
  <si>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</si>
  <si>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</si>
  <si>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</si>
  <si>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</si>
  <si>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</si>
  <si>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</si>
  <si>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</si>
  <si>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</si>
  <si>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</si>
  <si>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</si>
  <si>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</si>
  <si>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</si>
  <si>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</si>
  <si>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</si>
  <si>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</si>
  <si>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</si>
  <si>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</si>
  <si>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</si>
  <si>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</si>
  <si>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</si>
  <si>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</si>
  <si>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</si>
  <si>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</si>
  <si>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</si>
  <si>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</si>
  <si>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</si>
  <si>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</si>
  <si>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</si>
  <si>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</si>
  <si>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</si>
  <si>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</si>
  <si>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</si>
  <si>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</si>
  <si>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</si>
  <si>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</si>
  <si>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</si>
  <si>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</si>
  <si>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</si>
  <si>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</si>
  <si>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</si>
  <si>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</si>
  <si>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</si>
  <si>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</si>
  <si>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</si>
  <si>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</si>
  <si>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</si>
  <si>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</si>
  <si>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</si>
  <si>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</si>
  <si>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</si>
  <si>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</si>
  <si>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</si>
  <si>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</si>
  <si>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</si>
  <si>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</si>
  <si>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</si>
  <si>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</si>
  <si>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</si>
  <si>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</si>
  <si>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</si>
  <si>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</si>
  <si>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</si>
  <si>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</si>
  <si>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</si>
  <si>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</si>
  <si>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</si>
  <si>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</si>
  <si>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</si>
  <si>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</si>
  <si>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</si>
  <si>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</si>
  <si>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</si>
  <si>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</si>
  <si>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</si>
  <si>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</si>
  <si>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</si>
  <si>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</si>
  <si>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</si>
  <si>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</si>
  <si>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</si>
  <si>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</si>
  <si>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</si>
  <si>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</si>
  <si>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</si>
  <si>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</si>
  <si>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</si>
  <si>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</si>
  <si>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</si>
  <si>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</si>
  <si>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</si>
  <si>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</si>
  <si>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</si>
  <si>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</si>
  <si>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</si>
  <si>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</si>
  <si>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</si>
  <si>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</si>
  <si>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</si>
  <si>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</si>
  <si>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</si>
  <si>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</si>
  <si>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</si>
  <si>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</si>
  <si>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</si>
  <si>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</si>
  <si>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</si>
  <si>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</si>
  <si>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</si>
  <si>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</si>
  <si>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</si>
  <si>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</si>
  <si>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</si>
  <si>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</si>
  <si>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</si>
  <si>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</si>
  <si>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</si>
  <si>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</si>
  <si>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</si>
  <si>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</si>
  <si>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</si>
  <si>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</si>
  <si>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</si>
  <si>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</si>
  <si>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</si>
  <si>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</si>
  <si>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</si>
  <si>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</si>
  <si>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</si>
  <si>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</si>
  <si>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</si>
  <si>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</si>
  <si>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</si>
  <si>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</si>
  <si>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</si>
  <si>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</si>
  <si>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</si>
  <si>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</si>
  <si>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</si>
  <si>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</si>
  <si>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</si>
  <si>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</si>
  <si>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</si>
  <si>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</si>
  <si>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</si>
  <si>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</si>
  <si>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</si>
  <si>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</si>
  <si>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</si>
  <si>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</si>
  <si>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</si>
  <si>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</si>
  <si>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</si>
  <si>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</si>
  <si>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</si>
  <si>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</si>
  <si>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</si>
  <si>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</si>
  <si>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</si>
  <si>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</si>
  <si>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</si>
  <si>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</si>
  <si>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</si>
  <si>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</si>
  <si>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</si>
  <si>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</si>
  <si>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</si>
  <si>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</si>
  <si>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</si>
  <si>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</si>
  <si>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</si>
  <si>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</si>
  <si>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</si>
  <si>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</si>
  <si>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</si>
  <si>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</si>
  <si>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</si>
  <si>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</si>
  <si>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</si>
  <si>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</si>
  <si>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</si>
  <si>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</si>
  <si>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</si>
  <si>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</si>
  <si>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</si>
  <si>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</si>
  <si>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</si>
  <si>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</si>
  <si>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</si>
  <si>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</si>
  <si>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</si>
  <si>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</si>
  <si>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</si>
  <si>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</si>
  <si>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</si>
  <si>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</si>
  <si>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</si>
  <si>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</si>
  <si>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</si>
  <si>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</si>
  <si>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</si>
  <si>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</si>
  <si>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</si>
  <si>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</si>
  <si>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</si>
  <si>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</si>
  <si>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</si>
  <si>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</si>
  <si>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</si>
  <si>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</si>
  <si>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</si>
  <si>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</si>
  <si>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</si>
  <si>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</si>
  <si>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</si>
  <si>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</si>
  <si>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</si>
  <si>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</si>
  <si>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</si>
  <si>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</si>
  <si>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</si>
  <si>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</si>
  <si>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</si>
  <si>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</si>
  <si>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</si>
  <si>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</si>
  <si>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</si>
  <si>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</si>
  <si>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</si>
  <si>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</si>
  <si>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</si>
  <si>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</si>
  <si>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</si>
  <si>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</si>
  <si>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</si>
  <si>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</si>
  <si>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</si>
  <si>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</si>
  <si>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</si>
  <si>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</si>
  <si>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</si>
  <si>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</si>
  <si>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</si>
  <si>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</si>
  <si>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</si>
  <si>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</si>
  <si>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</si>
  <si>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</si>
  <si>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</si>
  <si>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</si>
  <si>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</si>
  <si>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</si>
  <si>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</si>
  <si>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</si>
  <si>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</si>
  <si>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</si>
  <si>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</si>
  <si>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</si>
  <si>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</si>
  <si>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</si>
  <si>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</si>
  <si>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</si>
  <si>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</si>
  <si>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</si>
  <si>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</si>
  <si>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</si>
  <si>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</si>
  <si>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</si>
  <si>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</si>
  <si>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</si>
  <si>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</si>
  <si>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</si>
  <si>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</si>
  <si>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</si>
  <si>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</si>
  <si>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</si>
  <si>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</si>
  <si>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</si>
  <si>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</si>
  <si>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</si>
  <si>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</si>
  <si>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</si>
  <si>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</si>
  <si>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</si>
  <si>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</si>
  <si>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</si>
  <si>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</si>
  <si>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</si>
  <si>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</si>
  <si>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</si>
  <si>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</si>
  <si>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</si>
  <si>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</si>
  <si>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</si>
  <si>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</si>
  <si>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</si>
  <si>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</si>
  <si>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</si>
  <si>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</si>
  <si>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</si>
  <si>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</si>
  <si>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</si>
  <si>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</si>
  <si>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</si>
  <si>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</si>
  <si>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</si>
  <si>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</si>
  <si>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</si>
  <si>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</si>
  <si>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</si>
  <si>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</si>
  <si>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</si>
  <si>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</si>
  <si>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</si>
  <si>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</si>
  <si>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</si>
  <si>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</si>
  <si>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</si>
  <si>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</si>
  <si>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</si>
  <si>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</si>
  <si>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</si>
  <si>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</si>
  <si>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</si>
  <si>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</si>
  <si>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</si>
  <si>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</si>
  <si>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</si>
  <si>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</si>
  <si>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</si>
  <si>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</si>
  <si>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</si>
  <si>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</si>
  <si>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</si>
  <si>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</si>
  <si>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</si>
  <si>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</si>
  <si>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</si>
  <si>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</si>
  <si>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</si>
  <si>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</si>
  <si>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</si>
  <si>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</si>
  <si>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</si>
  <si>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</si>
  <si>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</si>
  <si>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</si>
  <si>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</si>
  <si>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</si>
  <si>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</si>
  <si>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</si>
  <si>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</si>
  <si>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</si>
  <si>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</si>
  <si>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</si>
  <si>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</si>
  <si>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</si>
  <si>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</si>
  <si>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</si>
  <si>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</si>
  <si>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</si>
  <si>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</si>
  <si>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</si>
  <si>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</si>
  <si>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</si>
  <si>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</si>
  <si>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</si>
  <si>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</si>
  <si>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</si>
  <si>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</si>
  <si>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</si>
  <si>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</si>
  <si>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</si>
  <si>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</si>
  <si>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</si>
  <si>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</si>
  <si>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</si>
  <si>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</si>
  <si>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</si>
  <si>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</si>
  <si>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</si>
  <si>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</si>
  <si>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</si>
  <si>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</si>
  <si>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</si>
  <si>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</si>
  <si>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</si>
  <si>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</si>
  <si>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</si>
  <si>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</si>
  <si>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</si>
  <si>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</si>
  <si>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</si>
  <si>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</si>
  <si>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</si>
  <si>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</si>
  <si>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</si>
  <si>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</si>
  <si>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</si>
  <si>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</si>
  <si>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</si>
  <si>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</si>
  <si>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</si>
  <si>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</si>
  <si>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</si>
  <si>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</si>
  <si>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</si>
  <si>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</si>
  <si>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</si>
  <si>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</si>
  <si>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</si>
  <si>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</si>
  <si>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</si>
  <si>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</si>
  <si>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</si>
  <si>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</si>
  <si>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</si>
  <si>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</si>
  <si>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</si>
  <si>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</si>
  <si>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</si>
  <si>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</si>
  <si>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</si>
  <si>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</si>
  <si>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</si>
  <si>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</si>
  <si>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</si>
  <si>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</si>
  <si>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</si>
  <si>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</si>
  <si>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</si>
  <si>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</si>
  <si>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</si>
  <si>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</si>
  <si>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</si>
  <si>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</si>
  <si>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</si>
  <si>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</si>
  <si>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</si>
  <si>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</si>
  <si>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</si>
  <si>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</si>
  <si>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</si>
  <si>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</si>
  <si>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</si>
  <si>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</si>
  <si>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</si>
  <si>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</si>
  <si>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</si>
  <si>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</si>
  <si>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</si>
  <si>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</si>
  <si>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</si>
  <si>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</si>
  <si>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</si>
  <si>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</si>
  <si>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</si>
  <si>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</si>
  <si>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</si>
  <si>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</si>
  <si>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</si>
  <si>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</si>
  <si>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</si>
  <si>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</si>
  <si>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</si>
  <si>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</si>
  <si>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</si>
  <si>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</si>
  <si>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</si>
  <si>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</si>
  <si>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</si>
  <si>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</si>
  <si>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</si>
  <si>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</si>
  <si>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</si>
  <si>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</si>
  <si>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</si>
  <si>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</si>
  <si>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</si>
  <si>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</si>
  <si>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</si>
  <si>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</si>
  <si>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</si>
  <si>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</si>
  <si>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</si>
  <si>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</si>
  <si>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</si>
  <si>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</si>
  <si>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</si>
  <si>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</si>
  <si>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</si>
  <si>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</si>
  <si>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</si>
  <si>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</si>
  <si>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</si>
  <si>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</si>
  <si>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</si>
  <si>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</si>
  <si>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</si>
  <si>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</si>
  <si>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</si>
  <si>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</si>
  <si>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</si>
  <si>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</si>
  <si>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</si>
  <si>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</si>
  <si>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</si>
  <si>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</si>
  <si>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</si>
  <si>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</si>
  <si>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</si>
  <si>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</si>
  <si>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</si>
  <si>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</si>
  <si>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</si>
  <si>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</si>
  <si>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</si>
  <si>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</si>
  <si>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</si>
  <si>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</si>
  <si>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</si>
  <si>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</si>
  <si>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</si>
  <si>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</si>
  <si>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</si>
  <si>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</si>
  <si>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</si>
  <si>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</si>
  <si>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</si>
  <si>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</si>
  <si>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</si>
  <si>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</si>
  <si>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</si>
  <si>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</si>
  <si>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</si>
  <si>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</si>
  <si>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</si>
  <si>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</si>
  <si>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</si>
  <si>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</si>
  <si>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</si>
  <si>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</si>
  <si>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</si>
  <si>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</si>
  <si>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</si>
  <si>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</si>
  <si>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</si>
  <si>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</si>
  <si>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</si>
  <si>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</si>
  <si>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</si>
  <si>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</si>
  <si>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</si>
  <si>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</si>
  <si>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</si>
  <si>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</si>
  <si>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</si>
  <si>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</si>
  <si>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</si>
  <si>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</si>
  <si>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</si>
  <si>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</si>
  <si>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</si>
  <si>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</si>
  <si>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</si>
  <si>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</si>
  <si>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</si>
  <si>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</si>
  <si>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</si>
  <si>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</si>
  <si>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</si>
  <si>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</si>
  <si>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</si>
  <si>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</si>
  <si>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</si>
  <si>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</si>
  <si>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</si>
  <si>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</si>
  <si>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</si>
  <si>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</si>
  <si>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</si>
  <si>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</si>
  <si>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</si>
  <si>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</si>
  <si>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</si>
  <si>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</si>
  <si>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</si>
  <si>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</si>
  <si>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</si>
  <si>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</si>
  <si>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</si>
  <si>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</si>
  <si>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</si>
  <si>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</si>
  <si>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</si>
  <si>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</si>
  <si>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</si>
  <si>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</si>
  <si>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</si>
  <si>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</si>
  <si>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</si>
  <si>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</si>
  <si>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</si>
  <si>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</si>
  <si>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</si>
  <si>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</si>
  <si>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</si>
  <si>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</si>
  <si>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</si>
  <si>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</si>
  <si>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</si>
  <si>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</si>
  <si>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</si>
  <si>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</si>
  <si>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</si>
  <si>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</si>
  <si>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</si>
  <si>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</si>
  <si>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</si>
  <si>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</si>
  <si>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</si>
  <si>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</si>
  <si>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</si>
  <si>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</si>
  <si>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</si>
  <si>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</si>
  <si>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</si>
  <si>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</si>
  <si>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</si>
  <si>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</si>
  <si>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</si>
  <si>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</si>
  <si>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</si>
  <si>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</si>
  <si>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</si>
  <si>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</si>
  <si>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</si>
  <si>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</si>
  <si>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</si>
  <si>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</si>
  <si>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</si>
  <si>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</si>
  <si>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</si>
  <si>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</si>
  <si>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</si>
  <si>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</si>
  <si>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</si>
  <si>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</si>
  <si>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</si>
  <si>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</si>
  <si>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</si>
  <si>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</si>
  <si>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</si>
  <si>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</si>
  <si>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</si>
  <si>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</si>
  <si>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</si>
  <si>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</si>
  <si>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</si>
  <si>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</si>
  <si>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</si>
  <si>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</si>
  <si>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</si>
  <si>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</si>
  <si>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</si>
  <si>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</si>
  <si>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</si>
  <si>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</si>
  <si>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</si>
  <si>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</si>
  <si>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</si>
  <si>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</si>
  <si>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</si>
  <si>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</si>
  <si>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</si>
  <si>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</si>
  <si>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</si>
  <si>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</si>
  <si>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</si>
  <si>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</si>
  <si>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</si>
  <si>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</si>
  <si>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</si>
  <si>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</si>
  <si>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</si>
  <si>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</si>
  <si>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</si>
  <si>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</si>
  <si>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</si>
  <si>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</si>
  <si>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</si>
  <si>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</si>
  <si>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</si>
  <si>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</si>
  <si>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</si>
  <si>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</si>
  <si>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</si>
  <si>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</si>
  <si>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</si>
  <si>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</si>
  <si>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</si>
  <si>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</si>
  <si>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</si>
  <si>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</si>
  <si>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</si>
  <si>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</si>
  <si>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</si>
  <si>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</si>
  <si>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</si>
  <si>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</si>
  <si>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</si>
  <si>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</si>
  <si>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</si>
  <si>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</si>
  <si>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</si>
  <si>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</si>
  <si>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</si>
  <si>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</si>
  <si>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</si>
  <si>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</si>
  <si>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</si>
  <si>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</si>
  <si>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</si>
  <si>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</si>
  <si>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</si>
  <si>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</si>
  <si>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</si>
  <si>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</si>
  <si>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</si>
  <si>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</si>
  <si>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</si>
  <si>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</si>
  <si>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</si>
  <si>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</si>
  <si>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</si>
  <si>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</si>
  <si>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</si>
  <si>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</si>
  <si>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</si>
  <si>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</si>
  <si>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</si>
  <si>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</si>
  <si>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</si>
  <si>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</si>
  <si>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</si>
  <si>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</si>
  <si>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</si>
  <si>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</si>
  <si>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</si>
  <si>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</si>
  <si>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</si>
  <si>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</si>
  <si>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</si>
  <si>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</si>
  <si>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</si>
  <si>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</si>
  <si>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</si>
  <si>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</si>
  <si>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</si>
  <si>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</si>
  <si>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</si>
  <si>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</si>
  <si>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</si>
  <si>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</si>
  <si>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</si>
  <si>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</si>
  <si>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</si>
  <si>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</si>
  <si>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</si>
  <si>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</si>
  <si>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</si>
  <si>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</si>
  <si>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</si>
  <si>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</si>
  <si>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</si>
  <si>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</si>
  <si>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</si>
  <si>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</si>
  <si>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</si>
  <si>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</si>
  <si>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</si>
  <si>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</si>
  <si>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</si>
  <si>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</si>
  <si>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</si>
  <si>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</si>
  <si>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</si>
  <si>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</si>
  <si>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</si>
  <si>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</si>
  <si>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</si>
  <si>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</si>
  <si>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</si>
  <si>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</si>
  <si>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</si>
  <si>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</si>
  <si>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</si>
  <si>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</si>
  <si>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</si>
  <si>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</si>
  <si>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</si>
  <si>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</si>
  <si>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</si>
  <si>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</si>
  <si>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</si>
  <si>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</si>
  <si>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</si>
  <si>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</si>
  <si>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</si>
  <si>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</si>
  <si>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</si>
  <si>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</si>
  <si>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</si>
  <si>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</si>
  <si>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</si>
  <si>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</si>
  <si>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</si>
  <si>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</si>
  <si>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</si>
  <si>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</si>
  <si>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</si>
  <si>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</si>
  <si>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</si>
  <si>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</si>
  <si>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</si>
  <si>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</si>
  <si>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</si>
  <si>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</si>
  <si>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</si>
  <si>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</si>
  <si>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</si>
  <si>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</si>
  <si>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</si>
  <si>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</si>
  <si>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</si>
  <si>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</si>
  <si>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</si>
  <si>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</si>
  <si>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</si>
  <si>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</si>
  <si>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</si>
  <si>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</si>
  <si>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</si>
  <si>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</si>
  <si>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</si>
  <si>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</si>
  <si>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</si>
  <si>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</si>
  <si>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</si>
  <si>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</si>
  <si>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</si>
  <si>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</si>
  <si>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</si>
  <si>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</si>
  <si>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</si>
  <si>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</si>
  <si>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</si>
  <si>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</si>
  <si>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</si>
  <si>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</si>
  <si>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</si>
  <si>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</si>
  <si>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</si>
  <si>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</si>
  <si>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</si>
  <si>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</si>
  <si>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</si>
  <si>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</si>
  <si>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</si>
  <si>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</si>
  <si>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</si>
  <si>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</si>
  <si>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</si>
  <si>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</si>
  <si>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</si>
  <si>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</si>
  <si>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</si>
  <si>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</si>
  <si>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</si>
  <si>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</si>
  <si>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</si>
  <si>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</si>
  <si>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</si>
  <si>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</si>
  <si>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</si>
  <si>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</si>
  <si>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</si>
  <si>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</si>
  <si>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</si>
  <si>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</si>
  <si>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</si>
  <si>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</si>
  <si>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</si>
  <si>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</si>
  <si>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</si>
  <si>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</si>
  <si>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</si>
  <si>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</si>
  <si>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</si>
  <si>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</si>
  <si>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</si>
  <si>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</si>
  <si>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</si>
  <si>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</si>
  <si>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</si>
  <si>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</si>
  <si>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</si>
  <si>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</si>
  <si>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</si>
  <si>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</si>
  <si>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</si>
  <si>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</si>
  <si>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</si>
  <si>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</si>
  <si>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</si>
  <si>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</si>
  <si>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</si>
  <si>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</si>
  <si>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</si>
  <si>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</si>
  <si>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</si>
  <si>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</si>
  <si>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</si>
  <si>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</si>
  <si>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</si>
  <si>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</si>
  <si>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</si>
  <si>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</si>
  <si>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</si>
  <si>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</si>
  <si>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</si>
  <si>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</si>
  <si>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</si>
  <si>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</si>
  <si>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</si>
  <si>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</si>
  <si>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</si>
  <si>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</si>
  <si>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</si>
  <si>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</si>
  <si>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</si>
  <si>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</si>
  <si>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</si>
  <si>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</si>
  <si>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</si>
  <si>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</si>
  <si>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</si>
  <si>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</si>
  <si>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</si>
  <si>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</si>
  <si>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</si>
  <si>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</si>
  <si>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</si>
  <si>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</si>
  <si>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</si>
  <si>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</si>
  <si>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</si>
  <si>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</si>
  <si>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</si>
  <si>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</si>
  <si>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</si>
  <si>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</si>
  <si>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</si>
  <si>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</si>
  <si>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</si>
  <si>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</si>
  <si>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</si>
  <si>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</si>
  <si>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</si>
  <si>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</si>
  <si>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</si>
  <si>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</si>
  <si>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</si>
  <si>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</si>
  <si>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</si>
  <si>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</si>
  <si>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</si>
  <si>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</si>
  <si>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</si>
  <si>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</si>
  <si>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</si>
  <si>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</si>
  <si>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</si>
  <si>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</si>
  <si>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</si>
  <si>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</si>
  <si>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</si>
  <si>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</si>
  <si>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</si>
  <si>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</si>
  <si>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</si>
  <si>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</si>
  <si>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</si>
  <si>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</si>
  <si>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</si>
  <si>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</si>
  <si>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</si>
  <si>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</si>
  <si>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</si>
  <si>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</si>
  <si>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</si>
  <si>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</si>
  <si>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</si>
  <si>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</si>
  <si>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</si>
  <si>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</si>
  <si>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</si>
  <si>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</si>
  <si>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</si>
  <si>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</si>
  <si>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</si>
  <si>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</si>
  <si>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</si>
  <si>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</si>
  <si>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</si>
  <si>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</si>
  <si>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</si>
  <si>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</si>
  <si>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</si>
  <si>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</si>
  <si>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</si>
  <si>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</si>
  <si>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</si>
  <si>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</si>
  <si>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</si>
  <si>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</si>
  <si>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</si>
  <si>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</si>
  <si>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</si>
  <si>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</si>
  <si>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</si>
  <si>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</si>
  <si>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</si>
  <si>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</si>
  <si>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</si>
  <si>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</si>
  <si>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</si>
  <si>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</si>
  <si>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</si>
  <si>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</si>
  <si>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</si>
  <si>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</si>
  <si>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</si>
  <si>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</si>
  <si>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</si>
  <si>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</si>
  <si>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</si>
  <si>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</si>
  <si>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</si>
  <si>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</si>
  <si>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</si>
  <si>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</si>
  <si>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</si>
  <si>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</si>
  <si>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</si>
  <si>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</si>
  <si>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</si>
  <si>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</si>
  <si>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</si>
  <si>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</si>
  <si>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</si>
  <si>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</si>
  <si>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</si>
  <si>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</si>
  <si>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</si>
  <si>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</si>
  <si>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</si>
  <si>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</si>
  <si>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</si>
  <si>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</si>
  <si>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</si>
  <si>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</si>
  <si>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</si>
  <si>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</si>
  <si>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</si>
  <si>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</si>
  <si>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</si>
  <si>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</si>
  <si>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</si>
  <si>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</si>
  <si>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</si>
  <si>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</si>
  <si>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</si>
  <si>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</si>
  <si>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</si>
  <si>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</si>
  <si>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</si>
  <si>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</si>
  <si>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</si>
  <si>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</si>
  <si>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</si>
  <si>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</si>
  <si>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</si>
  <si>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</si>
  <si>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</si>
  <si>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</si>
  <si>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</si>
  <si>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</si>
  <si>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</si>
  <si>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</si>
  <si>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</si>
  <si>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</si>
  <si>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</si>
  <si>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</si>
  <si>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</si>
  <si>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</si>
  <si>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</si>
  <si>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</si>
  <si>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</si>
  <si>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</si>
  <si>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</si>
  <si>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</si>
  <si>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</si>
  <si>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</si>
  <si>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</si>
  <si>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</si>
  <si>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</si>
  <si>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</si>
  <si>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</si>
  <si>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</si>
  <si>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</si>
  <si>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</si>
  <si>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</si>
  <si>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</si>
  <si>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</si>
  <si>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</si>
  <si>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</si>
  <si>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</si>
  <si>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</si>
  <si>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</si>
  <si>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</si>
  <si>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</si>
  <si>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</si>
  <si>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</si>
  <si>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</si>
  <si>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</si>
  <si>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</si>
  <si>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</si>
  <si>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</si>
  <si>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</si>
  <si>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</si>
  <si>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</si>
  <si>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</si>
  <si>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</si>
  <si>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</si>
  <si>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</si>
  <si>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</si>
  <si>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</si>
  <si>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</si>
  <si>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</si>
  <si>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</si>
  <si>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</si>
  <si>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</si>
  <si>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</si>
  <si>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</si>
  <si>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</si>
  <si>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</si>
  <si>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</si>
  <si>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</si>
  <si>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</si>
  <si>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</si>
  <si>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</si>
  <si>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</si>
  <si>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</si>
  <si>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</si>
  <si>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</si>
  <si>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</si>
  <si>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</si>
  <si>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</si>
  <si>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</si>
  <si>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</si>
  <si>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</si>
  <si>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</si>
  <si>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</si>
  <si>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</si>
  <si>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</si>
  <si>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</si>
  <si>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</si>
  <si>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</si>
  <si>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</si>
  <si>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</si>
  <si>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</si>
  <si>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</si>
  <si>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</si>
  <si>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</si>
  <si>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</si>
  <si>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</si>
  <si>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</si>
  <si>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</si>
  <si>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</si>
  <si>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</si>
  <si>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</si>
  <si>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</si>
  <si>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</si>
  <si>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</si>
  <si>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</si>
  <si>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</si>
  <si>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</si>
  <si>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</si>
  <si>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</si>
  <si>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</si>
  <si>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</si>
  <si>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</si>
  <si>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</si>
  <si>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</si>
  <si>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</si>
  <si>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</si>
  <si>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</si>
  <si>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</si>
  <si>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</si>
  <si>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</si>
  <si>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</si>
  <si>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</si>
  <si>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</si>
  <si>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</si>
  <si>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</si>
  <si>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</si>
  <si>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</si>
  <si>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</si>
  <si>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</si>
  <si>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</si>
  <si>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</si>
  <si>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</si>
  <si>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</si>
  <si>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</si>
  <si>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</si>
  <si>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</si>
  <si>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</si>
  <si>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</si>
  <si>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</si>
  <si>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</si>
  <si>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</si>
  <si>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</si>
  <si>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</si>
  <si>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</si>
  <si>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</si>
  <si>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</si>
  <si>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</si>
  <si>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</si>
  <si>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</si>
  <si>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</si>
  <si>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</si>
  <si>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</si>
  <si>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</si>
  <si>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</si>
  <si>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</si>
  <si>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</si>
  <si>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</si>
  <si>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</si>
  <si>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</si>
  <si>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</si>
  <si>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</si>
  <si>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</si>
  <si>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</si>
  <si>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</si>
  <si>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</si>
  <si>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</si>
  <si>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</si>
  <si>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</si>
  <si>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</si>
  <si>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</si>
  <si>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</si>
  <si>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</si>
  <si>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</si>
  <si>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</si>
  <si>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</si>
  <si>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</si>
  <si>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</si>
  <si>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</si>
  <si>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</si>
  <si>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</si>
  <si>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</si>
  <si>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</si>
  <si>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</si>
  <si>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</si>
  <si>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</si>
  <si>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</si>
  <si>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</si>
  <si>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</si>
  <si>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</si>
  <si>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</si>
  <si>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</si>
  <si>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</si>
  <si>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</si>
  <si>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</si>
  <si>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</si>
  <si>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</si>
  <si>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</si>
  <si>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</si>
  <si>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</si>
  <si>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</si>
  <si>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</si>
  <si>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</si>
  <si>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</si>
  <si>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</si>
  <si>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</si>
  <si>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</si>
  <si>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</si>
  <si>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</si>
  <si>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</si>
  <si>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</si>
  <si>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</si>
  <si>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</si>
  <si>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</si>
  <si>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</si>
  <si>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</si>
  <si>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</si>
  <si>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</si>
  <si>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</si>
  <si>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</si>
  <si>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</si>
  <si>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</si>
  <si>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</si>
  <si>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</si>
  <si>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</si>
  <si>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</si>
  <si>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</si>
  <si>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</si>
  <si>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</si>
  <si>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</si>
  <si>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</si>
  <si>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</si>
  <si>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</si>
  <si>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</si>
  <si>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</si>
  <si>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</si>
  <si>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</si>
  <si>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</si>
  <si>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</si>
  <si>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</si>
  <si>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</si>
  <si>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</si>
  <si>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</si>
  <si>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</si>
  <si>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</si>
  <si>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</si>
  <si>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</si>
  <si>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</si>
  <si>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</si>
  <si>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</si>
  <si>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</si>
  <si>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</si>
  <si>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</si>
  <si>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</si>
  <si>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</si>
  <si>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</si>
  <si>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</si>
  <si>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</si>
  <si>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</si>
  <si>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</si>
  <si>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</si>
  <si>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</si>
  <si>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</si>
  <si>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</si>
  <si>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</si>
  <si>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</si>
  <si>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</si>
  <si>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</si>
  <si>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</si>
  <si>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</si>
  <si>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</si>
  <si>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</si>
  <si>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</si>
  <si>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</si>
  <si>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</si>
  <si>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</si>
  <si>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</si>
  <si>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</si>
  <si>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</si>
  <si>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</si>
  <si>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</si>
  <si>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</si>
  <si>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</si>
  <si>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</si>
  <si>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</si>
  <si>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</si>
  <si>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</si>
  <si>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</si>
  <si>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</si>
  <si>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</si>
  <si>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</si>
  <si>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</si>
  <si>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</si>
  <si>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</si>
  <si>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</si>
  <si>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</si>
  <si>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</si>
  <si>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</si>
  <si>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</si>
  <si>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</si>
  <si>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</si>
  <si>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</si>
  <si>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</si>
  <si>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</si>
  <si>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</si>
  <si>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</si>
  <si>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</si>
  <si>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</si>
  <si>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</si>
  <si>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</si>
  <si>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</si>
  <si>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</si>
  <si>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</si>
  <si>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</si>
  <si>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</si>
  <si>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</si>
  <si>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</si>
  <si>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</si>
  <si>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</si>
  <si>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</si>
  <si>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</si>
  <si>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</si>
  <si>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</si>
  <si>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</si>
  <si>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</si>
  <si>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</si>
  <si>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</si>
  <si>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</si>
  <si>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</si>
  <si>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</si>
  <si>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</si>
  <si>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</si>
  <si>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</si>
  <si>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</si>
  <si>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</si>
  <si>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</si>
  <si>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</si>
  <si>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</si>
  <si>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</si>
  <si>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</si>
  <si>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</si>
  <si>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</si>
  <si>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</si>
  <si>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</si>
  <si>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</si>
  <si>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</si>
  <si>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</si>
  <si>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</si>
  <si>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</si>
  <si>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</si>
  <si>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</si>
  <si>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</si>
  <si>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</si>
  <si>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</si>
  <si>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</si>
  <si>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</si>
  <si>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</si>
  <si>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</si>
  <si>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</si>
  <si>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</si>
  <si>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</si>
  <si>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</si>
  <si>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</si>
  <si>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</si>
  <si>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</si>
  <si>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</si>
  <si>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</si>
  <si>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</si>
  <si>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</si>
  <si>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</si>
  <si>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</si>
  <si>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</si>
  <si>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</si>
  <si>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</si>
  <si>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</si>
  <si>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</si>
  <si>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</si>
  <si>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</si>
  <si>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</si>
  <si>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</si>
  <si>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</si>
  <si>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</si>
  <si>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</si>
  <si>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</si>
  <si>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</si>
  <si>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</si>
  <si>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</si>
  <si>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</si>
  <si>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</si>
  <si>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</si>
  <si>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</si>
  <si>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</si>
  <si>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</si>
  <si>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</si>
  <si>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</si>
  <si>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</si>
  <si>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</si>
  <si>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</si>
  <si>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</si>
  <si>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</si>
  <si>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</si>
  <si>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</si>
  <si>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</si>
  <si>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</si>
  <si>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</si>
  <si>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</si>
  <si>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</si>
  <si>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</si>
  <si>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</si>
  <si>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</si>
  <si>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</si>
  <si>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</si>
  <si>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</si>
  <si>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</si>
  <si>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</si>
  <si>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</si>
  <si>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</si>
  <si>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</si>
  <si>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</si>
  <si>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</si>
  <si>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</si>
  <si>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</si>
  <si>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</si>
  <si>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</si>
  <si>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</si>
  <si>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</si>
  <si>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</si>
  <si>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</si>
  <si>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</si>
  <si>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</si>
  <si>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</si>
  <si>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</si>
  <si>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</si>
  <si>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</si>
  <si>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</si>
  <si>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</si>
  <si>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</si>
  <si>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</si>
  <si>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</si>
  <si>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</si>
  <si>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</si>
  <si>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</si>
  <si>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</si>
  <si>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</si>
  <si>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</si>
  <si>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</si>
  <si>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</si>
  <si>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</si>
  <si>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</si>
  <si>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</si>
  <si>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</si>
  <si>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</si>
  <si>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</si>
  <si>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</si>
  <si>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</si>
  <si>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</si>
  <si>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</si>
  <si>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</si>
  <si>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</si>
  <si>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</si>
  <si>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</si>
  <si>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</si>
  <si>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</si>
  <si>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</si>
  <si>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</si>
  <si>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</si>
  <si>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</si>
  <si>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</si>
  <si>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</si>
  <si>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</si>
  <si>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</si>
  <si>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</si>
  <si>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</si>
  <si>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</si>
  <si>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</si>
  <si>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</si>
  <si>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</si>
  <si>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</si>
  <si>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</si>
  <si>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</si>
  <si>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</si>
  <si>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</si>
  <si>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</si>
  <si>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</si>
  <si>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</si>
  <si>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</si>
  <si>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</si>
  <si>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</si>
  <si>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</si>
  <si>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</si>
  <si>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</si>
  <si>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</si>
  <si>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</si>
  <si>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</si>
  <si>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</si>
  <si>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</si>
  <si>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</si>
  <si>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</si>
  <si>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</si>
  <si>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</si>
  <si>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</si>
  <si>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</si>
  <si>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</si>
  <si>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</si>
  <si>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</si>
  <si>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</si>
  <si>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</si>
  <si>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</si>
  <si>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</si>
  <si>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</si>
  <si>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</si>
  <si>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</si>
  <si>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</si>
  <si>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</si>
  <si>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</si>
  <si>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</si>
  <si>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</si>
  <si>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</si>
  <si>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</si>
  <si>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</si>
  <si>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</si>
  <si>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</si>
  <si>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</si>
  <si>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</si>
  <si>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</si>
  <si>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</si>
  <si>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</si>
  <si>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</si>
  <si>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</si>
  <si>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</si>
  <si>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</si>
  <si>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</si>
  <si>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</si>
  <si>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</si>
  <si>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</si>
  <si>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</si>
  <si>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</si>
  <si>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</si>
  <si>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</si>
  <si>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</si>
  <si>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</si>
  <si>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</si>
  <si>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</si>
  <si>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</si>
  <si>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</si>
  <si>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</si>
  <si>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</si>
  <si>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</si>
  <si>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</si>
  <si>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</si>
  <si>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</si>
  <si>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</si>
  <si>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</si>
  <si>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</si>
  <si>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</si>
  <si>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</si>
  <si>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</si>
  <si>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</si>
  <si>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</si>
  <si>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</si>
  <si>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</si>
  <si>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</si>
  <si>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</si>
  <si>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</si>
  <si>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</si>
  <si>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</si>
  <si>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</si>
  <si>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</si>
  <si>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</si>
  <si>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</si>
  <si>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</si>
  <si>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</si>
  <si>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</si>
  <si>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</si>
  <si>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</si>
  <si>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</si>
  <si>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</si>
  <si>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</si>
  <si>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</si>
  <si>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</si>
  <si>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</si>
  <si>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</si>
  <si>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</si>
  <si>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</si>
  <si>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</si>
  <si>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</si>
  <si>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</si>
  <si>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</si>
  <si>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</si>
  <si>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</si>
  <si>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</si>
  <si>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</si>
  <si>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</si>
  <si>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</si>
  <si>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</si>
  <si>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</si>
  <si>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</si>
  <si>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</si>
  <si>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</si>
  <si>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</si>
  <si>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</si>
  <si>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</si>
  <si>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</si>
  <si>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</si>
  <si>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</si>
  <si>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</si>
  <si>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</si>
  <si>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</si>
  <si>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</si>
  <si>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</si>
  <si>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</si>
  <si>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</si>
  <si>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</si>
  <si>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</si>
  <si>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</si>
  <si>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</si>
  <si>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</si>
  <si>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</si>
  <si>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</si>
  <si>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</si>
  <si>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</si>
  <si>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</si>
  <si>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</si>
  <si>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</si>
  <si>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</si>
  <si>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</si>
  <si>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</si>
  <si>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</si>
  <si>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</si>
  <si>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</si>
  <si>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</si>
  <si>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</si>
  <si>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</si>
  <si>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</si>
  <si>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</si>
  <si>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</si>
  <si>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</si>
  <si>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</si>
  <si>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</si>
  <si>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</si>
  <si>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</si>
  <si>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</si>
  <si>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</si>
  <si>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</si>
  <si>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</si>
  <si>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</si>
  <si>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</si>
  <si>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</si>
  <si>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</si>
  <si>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</si>
  <si>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</si>
  <si>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</si>
  <si>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</si>
  <si>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</si>
  <si>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</si>
  <si>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</si>
  <si>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</si>
  <si>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</si>
  <si>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</si>
  <si>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</si>
  <si>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</si>
  <si>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</si>
  <si>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</si>
  <si>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</si>
  <si>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</si>
  <si>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</si>
  <si>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</si>
  <si>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</si>
  <si>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</si>
  <si>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</si>
  <si>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</si>
  <si>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</si>
  <si>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</si>
  <si>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</si>
  <si>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</si>
  <si>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</si>
  <si>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</si>
  <si>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</si>
  <si>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</si>
  <si>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</si>
  <si>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</si>
  <si>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</si>
  <si>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</si>
  <si>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</si>
  <si>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</si>
  <si>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</si>
  <si>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</si>
  <si>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</si>
  <si>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</si>
  <si>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</si>
  <si>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</si>
  <si>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</si>
  <si>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</si>
  <si>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</si>
  <si>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</si>
  <si>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</si>
  <si>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</si>
  <si>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</si>
  <si>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</si>
  <si>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</si>
  <si>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</si>
  <si>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</si>
  <si>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</si>
  <si>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</si>
  <si>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</si>
  <si>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</si>
  <si>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</si>
  <si>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</si>
  <si>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</si>
  <si>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</si>
  <si>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</si>
  <si>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</si>
  <si>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</si>
  <si>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</si>
  <si>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</si>
  <si>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</si>
  <si>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</si>
  <si>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</si>
  <si>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</si>
  <si>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</si>
  <si>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</si>
  <si>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</si>
  <si>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</si>
  <si>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</si>
  <si>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</si>
  <si>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</si>
  <si>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</si>
  <si>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</si>
  <si>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</si>
  <si>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</si>
  <si>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</si>
  <si>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</si>
  <si>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</si>
  <si>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</si>
  <si>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</si>
  <si>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</si>
  <si>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</si>
  <si>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</si>
  <si>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</si>
  <si>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</si>
  <si>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</si>
  <si>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</si>
  <si>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</si>
  <si>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</si>
  <si>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</si>
  <si>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</si>
  <si>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</si>
  <si>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</si>
  <si>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</si>
  <si>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</si>
  <si>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</si>
  <si>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</si>
  <si>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</si>
  <si>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</si>
  <si>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</si>
  <si>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</si>
  <si>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</si>
  <si>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</si>
  <si>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</si>
  <si>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</si>
  <si>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</si>
  <si>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</si>
  <si>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</si>
  <si>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</si>
  <si>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</si>
  <si>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</si>
  <si>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</si>
  <si>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</si>
  <si>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</si>
  <si>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</si>
  <si>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</si>
  <si>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</si>
  <si>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</si>
  <si>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</si>
  <si>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</si>
  <si>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</si>
  <si>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</si>
  <si>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</si>
  <si>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</si>
  <si>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</si>
  <si>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</si>
  <si>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</si>
  <si>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</si>
  <si>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</si>
  <si>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</si>
  <si>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</si>
  <si>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</si>
  <si>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</si>
  <si>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</si>
  <si>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</si>
  <si>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</si>
  <si>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</si>
  <si>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</si>
  <si>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</si>
  <si>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</si>
  <si>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</si>
  <si>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</si>
  <si>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</si>
  <si>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</si>
  <si>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</si>
  <si>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</si>
  <si>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</si>
  <si>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</si>
  <si>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</si>
  <si>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</si>
  <si>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</si>
  <si>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</si>
  <si>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</si>
  <si>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</si>
  <si>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</si>
  <si>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</si>
  <si>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</si>
  <si>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</si>
  <si>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</si>
  <si>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</si>
  <si>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</si>
  <si>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</si>
  <si>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</si>
  <si>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</si>
  <si>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</si>
  <si>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</si>
  <si>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</si>
  <si>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</si>
  <si>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</si>
  <si>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</si>
  <si>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</si>
  <si>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</si>
  <si>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</si>
  <si>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</si>
  <si>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</si>
  <si>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</si>
  <si>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</si>
  <si>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</si>
  <si>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</si>
  <si>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</si>
  <si>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</si>
  <si>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</si>
  <si>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</si>
  <si>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</si>
  <si>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</si>
  <si>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</si>
  <si>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</si>
  <si>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</si>
  <si>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</si>
  <si>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</si>
  <si>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</si>
  <si>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</si>
  <si>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</si>
  <si>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</si>
  <si>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</si>
  <si>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</si>
  <si>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</si>
  <si>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</si>
  <si>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</si>
  <si>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</si>
  <si>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</si>
  <si>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</si>
  <si>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</si>
  <si>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</si>
  <si>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</si>
  <si>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</si>
  <si>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</si>
  <si>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</si>
  <si>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</si>
  <si>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</si>
  <si>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</si>
  <si>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</si>
  <si>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</si>
  <si>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</si>
  <si>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</si>
  <si>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</si>
  <si>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</si>
  <si>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</si>
  <si>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</si>
  <si>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</si>
  <si>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</si>
  <si>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</si>
  <si>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</si>
  <si>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</si>
  <si>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</si>
  <si>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</si>
  <si>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</si>
  <si>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</si>
  <si>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</si>
  <si>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</si>
  <si>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</si>
  <si>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</si>
  <si>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</si>
  <si>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</si>
  <si>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</si>
  <si>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</si>
  <si>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</si>
  <si>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</si>
  <si>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</si>
  <si>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</si>
  <si>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</si>
  <si>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</si>
  <si>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</si>
  <si>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</si>
  <si>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</si>
  <si>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</si>
  <si>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</si>
  <si>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</si>
  <si>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</si>
  <si>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</si>
  <si>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</si>
  <si>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</si>
  <si>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</si>
  <si>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</si>
  <si>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</si>
  <si>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</si>
  <si>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</si>
  <si>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</si>
  <si>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</si>
  <si>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</si>
  <si>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</si>
  <si>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</si>
  <si>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</si>
  <si>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</si>
  <si>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</si>
  <si>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</si>
  <si>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</si>
  <si>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</si>
  <si>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</si>
  <si>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</si>
  <si>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</si>
  <si>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</si>
  <si>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</si>
  <si>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</si>
  <si>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</si>
  <si>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</si>
  <si>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</si>
  <si>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</si>
  <si>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</si>
  <si>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</si>
  <si>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</si>
  <si>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</si>
  <si>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</si>
  <si>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</si>
  <si>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</si>
  <si>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</si>
  <si>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</si>
  <si>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</si>
  <si>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</si>
  <si>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</si>
  <si>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</si>
  <si>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</si>
  <si>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</si>
  <si>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</si>
  <si>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</si>
  <si>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</si>
  <si>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</si>
  <si>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</si>
  <si>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</si>
  <si>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</si>
  <si>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</si>
  <si>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</si>
  <si>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</si>
  <si>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</si>
  <si>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</si>
  <si>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</si>
  <si>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</si>
  <si>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</si>
  <si>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</si>
  <si>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</si>
  <si>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</si>
  <si>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</si>
  <si>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</si>
  <si>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</si>
  <si>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</si>
  <si>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</si>
  <si>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</si>
  <si>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</si>
  <si>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</si>
  <si>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</si>
  <si>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</si>
  <si>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</si>
  <si>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</si>
  <si>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</si>
  <si>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</si>
  <si>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</si>
  <si>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</si>
  <si>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</si>
  <si>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</si>
  <si>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</si>
  <si>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</si>
  <si>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</si>
  <si>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</si>
  <si>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</si>
  <si>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</si>
  <si>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</si>
  <si>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</si>
  <si>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</si>
  <si>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</si>
  <si>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</si>
  <si>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</si>
  <si>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</si>
  <si>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</si>
  <si>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</si>
  <si>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</si>
  <si>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</si>
  <si>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</si>
  <si>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</si>
  <si>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</si>
  <si>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</si>
  <si>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</si>
  <si>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</si>
  <si>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</si>
  <si>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</si>
  <si>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</si>
  <si>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</si>
  <si>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</si>
  <si>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</si>
  <si>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</si>
  <si>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</si>
  <si>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</si>
  <si>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</si>
  <si>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</si>
  <si>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</si>
  <si>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</si>
  <si>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</si>
  <si>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</si>
  <si>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</si>
  <si>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</si>
  <si>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</si>
  <si>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</si>
  <si>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</si>
  <si>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</si>
  <si>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</si>
  <si>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</si>
  <si>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</si>
  <si>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</si>
  <si>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</si>
  <si>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</si>
  <si>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</si>
  <si>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</si>
  <si>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</si>
  <si>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</si>
  <si>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</si>
  <si>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</si>
  <si>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</si>
  <si>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</si>
  <si>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</si>
  <si>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</si>
  <si>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</si>
  <si>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</si>
  <si>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</si>
  <si>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</si>
  <si>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</si>
  <si>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</si>
  <si>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</si>
  <si>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</si>
  <si>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</si>
  <si>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</si>
  <si>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</si>
  <si>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</si>
  <si>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</si>
  <si>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</si>
  <si>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</si>
  <si>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</si>
  <si>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</si>
  <si>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</si>
  <si>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</si>
  <si>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</si>
  <si>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</si>
  <si>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</si>
  <si>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</si>
  <si>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</si>
  <si>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</si>
  <si>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</si>
  <si>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</si>
  <si>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</si>
  <si>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</si>
  <si>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</si>
  <si>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</si>
  <si>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</si>
  <si>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</si>
  <si>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</si>
  <si>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</si>
  <si>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</si>
  <si>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</si>
  <si>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</si>
  <si>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</si>
  <si>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</si>
  <si>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</si>
  <si>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</si>
  <si>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</si>
  <si>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</si>
  <si>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</si>
  <si>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</si>
  <si>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</si>
  <si>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</si>
  <si>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</si>
  <si>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</si>
  <si>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</si>
  <si>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</si>
  <si>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</si>
  <si>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</si>
  <si>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</si>
  <si>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</si>
  <si>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</si>
  <si>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</si>
  <si>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</si>
  <si>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</si>
  <si>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</si>
  <si>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</si>
  <si>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</si>
  <si>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</si>
  <si>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</si>
  <si>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</si>
  <si>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</si>
  <si>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</si>
  <si>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</si>
  <si>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</si>
  <si>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</si>
  <si>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</si>
  <si>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</si>
  <si>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</si>
  <si>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</si>
  <si>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</si>
  <si>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</si>
  <si>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</si>
  <si>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</si>
  <si>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</si>
  <si>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</si>
  <si>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</si>
  <si>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</si>
  <si>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</si>
  <si>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</si>
  <si>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</si>
  <si>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</si>
  <si>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</si>
  <si>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</si>
  <si>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</si>
  <si>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</si>
  <si>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</si>
  <si>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</si>
  <si>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</si>
  <si>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</si>
  <si>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</si>
  <si>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</si>
  <si>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</si>
  <si>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</si>
  <si>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</si>
  <si>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</si>
  <si>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</si>
  <si>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</si>
  <si>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</si>
  <si>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</si>
  <si>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</si>
  <si>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</si>
  <si>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</si>
  <si>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</si>
  <si>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</si>
  <si>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</si>
  <si>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</si>
  <si>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</si>
  <si>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</si>
  <si>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</si>
  <si>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</si>
  <si>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</si>
  <si>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</si>
  <si>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</si>
  <si>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</si>
  <si>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</si>
  <si>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</si>
  <si>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</si>
  <si>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</si>
  <si>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</si>
  <si>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</si>
  <si>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</si>
  <si>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</si>
  <si>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</si>
  <si>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</si>
  <si>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</si>
  <si>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</si>
  <si>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</si>
  <si>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</si>
  <si>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</si>
  <si>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</si>
  <si>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</si>
  <si>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</si>
  <si>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</si>
  <si>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</si>
  <si>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</si>
  <si>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</si>
  <si>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</si>
  <si>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</si>
  <si>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</si>
  <si>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</si>
  <si>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</si>
  <si>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</si>
  <si>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</si>
  <si>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</si>
  <si>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</si>
  <si>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</si>
  <si>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</si>
  <si>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</si>
  <si>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</si>
  <si>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</si>
  <si>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</si>
  <si>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</si>
  <si>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</si>
  <si>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</si>
  <si>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</si>
  <si>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</si>
  <si>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</si>
  <si>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</si>
  <si>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</si>
  <si>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</si>
  <si>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</si>
  <si>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</si>
  <si>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</si>
  <si>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</si>
  <si>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</si>
  <si>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</si>
  <si>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</si>
  <si>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</si>
  <si>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</si>
  <si>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</si>
  <si>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</si>
  <si>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</si>
  <si>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</si>
  <si>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</si>
  <si>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</si>
  <si>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</si>
  <si>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</si>
  <si>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</si>
  <si>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</si>
  <si>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</si>
  <si>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</si>
  <si>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</si>
  <si>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</si>
  <si>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</si>
  <si>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</si>
  <si>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</si>
  <si>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</si>
  <si>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</si>
  <si>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</si>
  <si>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</si>
  <si>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</si>
  <si>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</si>
  <si>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</si>
  <si>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</si>
  <si>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</si>
  <si>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</si>
  <si>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</si>
  <si>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</si>
  <si>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</si>
  <si>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</si>
  <si>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</si>
  <si>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</si>
  <si>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</si>
  <si>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</si>
  <si>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</si>
  <si>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</si>
  <si>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</si>
  <si>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</si>
  <si>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</si>
  <si>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</si>
  <si>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</si>
  <si>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</si>
  <si>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</si>
  <si>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</si>
  <si>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</si>
  <si>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</si>
  <si>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</si>
  <si>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</si>
  <si>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</si>
  <si>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</si>
  <si>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</si>
  <si>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</si>
  <si>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</si>
  <si>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</si>
  <si>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</si>
  <si>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</si>
  <si>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</si>
  <si>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</si>
  <si>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</si>
  <si>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</si>
  <si>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</si>
  <si>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</si>
  <si>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</si>
  <si>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</si>
  <si>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</si>
  <si>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</si>
  <si>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</si>
  <si>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</si>
  <si>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</si>
  <si>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</si>
  <si>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</si>
  <si>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</si>
  <si>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</si>
  <si>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</si>
  <si>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</si>
  <si>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</si>
  <si>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</si>
  <si>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</si>
  <si>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</si>
  <si>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</si>
  <si>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</si>
  <si>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</si>
  <si>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</si>
  <si>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</si>
  <si>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</si>
  <si>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</si>
  <si>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</si>
  <si>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</si>
  <si>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</si>
  <si>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</si>
  <si>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</si>
  <si>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</si>
  <si>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</si>
  <si>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</si>
  <si>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</si>
  <si>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</si>
  <si>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</si>
  <si>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</si>
  <si>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</si>
  <si>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</si>
  <si>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</si>
  <si>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</si>
  <si>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</si>
  <si>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</si>
  <si>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</si>
  <si>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</si>
  <si>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</si>
  <si>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</si>
  <si>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</si>
  <si>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</si>
  <si>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</si>
  <si>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</si>
  <si>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</si>
  <si>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</si>
  <si>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</si>
  <si>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</si>
  <si>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</si>
  <si>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</si>
  <si>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</si>
  <si>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</si>
  <si>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</si>
  <si>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</si>
  <si>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</si>
  <si>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</si>
  <si>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</si>
  <si>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</si>
  <si>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</si>
  <si>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</si>
  <si>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</si>
  <si>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</si>
  <si>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</si>
  <si>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</si>
  <si>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</si>
  <si>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</si>
  <si>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</si>
  <si>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</si>
  <si>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</si>
  <si>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</si>
  <si>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</si>
  <si>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</si>
  <si>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</si>
  <si>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</si>
  <si>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</si>
  <si>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</si>
  <si>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</si>
  <si>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</si>
  <si>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</si>
  <si>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</si>
  <si>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</si>
  <si>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</si>
  <si>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</si>
  <si>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</si>
  <si>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</si>
  <si>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</si>
  <si>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</si>
  <si>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</si>
  <si>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</si>
  <si>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</si>
  <si>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</si>
  <si>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</si>
  <si>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</si>
  <si>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</si>
  <si>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</si>
  <si>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</si>
  <si>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</si>
  <si>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</si>
  <si>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</si>
  <si>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</si>
  <si>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</si>
  <si>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</si>
  <si>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</si>
  <si>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</si>
  <si>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</si>
  <si>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</si>
  <si>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</si>
  <si>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</si>
  <si>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</si>
  <si>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</si>
  <si>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</si>
  <si>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</si>
  <si>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</si>
  <si>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</si>
  <si>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</si>
  <si>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</si>
  <si>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</si>
  <si>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</si>
  <si>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</si>
  <si>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</si>
  <si>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</si>
  <si>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</si>
  <si>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</si>
  <si>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</si>
  <si>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</si>
  <si>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</si>
  <si>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</si>
  <si>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</si>
  <si>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</si>
  <si>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</si>
  <si>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</si>
  <si>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</si>
  <si>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</si>
  <si>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</si>
  <si>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</si>
  <si>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</si>
  <si>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</si>
  <si>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</si>
  <si>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</si>
  <si>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</si>
  <si>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</si>
  <si>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</si>
  <si>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</si>
  <si>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</si>
  <si>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</si>
  <si>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</si>
  <si>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</si>
  <si>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</si>
  <si>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</si>
  <si>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</si>
  <si>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</si>
  <si>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</si>
  <si>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</si>
  <si>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</si>
  <si>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</si>
  <si>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</si>
  <si>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</si>
  <si>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</si>
  <si>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</si>
  <si>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</si>
  <si>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</si>
  <si>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</si>
  <si>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</si>
  <si>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</si>
  <si>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</si>
  <si>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</si>
  <si>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</si>
  <si>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</si>
  <si>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</si>
  <si>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</si>
  <si>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</si>
  <si>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</si>
  <si>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</si>
  <si>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</si>
  <si>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</si>
  <si>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</si>
  <si>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</si>
  <si>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</si>
  <si>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</si>
  <si>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</si>
  <si>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</si>
  <si>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</si>
  <si>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</si>
  <si>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</si>
  <si>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</si>
  <si>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</si>
  <si>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</si>
  <si>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</si>
  <si>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</si>
  <si>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</si>
  <si>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</si>
  <si>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</si>
  <si>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</si>
  <si>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</si>
  <si>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</si>
  <si>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</si>
  <si>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</si>
  <si>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</si>
  <si>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</si>
  <si>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</si>
  <si>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</si>
  <si>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</si>
  <si>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</si>
  <si>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</si>
  <si>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</si>
  <si>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</si>
  <si>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</si>
  <si>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</si>
  <si>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</si>
  <si>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</si>
  <si>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</si>
  <si>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</si>
  <si>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</si>
  <si>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</si>
  <si>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</si>
  <si>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</si>
  <si>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</si>
  <si>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</si>
  <si>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</si>
  <si>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</si>
  <si>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</si>
  <si>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</si>
  <si>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</si>
  <si>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</si>
  <si>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</si>
  <si>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</si>
  <si>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</si>
  <si>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</si>
  <si>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</si>
  <si>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</si>
  <si>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</si>
  <si>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</si>
  <si>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</si>
  <si>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</si>
  <si>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</si>
  <si>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</si>
  <si>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</si>
  <si>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</si>
  <si>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</si>
  <si>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</si>
  <si>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</si>
  <si>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</si>
  <si>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</si>
  <si>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</si>
  <si>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</si>
  <si>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</si>
  <si>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</si>
  <si>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</si>
  <si>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</si>
  <si>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</si>
  <si>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</si>
  <si>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</si>
  <si>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</si>
  <si>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</si>
  <si>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</si>
  <si>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</si>
  <si>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</si>
  <si>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</si>
  <si>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</si>
  <si>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</si>
  <si>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</si>
  <si>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</si>
  <si>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</si>
  <si>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</si>
  <si>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</si>
  <si>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</si>
  <si>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</si>
  <si>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</si>
  <si>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</si>
  <si>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</si>
  <si>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</si>
  <si>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</si>
  <si>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</si>
  <si>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</si>
  <si>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</si>
  <si>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</si>
  <si>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</si>
  <si>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</si>
  <si>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</si>
  <si>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</si>
  <si>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</si>
  <si>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</si>
  <si>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</si>
  <si>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</si>
  <si>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</si>
  <si>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</si>
  <si>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</si>
  <si>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</si>
  <si>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</si>
  <si>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</si>
  <si>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</si>
  <si>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</si>
  <si>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</si>
  <si>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</si>
  <si>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</si>
  <si>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</si>
  <si>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</si>
  <si>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</si>
  <si>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</si>
  <si>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</si>
  <si>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</si>
  <si>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</si>
  <si>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</si>
  <si>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</si>
  <si>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</si>
  <si>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</si>
  <si>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</si>
  <si>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</si>
  <si>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</si>
  <si>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</si>
  <si>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</si>
  <si>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</si>
  <si>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</si>
  <si>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</si>
  <si>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</si>
  <si>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</si>
  <si>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</si>
  <si>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</si>
  <si>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</si>
  <si>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</si>
  <si>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</si>
  <si>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</si>
  <si>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</si>
  <si>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</si>
  <si>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</si>
  <si>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</si>
  <si>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</si>
  <si>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</si>
  <si>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</si>
  <si>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</si>
  <si>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</si>
  <si>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</si>
  <si>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</si>
  <si>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</si>
  <si>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</si>
  <si>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</si>
  <si>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</si>
  <si>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</si>
  <si>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</si>
  <si>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</si>
  <si>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</si>
  <si>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</si>
  <si>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</si>
  <si>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</si>
  <si>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</si>
  <si>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</si>
  <si>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</si>
  <si>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</si>
  <si>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</si>
  <si>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</si>
  <si>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</si>
  <si>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</si>
  <si>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</si>
  <si>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</si>
  <si>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</si>
  <si>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</si>
  <si>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</si>
  <si>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</si>
  <si>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</si>
  <si>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</si>
  <si>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</si>
  <si>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</si>
  <si>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</si>
  <si>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</si>
  <si>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</si>
  <si>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</si>
  <si>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</si>
  <si>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</si>
  <si>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</si>
  <si>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</si>
  <si>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</si>
  <si>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</si>
  <si>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</si>
  <si>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</si>
  <si>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</si>
  <si>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</si>
  <si>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</si>
  <si>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</si>
  <si>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</si>
  <si>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</si>
  <si>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</si>
  <si>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</si>
  <si>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</si>
  <si>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</si>
  <si>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</si>
  <si>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</si>
  <si>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</si>
  <si>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</si>
  <si>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</si>
  <si>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</si>
  <si>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</si>
  <si>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</si>
  <si>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</si>
  <si>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</si>
  <si>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</si>
  <si>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</si>
  <si>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</si>
  <si>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</si>
  <si>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</si>
  <si>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</si>
  <si>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</si>
  <si>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</si>
  <si>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</si>
  <si>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</si>
  <si>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</si>
  <si>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</si>
  <si>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</si>
  <si>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</si>
  <si>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</si>
  <si>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</si>
  <si>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</si>
  <si>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</si>
  <si>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</si>
  <si>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</si>
  <si>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</si>
  <si>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</si>
  <si>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</si>
  <si>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</si>
  <si>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</si>
  <si>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</si>
  <si>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</si>
  <si>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</si>
  <si>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</si>
  <si>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</si>
  <si>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</si>
  <si>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</si>
  <si>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</si>
  <si>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</si>
  <si>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</si>
  <si>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</si>
  <si>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</si>
  <si>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</si>
  <si>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</si>
  <si>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</si>
  <si>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</si>
  <si>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</si>
  <si>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</si>
  <si>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</si>
  <si>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</si>
  <si>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</si>
  <si>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</si>
  <si>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</si>
  <si>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</si>
  <si>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</si>
  <si>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</si>
  <si>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</si>
  <si>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</si>
  <si>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</si>
  <si>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</si>
  <si>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</si>
  <si>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</si>
  <si>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</si>
  <si>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</si>
  <si>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</si>
  <si>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</si>
  <si>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</si>
  <si>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</si>
  <si>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</si>
  <si>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</si>
  <si>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</si>
  <si>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</si>
  <si>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</si>
  <si>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</si>
  <si>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</si>
  <si>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</si>
  <si>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</si>
  <si>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</si>
  <si>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</si>
  <si>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</si>
  <si>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</si>
  <si>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</si>
  <si>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</si>
  <si>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</si>
  <si>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</si>
  <si>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</si>
  <si>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</si>
  <si>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</si>
  <si>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</si>
  <si>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</si>
  <si>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</si>
  <si>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</si>
  <si>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</si>
  <si>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</si>
  <si>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</si>
  <si>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</si>
  <si>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</si>
  <si>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</si>
  <si>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</si>
  <si>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</si>
  <si>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</si>
  <si>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</si>
  <si>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</si>
  <si>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</si>
  <si>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</si>
  <si>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</si>
  <si>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</si>
  <si>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</si>
  <si>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</si>
  <si>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</si>
  <si>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</si>
  <si>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</si>
  <si>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</si>
  <si>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</si>
  <si>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</si>
  <si>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</si>
  <si>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</si>
  <si>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</si>
  <si>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</si>
  <si>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</si>
  <si>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</si>
  <si>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</si>
  <si>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</si>
  <si>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</si>
  <si>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</si>
  <si>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</si>
  <si>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</si>
  <si>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</si>
  <si>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</si>
  <si>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</si>
  <si>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</si>
  <si>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</si>
  <si>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</si>
  <si>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</si>
  <si>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</si>
  <si>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</si>
  <si>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</si>
  <si>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</si>
  <si>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</si>
  <si>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</si>
  <si>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</si>
  <si>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</si>
  <si>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</si>
  <si>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</si>
  <si>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</si>
  <si>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</si>
  <si>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</si>
  <si>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</si>
  <si>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</si>
  <si>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</si>
  <si>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</si>
  <si>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</si>
  <si>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</si>
  <si>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</si>
  <si>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</si>
  <si>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</si>
  <si>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</si>
  <si>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</si>
  <si>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</si>
  <si>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</si>
  <si>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</si>
  <si>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</si>
  <si>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</si>
  <si>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</si>
  <si>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</si>
  <si>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</si>
  <si>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</si>
  <si>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</si>
  <si>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</si>
  <si>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</si>
  <si>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</si>
  <si>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</si>
  <si>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</si>
  <si>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</si>
  <si>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</si>
  <si>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</si>
  <si>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</si>
  <si>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</si>
  <si>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</si>
  <si>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</si>
  <si>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</si>
  <si>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</si>
  <si>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</si>
  <si>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</si>
  <si>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</si>
  <si>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</si>
  <si>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</si>
  <si>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</si>
  <si>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</si>
  <si>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</si>
  <si>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</si>
  <si>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</si>
  <si>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</si>
  <si>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</si>
  <si>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</si>
  <si>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</si>
  <si>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</si>
  <si>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</si>
  <si>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</si>
  <si>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</si>
  <si>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</si>
  <si>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</si>
  <si>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</si>
  <si>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</si>
  <si>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</si>
  <si>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</si>
  <si>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</si>
  <si>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</si>
  <si>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</si>
  <si>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</si>
  <si>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</si>
  <si>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</si>
  <si>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</si>
  <si>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</si>
  <si>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</si>
  <si>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</si>
  <si>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</si>
  <si>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</si>
  <si>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</si>
  <si>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</si>
  <si>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</si>
  <si>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</si>
  <si>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</si>
  <si>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</si>
  <si>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</si>
  <si>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</si>
  <si>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</si>
  <si>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</si>
  <si>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</si>
  <si>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</si>
  <si>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</si>
  <si>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</si>
  <si>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</si>
  <si>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</si>
  <si>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</si>
  <si>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</si>
  <si>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</si>
  <si>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</si>
  <si>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</si>
  <si>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</si>
  <si>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</si>
  <si>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</si>
  <si>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</si>
  <si>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</si>
  <si>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</si>
  <si>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</si>
  <si>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</si>
  <si>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</si>
  <si>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</si>
  <si>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</si>
  <si>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</si>
  <si>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</si>
  <si>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</si>
  <si>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</si>
  <si>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</si>
  <si>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</si>
  <si>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</si>
  <si>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</si>
  <si>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</si>
  <si>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</si>
  <si>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</si>
  <si>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</si>
  <si>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</si>
  <si>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</si>
  <si>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</si>
  <si>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</si>
  <si>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</si>
  <si>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</si>
  <si>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</si>
  <si>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</si>
  <si>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</si>
  <si>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</si>
  <si>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</si>
  <si>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</si>
  <si>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</si>
  <si>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</si>
  <si>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</si>
  <si>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</si>
  <si>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</si>
  <si>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</si>
  <si>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</si>
  <si>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</si>
  <si>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</si>
  <si>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</si>
  <si>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</si>
  <si>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</si>
  <si>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</si>
  <si>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</si>
  <si>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</si>
  <si>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</si>
  <si>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</si>
  <si>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</si>
  <si>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</si>
  <si>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</si>
  <si>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</si>
  <si>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</si>
  <si>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</si>
  <si>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</si>
  <si>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</si>
  <si>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</si>
  <si>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</si>
  <si>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</si>
  <si>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</si>
  <si>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</si>
  <si>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</si>
  <si>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</si>
  <si>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</si>
  <si>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</si>
  <si>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</si>
  <si>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</si>
  <si>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</si>
  <si>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</si>
  <si>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</si>
  <si>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</si>
  <si>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</si>
  <si>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</si>
  <si>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</si>
  <si>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</si>
  <si>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</si>
  <si>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</si>
  <si>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</si>
  <si>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</si>
  <si>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</si>
  <si>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</si>
  <si>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</si>
  <si>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</si>
  <si>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</si>
  <si>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</si>
  <si>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</si>
  <si>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</si>
  <si>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</si>
  <si>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</si>
  <si>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</si>
  <si>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</si>
  <si>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</si>
  <si>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</si>
  <si>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</si>
  <si>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</si>
  <si>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</si>
  <si>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</si>
  <si>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</si>
  <si>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</si>
  <si>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</si>
  <si>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</si>
  <si>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</si>
  <si>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</si>
  <si>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</si>
  <si>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</si>
  <si>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</si>
  <si>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</si>
  <si>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</si>
  <si>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</si>
  <si>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</si>
  <si>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</si>
  <si>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</si>
  <si>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</si>
  <si>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</si>
  <si>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</si>
  <si>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</si>
  <si>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</si>
  <si>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</si>
  <si>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</si>
  <si>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</si>
  <si>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</si>
  <si>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</si>
  <si>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</si>
  <si>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</si>
  <si>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</si>
  <si>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</si>
  <si>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</si>
  <si>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</si>
  <si>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</si>
  <si>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</si>
  <si>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</si>
  <si>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</si>
  <si>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</si>
  <si>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</si>
  <si>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</si>
  <si>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</si>
  <si>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</si>
  <si>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</si>
  <si>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</si>
  <si>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</si>
  <si>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</si>
  <si>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</si>
  <si>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</si>
  <si>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</si>
  <si>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</si>
  <si>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</si>
  <si>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</si>
  <si>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</si>
  <si>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</si>
  <si>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</si>
  <si>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</si>
  <si>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</si>
  <si>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</si>
  <si>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</si>
  <si>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</si>
  <si>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</si>
  <si>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</si>
  <si>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</si>
  <si>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</si>
  <si>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</si>
  <si>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</si>
  <si>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</si>
  <si>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</si>
  <si>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</si>
  <si>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</si>
  <si>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</si>
  <si>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</si>
  <si>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</si>
  <si>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</si>
  <si>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</si>
  <si>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</si>
  <si>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</si>
  <si>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</si>
  <si>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</si>
  <si>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</si>
  <si>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</si>
  <si>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</si>
  <si>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</si>
  <si>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</si>
  <si>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</si>
  <si>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</si>
  <si>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</si>
  <si>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</si>
  <si>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</si>
  <si>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</si>
  <si>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</si>
  <si>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</si>
  <si>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</si>
  <si>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</si>
  <si>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</si>
  <si>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</si>
  <si>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</si>
  <si>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</si>
  <si>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</si>
  <si>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</si>
  <si>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</si>
  <si>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</si>
  <si>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</si>
  <si>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</si>
  <si>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</si>
  <si>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</si>
  <si>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</si>
  <si>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</si>
  <si>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</si>
  <si>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</si>
  <si>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</si>
  <si>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</si>
  <si>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</si>
  <si>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</si>
  <si>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</si>
  <si>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</si>
  <si>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</si>
  <si>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</si>
  <si>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</si>
  <si>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</si>
  <si>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</si>
  <si>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</si>
  <si>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</si>
  <si>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</si>
  <si>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</si>
  <si>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</si>
  <si>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</si>
  <si>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</si>
  <si>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</si>
  <si>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</si>
  <si>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</si>
  <si>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</si>
  <si>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</si>
  <si>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</si>
  <si>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</si>
  <si>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</si>
  <si>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</si>
  <si>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</si>
  <si>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</si>
  <si>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</si>
  <si>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</si>
  <si>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</si>
  <si>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</si>
  <si>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</si>
  <si>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</si>
  <si>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</si>
  <si>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</si>
  <si>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</si>
  <si>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</si>
  <si>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</si>
  <si>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</si>
  <si>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</si>
  <si>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</si>
  <si>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</si>
  <si>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</si>
  <si>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</si>
  <si>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</si>
  <si>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</si>
  <si>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</si>
  <si>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</si>
  <si>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</si>
  <si>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</si>
  <si>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</si>
  <si>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</si>
  <si>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</si>
  <si>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</si>
  <si>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</si>
  <si>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</si>
  <si>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</si>
  <si>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</si>
  <si>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</si>
  <si>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</si>
  <si>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</si>
  <si>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</si>
  <si>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</si>
  <si>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</si>
  <si>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</si>
  <si>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</si>
  <si>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</si>
  <si>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</si>
  <si>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</si>
  <si>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</si>
  <si>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</si>
  <si>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</si>
  <si>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</si>
  <si>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</si>
  <si>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</si>
  <si>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</si>
  <si>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</si>
  <si>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</si>
  <si>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</si>
  <si>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</si>
  <si>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</si>
  <si>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</si>
  <si>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</si>
  <si>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</si>
  <si>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</si>
  <si>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</si>
  <si>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</si>
  <si>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</si>
  <si>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</si>
  <si>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</si>
  <si>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</si>
  <si>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</si>
  <si>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</si>
  <si>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</si>
  <si>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</si>
  <si>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</si>
  <si>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</si>
  <si>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</si>
  <si>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</si>
  <si>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</si>
  <si>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</si>
  <si>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</si>
  <si>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</si>
  <si>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</si>
  <si>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</si>
  <si>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</si>
  <si>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</si>
  <si>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</si>
  <si>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</si>
  <si>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</si>
  <si>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</si>
  <si>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</si>
  <si>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</si>
  <si>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</si>
  <si>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</si>
  <si>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</si>
  <si>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</si>
  <si>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</si>
  <si>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</si>
  <si>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</si>
  <si>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</si>
  <si>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</si>
  <si>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</si>
  <si>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</si>
  <si>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</si>
  <si>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</si>
  <si>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</si>
  <si>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</si>
  <si>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</si>
  <si>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</si>
  <si>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</si>
  <si>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</si>
  <si>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</si>
  <si>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</si>
  <si>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</si>
  <si>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</si>
  <si>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</si>
  <si>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</si>
  <si>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</si>
  <si>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</si>
  <si>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</si>
  <si>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</si>
  <si>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</si>
  <si>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</si>
  <si>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</si>
  <si>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</si>
  <si>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</si>
  <si>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</si>
  <si>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</si>
  <si>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</si>
  <si>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</si>
  <si>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</si>
  <si>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</si>
  <si>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</si>
  <si>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</si>
  <si>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</si>
  <si>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</si>
  <si>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</si>
  <si>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</si>
  <si>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</si>
  <si>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</si>
  <si>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</si>
  <si>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</si>
  <si>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</si>
  <si>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</si>
  <si>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</si>
  <si>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</si>
  <si>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</si>
  <si>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</si>
  <si>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</si>
  <si>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</si>
  <si>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</si>
  <si>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</si>
  <si>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</si>
  <si>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</si>
  <si>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</si>
  <si>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</si>
  <si>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</si>
  <si>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</si>
  <si>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</si>
  <si>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</si>
  <si>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</si>
  <si>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</si>
  <si>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</si>
  <si>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</si>
  <si>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</si>
  <si>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</si>
  <si>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</si>
  <si>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</si>
  <si>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</si>
  <si>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</si>
  <si>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</si>
  <si>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</si>
  <si>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</si>
  <si>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</si>
  <si>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</si>
  <si>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</si>
  <si>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</si>
  <si>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</si>
  <si>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</si>
  <si>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</si>
  <si>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</si>
  <si>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</si>
  <si>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</si>
  <si>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</si>
  <si>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</si>
  <si>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</si>
  <si>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</si>
  <si>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</si>
  <si>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</si>
  <si>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</si>
  <si>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</si>
  <si>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</si>
  <si>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</si>
  <si>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</si>
  <si>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</si>
  <si>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</si>
  <si>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</si>
  <si>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</si>
  <si>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</si>
  <si>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</si>
  <si>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</si>
  <si>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</si>
  <si>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</si>
  <si>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</si>
  <si>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</si>
  <si>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</si>
  <si>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</si>
  <si>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</si>
  <si>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</si>
  <si>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</si>
  <si>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</si>
  <si>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</si>
  <si>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</si>
  <si>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</si>
  <si>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</si>
  <si>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</si>
  <si>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</si>
  <si>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</si>
  <si>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</si>
  <si>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</si>
  <si>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</si>
  <si>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</si>
  <si>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</si>
  <si>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</si>
  <si>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</si>
  <si>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</si>
  <si>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</si>
  <si>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</si>
  <si>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</si>
  <si>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</si>
  <si>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</si>
  <si>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</si>
  <si>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</si>
  <si>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</si>
  <si>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</si>
  <si>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</si>
  <si>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</si>
  <si>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</si>
  <si>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</si>
  <si>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</si>
  <si>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</si>
  <si>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</si>
  <si>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</si>
  <si>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</si>
  <si>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</si>
  <si>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</si>
  <si>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</si>
  <si>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</si>
  <si>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</si>
  <si>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</si>
  <si>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</si>
  <si>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</si>
  <si>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</si>
  <si>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</si>
  <si>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</si>
  <si>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</si>
  <si>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</si>
  <si>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</si>
  <si>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</si>
  <si>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</si>
  <si>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</si>
  <si>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</si>
  <si>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</si>
  <si>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</si>
  <si>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</si>
  <si>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</si>
  <si>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</si>
  <si>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</si>
  <si>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</si>
  <si>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</si>
  <si>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</si>
  <si>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</si>
  <si>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</si>
  <si>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</si>
  <si>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</si>
  <si>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</si>
  <si>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</si>
  <si>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</si>
  <si>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</si>
  <si>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</si>
  <si>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</si>
  <si>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</si>
  <si>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</si>
  <si>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</si>
  <si>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</si>
  <si>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</si>
  <si>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</si>
  <si>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</si>
  <si>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</si>
  <si>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</si>
  <si>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</si>
  <si>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</si>
  <si>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</si>
  <si>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</si>
  <si>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</si>
  <si>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</si>
  <si>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</si>
  <si>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</si>
  <si>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</si>
  <si>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</si>
  <si>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</si>
  <si>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</si>
  <si>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</si>
  <si>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</si>
  <si>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</si>
  <si>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</si>
  <si>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</si>
  <si>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</si>
  <si>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</si>
  <si>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</si>
  <si>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</si>
  <si>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</si>
  <si>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</si>
  <si>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</si>
  <si>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</si>
  <si>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</si>
  <si>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</si>
  <si>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</si>
  <si>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</si>
  <si>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</si>
  <si>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</si>
  <si>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</si>
  <si>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</si>
  <si>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</si>
  <si>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</si>
  <si>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</si>
  <si>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</si>
  <si>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</si>
  <si>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</si>
  <si>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</si>
  <si>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</si>
  <si>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</si>
  <si>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</si>
  <si>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</si>
  <si>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</si>
  <si>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</si>
  <si>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</si>
  <si>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</si>
  <si>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</si>
  <si>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</si>
  <si>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</si>
  <si>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</si>
  <si>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</si>
  <si>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</si>
  <si>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</si>
  <si>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</si>
  <si>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</si>
  <si>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</si>
  <si>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</si>
  <si>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</si>
  <si>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</si>
  <si>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</si>
  <si>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</si>
  <si>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</si>
  <si>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</si>
  <si>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</si>
  <si>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</si>
  <si>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</si>
  <si>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</si>
  <si>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</si>
  <si>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</si>
  <si>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</si>
  <si>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</si>
  <si>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</si>
  <si>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</si>
  <si>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</si>
  <si>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</si>
  <si>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</si>
  <si>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</si>
  <si>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</si>
  <si>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</si>
  <si>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</si>
  <si>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</si>
  <si>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</si>
  <si>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</si>
  <si>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</si>
  <si>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</si>
  <si>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</si>
  <si>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</si>
  <si>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</si>
  <si>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</si>
  <si>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</si>
  <si>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</si>
  <si>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</si>
  <si>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</si>
  <si>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</si>
  <si>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</si>
  <si>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</si>
  <si>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</si>
  <si>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</si>
  <si>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</si>
  <si>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</si>
  <si>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</si>
  <si>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</si>
  <si>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</si>
  <si>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</si>
  <si>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</si>
  <si>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</si>
  <si>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</si>
  <si>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</si>
  <si>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</si>
  <si>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</si>
  <si>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</si>
  <si>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</si>
  <si>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</si>
  <si>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</si>
  <si>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</si>
  <si>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</si>
  <si>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</si>
  <si>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</si>
  <si>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</si>
  <si>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</si>
  <si>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</si>
  <si>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</si>
  <si>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</si>
  <si>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</si>
  <si>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</si>
  <si>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</si>
  <si>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</si>
  <si>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</si>
  <si>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</si>
  <si>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</si>
  <si>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</si>
  <si>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</si>
  <si>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</si>
  <si>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</si>
  <si>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</si>
  <si>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</si>
  <si>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</si>
  <si>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</si>
  <si>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</si>
  <si>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</si>
  <si>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</si>
  <si>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</si>
  <si>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</si>
  <si>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</si>
  <si>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</si>
  <si>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</si>
  <si>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</si>
  <si>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</si>
  <si>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</si>
  <si>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</si>
  <si>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</si>
  <si>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</si>
  <si>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</si>
  <si>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</si>
  <si>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</si>
  <si>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</si>
  <si>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</si>
  <si>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</si>
  <si>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</si>
  <si>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</si>
  <si>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</si>
  <si>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</si>
  <si>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</si>
  <si>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</si>
  <si>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</si>
  <si>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</si>
  <si>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</si>
  <si>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</si>
  <si>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</si>
  <si>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</si>
  <si>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</si>
  <si>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</si>
  <si>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</si>
  <si>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</si>
  <si>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</si>
  <si>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</si>
  <si>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</si>
  <si>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</si>
  <si>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</si>
  <si>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</si>
  <si>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</si>
  <si>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</si>
  <si>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</si>
  <si>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</si>
  <si>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</si>
  <si>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</si>
  <si>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</si>
  <si>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</si>
  <si>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</si>
  <si>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</si>
  <si>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</si>
  <si>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</si>
  <si>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</si>
  <si>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</si>
  <si>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</si>
  <si>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</si>
  <si>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</si>
  <si>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</si>
  <si>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</si>
  <si>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</si>
  <si>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</si>
  <si>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</si>
  <si>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</si>
  <si>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</si>
  <si>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</si>
  <si>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</si>
  <si>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</si>
  <si>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</si>
  <si>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</si>
  <si>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</si>
  <si>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</si>
  <si>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</si>
  <si>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</si>
  <si>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</si>
  <si>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</si>
  <si>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</si>
  <si>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</si>
  <si>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</si>
  <si>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</si>
  <si>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</si>
  <si>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</si>
  <si>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</si>
  <si>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</si>
  <si>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</si>
  <si>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</si>
  <si>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</si>
  <si>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</si>
  <si>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</si>
  <si>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</si>
  <si>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</si>
  <si>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</si>
  <si>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</si>
  <si>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</si>
  <si>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</si>
  <si>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</si>
  <si>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</si>
  <si>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</si>
  <si>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</si>
  <si>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</si>
  <si>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</si>
  <si>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</si>
  <si>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</si>
  <si>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</si>
  <si>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</si>
  <si>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</si>
  <si>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</si>
  <si>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</si>
  <si>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</si>
  <si>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</si>
  <si>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</si>
  <si>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</si>
  <si>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</si>
  <si>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</si>
  <si>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</si>
  <si>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</si>
  <si>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</si>
  <si>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</si>
  <si>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</si>
  <si>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</si>
  <si>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</si>
  <si>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</si>
  <si>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</si>
  <si>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</si>
  <si>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</si>
  <si>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</si>
  <si>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</si>
  <si>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</si>
  <si>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</si>
  <si>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</si>
  <si>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</si>
  <si>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</si>
  <si>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</si>
  <si>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</si>
  <si>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</si>
  <si>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</si>
  <si>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</si>
  <si>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</si>
  <si>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</si>
  <si>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</si>
  <si>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</si>
  <si>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</si>
  <si>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</si>
  <si>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</si>
  <si>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</si>
  <si>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</si>
  <si>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</si>
  <si>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</si>
  <si>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</si>
  <si>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</si>
  <si>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</si>
  <si>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</si>
  <si>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</si>
  <si>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</si>
  <si>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</si>
  <si>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</si>
  <si>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</si>
  <si>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</si>
  <si>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</si>
  <si>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</si>
  <si>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</si>
  <si>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</si>
  <si>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</si>
  <si>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</si>
  <si>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</si>
  <si>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</si>
  <si>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</si>
  <si>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</si>
  <si>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</si>
  <si>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</si>
  <si>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</si>
  <si>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</si>
  <si>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</si>
  <si>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</si>
  <si>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</si>
  <si>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</si>
  <si>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</si>
  <si>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</si>
  <si>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</si>
  <si>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</si>
  <si>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</si>
  <si>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</si>
  <si>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</si>
  <si>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</si>
  <si>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</si>
  <si>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</si>
  <si>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</si>
  <si>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</si>
  <si>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</si>
  <si>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</si>
  <si>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</si>
  <si>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</si>
  <si>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</si>
  <si>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</si>
  <si>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</si>
  <si>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</si>
  <si>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</si>
  <si>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</si>
  <si>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</si>
  <si>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</si>
  <si>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</si>
  <si>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</si>
  <si>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</si>
  <si>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</si>
  <si>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</si>
  <si>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</si>
  <si>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</si>
  <si>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</si>
  <si>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</si>
  <si>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</si>
  <si>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</si>
  <si>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</si>
  <si>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</si>
  <si>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</si>
  <si>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</si>
  <si>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</si>
  <si>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</si>
  <si>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</si>
  <si>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</si>
  <si>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</si>
  <si>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</si>
  <si>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</si>
  <si>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</si>
  <si>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</si>
  <si>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</si>
  <si>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</si>
  <si>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</si>
  <si>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</si>
  <si>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</si>
  <si>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</si>
  <si>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</si>
  <si>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</si>
  <si>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</si>
  <si>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</si>
  <si>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</si>
  <si>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</si>
  <si>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</si>
  <si>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</si>
  <si>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</si>
  <si>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</si>
  <si>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</si>
  <si>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</si>
  <si>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</si>
  <si>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</si>
  <si>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</si>
  <si>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</si>
  <si>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</si>
  <si>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</si>
  <si>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</si>
  <si>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</si>
  <si>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</si>
  <si>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</si>
  <si>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</si>
  <si>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</si>
  <si>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</si>
  <si>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</si>
  <si>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</si>
  <si>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</si>
  <si>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</si>
  <si>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</si>
  <si>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</si>
  <si>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</si>
  <si>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</si>
  <si>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</si>
  <si>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</si>
  <si>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</si>
  <si>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</si>
  <si>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</si>
  <si>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</si>
  <si>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</si>
  <si>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</si>
  <si>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</si>
  <si>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</si>
  <si>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</si>
  <si>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</si>
  <si>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</si>
  <si>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</si>
  <si>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</si>
  <si>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</si>
  <si>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</si>
  <si>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</si>
  <si>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</si>
  <si>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</si>
  <si>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</si>
  <si>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</si>
  <si>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</si>
  <si>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</si>
  <si>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</si>
  <si>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</si>
  <si>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</si>
  <si>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</si>
  <si>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</si>
  <si>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</si>
  <si>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</si>
  <si>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</si>
  <si>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</si>
  <si>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</si>
  <si>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</si>
  <si>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</si>
  <si>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</si>
  <si>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</si>
  <si>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</si>
  <si>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</si>
  <si>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</si>
  <si>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</si>
  <si>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</si>
  <si>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</si>
  <si>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</si>
  <si>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</si>
  <si>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</si>
  <si>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</si>
  <si>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</si>
  <si>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</si>
  <si>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</si>
  <si>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</si>
  <si>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</si>
  <si>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</si>
  <si>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</si>
  <si>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</si>
  <si>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</si>
  <si>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</si>
  <si>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</si>
  <si>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</si>
  <si>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</si>
  <si>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</si>
  <si>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</si>
  <si>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</si>
  <si>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</si>
  <si>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</si>
  <si>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</si>
  <si>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</si>
  <si>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</si>
  <si>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</si>
  <si>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</si>
  <si>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</si>
  <si>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</si>
  <si>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</si>
  <si>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</si>
  <si>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</si>
  <si>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</si>
  <si>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</si>
  <si>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</si>
  <si>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</si>
  <si>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</si>
  <si>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</si>
  <si>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</si>
  <si>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</si>
  <si>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</si>
  <si>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</si>
  <si>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</si>
  <si>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</si>
  <si>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</si>
  <si>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</si>
  <si>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</si>
  <si>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</si>
  <si>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</si>
  <si>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</si>
  <si>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</si>
  <si>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</si>
  <si>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</si>
  <si>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</si>
  <si>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</si>
  <si>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</si>
  <si>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</si>
  <si>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</si>
  <si>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</si>
  <si>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</si>
  <si>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</si>
  <si>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</si>
  <si>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</si>
  <si>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</si>
  <si>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</si>
  <si>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</si>
  <si>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</si>
  <si>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</si>
  <si>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</si>
  <si>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</si>
  <si>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</si>
  <si>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</si>
  <si>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</si>
  <si>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</si>
  <si>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</si>
  <si>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</si>
  <si>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</si>
  <si>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</si>
  <si>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</si>
  <si>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</si>
  <si>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</si>
  <si>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</si>
  <si>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</si>
  <si>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</si>
  <si>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</si>
  <si>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</si>
  <si>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</si>
  <si>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</si>
  <si>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</si>
  <si>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</si>
  <si>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</si>
  <si>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</si>
  <si>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</si>
  <si>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</si>
  <si>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</si>
  <si>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</si>
  <si>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</si>
  <si>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</si>
  <si>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</si>
  <si>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</si>
  <si>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</si>
  <si>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</si>
  <si>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</si>
  <si>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</si>
  <si>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</si>
  <si>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</si>
  <si>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</si>
  <si>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</si>
  <si>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</si>
  <si>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</si>
  <si>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</si>
  <si>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</si>
  <si>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</si>
  <si>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</si>
  <si>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</si>
  <si>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</si>
  <si>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</si>
  <si>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</si>
  <si>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</si>
  <si>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</si>
  <si>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</si>
  <si>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</si>
  <si>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</si>
  <si>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</si>
  <si>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</si>
  <si>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</si>
  <si>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</si>
  <si>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</si>
  <si>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</si>
  <si>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</si>
  <si>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</si>
  <si>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</si>
  <si>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</si>
  <si>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</si>
  <si>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</si>
  <si>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</si>
  <si>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</si>
  <si>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</si>
  <si>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</si>
  <si>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</si>
  <si>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</si>
  <si>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</si>
  <si>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</si>
  <si>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</si>
  <si>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</si>
  <si>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</si>
  <si>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</si>
  <si>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</si>
  <si>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</si>
  <si>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</si>
  <si>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</si>
  <si>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</si>
  <si>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</si>
  <si>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</si>
  <si>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</si>
  <si>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</si>
  <si>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</si>
  <si>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</si>
  <si>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</si>
  <si>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</si>
  <si>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</si>
  <si>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</si>
  <si>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</si>
  <si>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</si>
  <si>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</si>
  <si>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</si>
  <si>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</si>
  <si>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</si>
  <si>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</si>
  <si>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</si>
  <si>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</si>
  <si>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</si>
  <si>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</si>
  <si>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</si>
  <si>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</si>
  <si>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</si>
  <si>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</si>
  <si>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</si>
  <si>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</si>
  <si>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</si>
  <si>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</si>
  <si>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</si>
  <si>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</si>
  <si>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</si>
  <si>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</si>
  <si>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</si>
  <si>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</si>
  <si>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</si>
  <si>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</si>
  <si>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</si>
  <si>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</si>
  <si>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</si>
  <si>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</si>
  <si>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</si>
  <si>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</si>
  <si>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</si>
  <si>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</si>
  <si>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</si>
  <si>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</si>
  <si>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</si>
  <si>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</si>
  <si>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</si>
  <si>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</si>
  <si>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</si>
  <si>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</si>
  <si>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</si>
  <si>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</si>
  <si>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</si>
  <si>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</si>
  <si>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</si>
  <si>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</si>
  <si>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</si>
  <si>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</si>
  <si>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</si>
  <si>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</si>
  <si>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</si>
  <si>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</si>
  <si>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</si>
  <si>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</si>
  <si>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</si>
  <si>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</si>
  <si>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</si>
  <si>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</si>
  <si>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</si>
  <si>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</si>
  <si>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</si>
  <si>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</si>
  <si>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</si>
  <si>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</si>
  <si>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</si>
  <si>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</si>
  <si>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</si>
  <si>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</si>
  <si>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</si>
  <si>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</si>
  <si>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</si>
  <si>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</si>
  <si>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</si>
  <si>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</si>
  <si>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</si>
  <si>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</si>
  <si>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</si>
  <si>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</si>
  <si>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</si>
  <si>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</si>
  <si>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</si>
  <si>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</si>
  <si>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</si>
  <si>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</si>
  <si>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</si>
  <si>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</si>
  <si>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</si>
  <si>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</si>
  <si>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</si>
  <si>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</si>
  <si>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</si>
  <si>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</si>
  <si>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</si>
  <si>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</si>
  <si>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</si>
  <si>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</si>
  <si>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</si>
  <si>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</si>
  <si>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</si>
  <si>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</si>
  <si>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</si>
  <si>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</si>
  <si>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</si>
  <si>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</si>
  <si>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</si>
  <si>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</si>
  <si>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</si>
  <si>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</si>
  <si>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</si>
  <si>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</si>
  <si>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</si>
  <si>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</si>
  <si>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</si>
  <si>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</si>
  <si>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</si>
  <si>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</si>
  <si>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</si>
  <si>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</si>
  <si>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</si>
  <si>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</si>
  <si>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</si>
  <si>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</si>
  <si>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</si>
  <si>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</si>
  <si>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</si>
  <si>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</si>
  <si>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</si>
  <si>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</si>
  <si>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</si>
  <si>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</si>
  <si>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</si>
  <si>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</si>
  <si>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</si>
  <si>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</si>
  <si>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</si>
  <si>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</si>
  <si>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</si>
  <si>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</si>
  <si>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</si>
  <si>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</si>
  <si>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</si>
  <si>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</si>
  <si>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</si>
  <si>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</si>
  <si>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</si>
  <si>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</si>
  <si>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</si>
  <si>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</si>
  <si>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</si>
  <si>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</si>
  <si>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</si>
  <si>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</si>
  <si>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</si>
  <si>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</si>
  <si>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</si>
  <si>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</si>
  <si>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</si>
  <si>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</si>
  <si>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</si>
  <si>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</si>
  <si>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</si>
  <si>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</si>
  <si>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</si>
  <si>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</si>
  <si>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</si>
  <si>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</si>
  <si>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</si>
  <si>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</si>
  <si>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</si>
  <si>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</si>
  <si>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</si>
  <si>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</si>
  <si>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</si>
  <si>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</si>
  <si>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</si>
  <si>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</si>
  <si>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</si>
  <si>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</si>
  <si>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</si>
  <si>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</si>
  <si>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</si>
  <si>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</si>
  <si>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</si>
  <si>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</si>
  <si>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</si>
  <si>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</si>
  <si>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</si>
  <si>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</si>
  <si>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</si>
  <si>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</si>
  <si>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</si>
  <si>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</si>
  <si>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</si>
  <si>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</si>
  <si>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</si>
  <si>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</si>
  <si>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</si>
  <si>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</si>
  <si>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</si>
  <si>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</si>
  <si>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</si>
  <si>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</si>
  <si>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</si>
  <si>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</si>
  <si>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</si>
  <si>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</si>
  <si>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</si>
  <si>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</si>
  <si>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</si>
  <si>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</si>
  <si>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</si>
  <si>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</si>
  <si>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</si>
  <si>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</si>
  <si>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</si>
  <si>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</si>
  <si>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</si>
  <si>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</si>
  <si>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</si>
  <si>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</si>
  <si>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</si>
  <si>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</si>
  <si>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</si>
  <si>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</si>
  <si>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</si>
  <si>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</si>
  <si>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</si>
  <si>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</si>
  <si>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</si>
  <si>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</si>
  <si>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</si>
  <si>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</si>
  <si>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</si>
  <si>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</si>
  <si>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</si>
  <si>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</si>
  <si>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</si>
  <si>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</si>
  <si>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</si>
  <si>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</si>
  <si>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</si>
  <si>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</si>
  <si>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</si>
  <si>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</si>
  <si>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</si>
  <si>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</si>
  <si>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</si>
  <si>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</si>
  <si>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</si>
  <si>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</si>
  <si>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</si>
  <si>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</si>
  <si>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</si>
  <si>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</si>
  <si>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</si>
  <si>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</si>
  <si>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</si>
  <si>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</si>
  <si>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</si>
  <si>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</si>
  <si>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</si>
  <si>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</si>
  <si>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</si>
  <si>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</si>
  <si>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</si>
  <si>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</si>
  <si>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</si>
  <si>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</si>
  <si>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</si>
  <si>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</si>
  <si>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</si>
  <si>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</si>
  <si>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</si>
  <si>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</si>
  <si>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</si>
  <si>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</si>
  <si>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</si>
  <si>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</si>
  <si>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</si>
  <si>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</si>
  <si>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</si>
  <si>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</si>
  <si>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</si>
  <si>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</si>
  <si>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</si>
  <si>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</si>
  <si>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</si>
  <si>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</si>
  <si>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</si>
  <si>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</si>
  <si>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</si>
  <si>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</si>
  <si>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</si>
  <si>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</si>
  <si>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</si>
  <si>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</si>
  <si>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</si>
  <si>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</si>
  <si>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</si>
  <si>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</si>
  <si>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</si>
  <si>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</si>
  <si>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</si>
  <si>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</si>
  <si>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</si>
  <si>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</si>
  <si>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</si>
  <si>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</si>
  <si>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</si>
  <si>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</si>
  <si>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</si>
  <si>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</si>
  <si>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</si>
  <si>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</si>
  <si>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</si>
  <si>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</si>
  <si>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</si>
  <si>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</si>
  <si>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</si>
  <si>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</si>
  <si>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</si>
  <si>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</si>
  <si>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</si>
  <si>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</si>
  <si>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</si>
  <si>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</si>
  <si>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</si>
  <si>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</si>
  <si>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</si>
  <si>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</si>
  <si>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</si>
  <si>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</si>
  <si>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</si>
  <si>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</si>
  <si>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</si>
  <si>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</si>
  <si>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</si>
  <si>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</si>
  <si>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</si>
  <si>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</si>
  <si>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</si>
  <si>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</si>
  <si>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</si>
  <si>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</si>
  <si>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</si>
  <si>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</si>
  <si>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</si>
  <si>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</si>
  <si>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</si>
  <si>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</si>
  <si>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</si>
  <si>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</si>
  <si>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</si>
  <si>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</si>
  <si>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</si>
  <si>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</si>
  <si>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</si>
  <si>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</si>
  <si>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</si>
  <si>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</si>
  <si>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</si>
  <si>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</si>
  <si>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</si>
  <si>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</si>
  <si>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</si>
  <si>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</si>
  <si>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</si>
  <si>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</si>
  <si>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</si>
  <si>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</si>
  <si>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</si>
  <si>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</si>
  <si>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</si>
  <si>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</si>
  <si>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</si>
  <si>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</si>
  <si>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</si>
  <si>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</si>
  <si>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</si>
  <si>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</si>
  <si>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</si>
  <si>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</si>
  <si>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</si>
  <si>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</si>
  <si>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</si>
  <si>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</si>
  <si>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</si>
  <si>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</si>
  <si>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</si>
  <si>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</si>
  <si>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</si>
  <si>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</si>
  <si>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</si>
  <si>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</si>
  <si>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</si>
  <si>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</si>
  <si>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</si>
  <si>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</si>
  <si>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</si>
  <si>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</si>
  <si>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</si>
  <si>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</si>
  <si>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</si>
  <si>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</si>
  <si>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</si>
  <si>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</si>
  <si>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</si>
  <si>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</si>
  <si>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</si>
  <si>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</si>
  <si>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</si>
  <si>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</si>
  <si>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</si>
  <si>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</si>
  <si>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</si>
  <si>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</si>
  <si>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</si>
  <si>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</si>
  <si>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</si>
  <si>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</si>
  <si>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</si>
  <si>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</si>
  <si>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</si>
  <si>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</si>
  <si>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</si>
  <si>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</si>
  <si>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</si>
  <si>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</si>
  <si>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</si>
  <si>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</si>
  <si>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</si>
  <si>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</si>
  <si>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</si>
  <si>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</si>
  <si>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</si>
  <si>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</si>
  <si>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</si>
  <si>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</si>
  <si>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</si>
  <si>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</si>
  <si>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</si>
  <si>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</si>
  <si>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</si>
  <si>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</si>
  <si>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</si>
  <si>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</si>
  <si>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</si>
  <si>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</si>
  <si>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</si>
  <si>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</si>
  <si>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</si>
  <si>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</si>
  <si>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</si>
  <si>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</si>
  <si>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</si>
  <si>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</si>
  <si>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</si>
  <si>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</si>
  <si>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</si>
  <si>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</si>
  <si>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</si>
  <si>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</si>
  <si>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</si>
  <si>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</si>
  <si>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</si>
  <si>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</si>
  <si>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</si>
  <si>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</si>
  <si>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</si>
  <si>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</si>
  <si>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</si>
  <si>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</si>
  <si>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</si>
  <si>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</si>
  <si>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</si>
  <si>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</si>
  <si>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</si>
  <si>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</si>
  <si>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</si>
  <si>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</si>
  <si>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</si>
  <si>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</si>
  <si>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</si>
  <si>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</si>
  <si>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</si>
  <si>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</si>
  <si>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</si>
  <si>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</si>
  <si>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</si>
  <si>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</si>
  <si>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</si>
  <si>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</si>
  <si>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</si>
  <si>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</si>
  <si>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</si>
  <si>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</si>
  <si>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</si>
  <si>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</si>
  <si>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</si>
  <si>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</si>
  <si>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</si>
  <si>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</si>
  <si>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</si>
  <si>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</si>
  <si>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</si>
  <si>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</si>
  <si>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</si>
  <si>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</si>
  <si>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</si>
  <si>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</si>
  <si>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</si>
  <si>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</si>
  <si>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</si>
  <si>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</si>
  <si>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</si>
  <si>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</si>
  <si>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</si>
  <si>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</si>
  <si>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</si>
  <si>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</si>
  <si>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</si>
  <si>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</si>
  <si>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</si>
  <si>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</si>
  <si>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</si>
  <si>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</si>
  <si>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</si>
  <si>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</si>
  <si>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</si>
  <si>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</si>
  <si>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</si>
  <si>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</si>
  <si>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</si>
  <si>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</si>
  <si>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</si>
  <si>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</si>
  <si>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</si>
  <si>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</si>
  <si>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</si>
  <si>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</si>
  <si>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</si>
  <si>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</si>
  <si>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</si>
  <si>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</si>
  <si>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</si>
  <si>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</si>
  <si>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</si>
  <si>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</si>
  <si>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</si>
  <si>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</si>
  <si>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</si>
  <si>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</si>
  <si>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</si>
  <si>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</si>
  <si>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</si>
  <si>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</si>
  <si>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</si>
  <si>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</si>
  <si>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</si>
  <si>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</si>
  <si>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</si>
  <si>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</si>
  <si>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</si>
  <si>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</si>
  <si>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</si>
  <si>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</si>
  <si>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</si>
  <si>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</si>
  <si>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</si>
  <si>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</si>
  <si>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</si>
  <si>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</si>
  <si>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</si>
  <si>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</si>
  <si>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</si>
  <si>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</si>
  <si>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</si>
  <si>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</si>
  <si>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</si>
  <si>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</si>
  <si>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</si>
  <si>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</si>
  <si>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</si>
  <si>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</si>
  <si>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</si>
  <si>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</si>
  <si>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</si>
  <si>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</si>
  <si>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</si>
  <si>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</si>
  <si>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</si>
  <si>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</si>
  <si>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</si>
  <si>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</si>
  <si>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</si>
  <si>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</si>
  <si>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</si>
  <si>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</si>
  <si>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</si>
  <si>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</si>
  <si>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</si>
  <si>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</si>
  <si>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</si>
  <si>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</si>
  <si>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</si>
  <si>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</si>
  <si>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</si>
  <si>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</si>
  <si>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</si>
  <si>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</si>
  <si>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</si>
  <si>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</si>
  <si>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</si>
  <si>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</si>
  <si>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</si>
  <si>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</si>
  <si>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</si>
  <si>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</si>
  <si>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</si>
  <si>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</si>
  <si>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</si>
  <si>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</si>
  <si>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</si>
  <si>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</si>
  <si>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</si>
  <si>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</si>
  <si>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</si>
  <si>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</si>
  <si>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</si>
  <si>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</si>
  <si>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</si>
  <si>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</si>
  <si>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</si>
  <si>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</si>
  <si>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</si>
  <si>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</si>
  <si>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</si>
  <si>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</si>
  <si>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</si>
  <si>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</si>
  <si>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</si>
  <si>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</si>
  <si>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</si>
  <si>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</si>
  <si>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</si>
  <si>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</si>
  <si>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</si>
  <si>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</si>
  <si>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</si>
  <si>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</si>
  <si>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</si>
  <si>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</si>
  <si>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</si>
  <si>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</si>
  <si>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</si>
  <si>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</si>
  <si>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</si>
  <si>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</si>
  <si>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</si>
  <si>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</si>
  <si>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</si>
  <si>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</si>
  <si>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</si>
  <si>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</si>
  <si>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</si>
  <si>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</si>
  <si>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</si>
  <si>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</si>
  <si>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</si>
  <si>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</si>
  <si>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</si>
  <si>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</si>
  <si>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</si>
  <si>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</si>
  <si>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</si>
  <si>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</si>
  <si>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</si>
  <si>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</si>
  <si>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</si>
  <si>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</si>
  <si>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</si>
  <si>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</si>
  <si>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</si>
  <si>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</si>
  <si>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</si>
  <si>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</si>
  <si>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</si>
  <si>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</si>
  <si>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</si>
  <si>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</si>
  <si>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</si>
  <si>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</si>
  <si>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</si>
  <si>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</si>
  <si>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</si>
  <si>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</si>
  <si>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</si>
  <si>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</si>
  <si>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</si>
  <si>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</si>
  <si>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</si>
  <si>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</si>
  <si>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</si>
  <si>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</si>
  <si>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</si>
  <si>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</si>
  <si>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</si>
  <si>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</si>
  <si>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</si>
  <si>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</si>
  <si>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</si>
  <si>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</si>
  <si>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</si>
  <si>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</si>
  <si>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</si>
  <si>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</si>
  <si>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</si>
  <si>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</si>
  <si>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</si>
  <si>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</si>
  <si>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</si>
  <si>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</si>
  <si>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</si>
  <si>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</si>
  <si>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</si>
  <si>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</si>
  <si>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</si>
  <si>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</si>
  <si>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</si>
  <si>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</si>
  <si>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</si>
  <si>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</si>
  <si>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</si>
  <si>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</si>
  <si>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</si>
  <si>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</si>
  <si>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</si>
  <si>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</si>
  <si>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</si>
  <si>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</si>
  <si>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</si>
  <si>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</si>
  <si>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</si>
  <si>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</si>
  <si>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</si>
  <si>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</si>
  <si>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</si>
  <si>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</si>
  <si>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</si>
  <si>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</si>
  <si>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</si>
  <si>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</si>
  <si>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</si>
  <si>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</si>
  <si>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</si>
  <si>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</si>
  <si>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</si>
  <si>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</si>
  <si>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</si>
  <si>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</si>
  <si>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</si>
  <si>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</si>
  <si>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</si>
  <si>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</si>
  <si>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</si>
  <si>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</si>
  <si>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</si>
  <si>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</si>
  <si>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</si>
  <si>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</si>
  <si>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</si>
  <si>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</si>
  <si>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</si>
  <si>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</si>
  <si>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</si>
  <si>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</si>
  <si>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</si>
  <si>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</si>
  <si>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</si>
  <si>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</si>
  <si>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</si>
  <si>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</si>
  <si>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</si>
  <si>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</si>
  <si>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</si>
  <si>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</si>
  <si>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</si>
  <si>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</si>
  <si>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</si>
  <si>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</si>
  <si>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</si>
  <si>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</si>
  <si>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</si>
  <si>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</si>
  <si>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</si>
  <si>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</si>
  <si>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</si>
  <si>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</si>
  <si>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</si>
  <si>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</si>
  <si>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</si>
  <si>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</si>
  <si>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</si>
  <si>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</si>
  <si>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</si>
  <si>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</si>
  <si>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</si>
  <si>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</si>
  <si>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</si>
  <si>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</si>
  <si>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</si>
  <si>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</si>
  <si>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</si>
  <si>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</si>
  <si>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</si>
  <si>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</si>
  <si>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</si>
  <si>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</si>
  <si>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</si>
  <si>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</si>
  <si>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</si>
  <si>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</si>
  <si>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</si>
  <si>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</si>
  <si>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</si>
  <si>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</si>
  <si>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</si>
  <si>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</si>
  <si>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</si>
  <si>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</si>
  <si>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</si>
  <si>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</si>
  <si>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</si>
  <si>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</si>
  <si>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</si>
  <si>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</si>
  <si>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</si>
  <si>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</si>
  <si>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</si>
  <si>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</si>
  <si>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</si>
  <si>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</si>
  <si>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</si>
  <si>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</si>
  <si>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</si>
  <si>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</si>
  <si>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</si>
  <si>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</si>
  <si>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</si>
  <si>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</si>
  <si>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</si>
  <si>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</si>
  <si>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</si>
  <si>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</si>
  <si>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</si>
  <si>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</si>
  <si>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</si>
  <si>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</si>
  <si>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</si>
  <si>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</si>
  <si>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</si>
  <si>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</si>
  <si>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</si>
  <si>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</si>
  <si>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</si>
  <si>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</si>
  <si>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</si>
  <si>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</si>
  <si>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</si>
  <si>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</si>
  <si>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</si>
  <si>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</si>
  <si>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</si>
  <si>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</si>
  <si>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</si>
  <si>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</si>
  <si>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</si>
  <si>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</si>
  <si>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</si>
  <si>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</si>
  <si>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</si>
  <si>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</si>
  <si>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</si>
  <si>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</si>
  <si>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</si>
  <si>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</si>
  <si>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</si>
  <si>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</si>
  <si>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</si>
  <si>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</si>
  <si>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</si>
  <si>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</si>
  <si>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</si>
  <si>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</si>
  <si>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</si>
  <si>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</si>
  <si>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</si>
  <si>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</si>
  <si>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</si>
  <si>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</si>
  <si>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</si>
  <si>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</si>
  <si>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</si>
  <si>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</si>
  <si>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</si>
  <si>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</si>
  <si>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</si>
  <si>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</si>
  <si>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</si>
  <si>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</si>
  <si>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</si>
  <si>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</si>
  <si>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</si>
  <si>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</si>
  <si>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</si>
  <si>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</si>
  <si>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</si>
  <si>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</si>
  <si>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</si>
  <si>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</si>
  <si>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</si>
  <si>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</si>
  <si>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</si>
  <si>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</si>
  <si>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</si>
  <si>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</si>
  <si>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</si>
  <si>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</si>
  <si>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</si>
  <si>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</si>
  <si>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</si>
  <si>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</si>
  <si>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</si>
  <si>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</si>
  <si>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</si>
  <si>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</si>
  <si>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</si>
  <si>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</si>
  <si>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</si>
  <si>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</si>
  <si>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</si>
  <si>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</si>
  <si>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</si>
  <si>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</si>
  <si>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</si>
  <si>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</si>
  <si>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</si>
  <si>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</si>
  <si>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</si>
  <si>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</si>
  <si>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</si>
  <si>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</si>
  <si>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</si>
  <si>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</si>
  <si>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</si>
  <si>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</si>
  <si>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</si>
  <si>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</si>
  <si>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</si>
  <si>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</si>
  <si>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</si>
  <si>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</si>
  <si>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</si>
  <si>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</si>
  <si>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</si>
  <si>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</si>
  <si>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</si>
  <si>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</si>
  <si>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</si>
  <si>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</si>
  <si>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</si>
  <si>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</si>
  <si>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</si>
  <si>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</si>
  <si>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</si>
  <si>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</si>
  <si>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</si>
  <si>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</si>
  <si>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</si>
  <si>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</si>
  <si>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</si>
  <si>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</si>
  <si>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</si>
  <si>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</si>
  <si>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</si>
  <si>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</si>
  <si>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</si>
  <si>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</si>
  <si>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</si>
  <si>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</si>
  <si>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</si>
  <si>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</si>
  <si>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</si>
  <si>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</si>
  <si>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</si>
  <si>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</si>
  <si>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</si>
  <si>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</si>
  <si>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</si>
  <si>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</si>
  <si>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</si>
  <si>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</si>
  <si>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</si>
  <si>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</si>
  <si>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</si>
  <si>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</si>
  <si>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</si>
  <si>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</si>
  <si>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</si>
  <si>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</si>
  <si>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</si>
  <si>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</si>
  <si>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</si>
  <si>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</si>
  <si>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</si>
  <si>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</si>
  <si>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</si>
  <si>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</si>
  <si>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</si>
  <si>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</si>
  <si>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</si>
  <si>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</si>
  <si>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</si>
  <si>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</si>
  <si>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</si>
  <si>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</si>
  <si>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</si>
  <si>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</si>
  <si>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</si>
  <si>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</si>
  <si>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</si>
  <si>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</si>
  <si>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</si>
  <si>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</si>
  <si>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</si>
  <si>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</si>
  <si>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</si>
  <si>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</si>
  <si>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</si>
  <si>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</si>
  <si>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</si>
  <si>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</si>
  <si>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</si>
  <si>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</si>
  <si>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</si>
  <si>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</si>
  <si>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</si>
  <si>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</si>
  <si>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</si>
  <si>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</si>
  <si>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</si>
  <si>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</si>
  <si>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</si>
  <si>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</si>
  <si>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</si>
  <si>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</si>
  <si>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</si>
  <si>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</si>
  <si>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</si>
  <si>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</si>
  <si>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</si>
  <si>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</si>
  <si>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</si>
  <si>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</si>
  <si>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</si>
  <si>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</si>
  <si>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</si>
  <si>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</si>
  <si>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</si>
  <si>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</si>
  <si>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</si>
  <si>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</si>
  <si>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</si>
  <si>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</si>
  <si>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</si>
  <si>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</si>
  <si>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</si>
  <si>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</si>
  <si>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</si>
  <si>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</si>
  <si>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</si>
  <si>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</si>
  <si>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</si>
  <si>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</si>
  <si>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</si>
  <si>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</si>
  <si>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</si>
  <si>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</si>
  <si>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</si>
  <si>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</si>
  <si>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</si>
  <si>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</si>
  <si>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</si>
  <si>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</si>
  <si>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</si>
  <si>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</si>
  <si>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</si>
  <si>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</si>
  <si>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</si>
  <si>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</si>
  <si>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</si>
  <si>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</si>
  <si>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</si>
  <si>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</si>
  <si>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</si>
  <si>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</si>
  <si>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</si>
  <si>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</si>
  <si>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</si>
  <si>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</si>
  <si>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</si>
  <si>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</si>
  <si>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</si>
  <si>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</si>
  <si>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</si>
  <si>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</si>
  <si>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</si>
  <si>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</si>
  <si>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</si>
  <si>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</si>
  <si>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</si>
  <si>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</si>
  <si>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</si>
  <si>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</si>
  <si>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</si>
  <si>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</si>
  <si>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</si>
  <si>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</si>
  <si>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</si>
  <si>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</si>
  <si>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</si>
  <si>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</si>
  <si>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</si>
  <si>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</si>
  <si>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</si>
  <si>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</si>
  <si>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</si>
  <si>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</si>
  <si>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</si>
  <si>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</si>
  <si>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</si>
  <si>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</si>
  <si>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</si>
  <si>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</si>
  <si>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</si>
  <si>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</si>
  <si>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</si>
  <si>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</si>
  <si>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</si>
  <si>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</si>
  <si>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</si>
  <si>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</si>
  <si>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</si>
  <si>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</si>
  <si>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</si>
  <si>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</si>
  <si>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</si>
  <si>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</si>
  <si>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</si>
  <si>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</si>
  <si>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</si>
  <si>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</si>
  <si>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</si>
  <si>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</si>
  <si>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</si>
  <si>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</si>
  <si>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</si>
  <si>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</si>
  <si>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</si>
  <si>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</si>
  <si>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</si>
  <si>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</si>
  <si>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</si>
  <si>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</si>
  <si>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</si>
  <si>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</si>
  <si>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</si>
  <si>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</si>
  <si>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</si>
  <si>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</si>
  <si>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</si>
  <si>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</si>
  <si>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</si>
  <si>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</si>
  <si>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</si>
  <si>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</si>
  <si>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</si>
  <si>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</si>
  <si>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</si>
  <si>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</si>
  <si>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</si>
  <si>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</si>
  <si>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</si>
  <si>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</si>
  <si>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</si>
  <si>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</si>
  <si>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</si>
  <si>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</si>
  <si>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</si>
  <si>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</si>
  <si>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</si>
  <si>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</si>
  <si>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</si>
  <si>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</si>
  <si>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</si>
  <si>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</si>
  <si>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</si>
  <si>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</si>
  <si>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</si>
  <si>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</si>
  <si>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</si>
  <si>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</si>
  <si>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</si>
  <si>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</si>
  <si>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</si>
  <si>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</si>
  <si>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</si>
  <si>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</si>
  <si>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</si>
  <si>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</si>
  <si>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</si>
  <si>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</si>
  <si>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</si>
  <si>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</si>
  <si>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</si>
  <si>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</si>
  <si>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</si>
  <si>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</si>
  <si>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</si>
  <si>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</si>
  <si>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</si>
  <si>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</si>
  <si>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</si>
  <si>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</si>
  <si>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</si>
  <si>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</si>
  <si>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</si>
  <si>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</si>
  <si>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</si>
  <si>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</si>
  <si>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</si>
  <si>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</si>
  <si>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</si>
  <si>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</si>
  <si>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</si>
  <si>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</si>
  <si>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</si>
  <si>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</si>
  <si>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</si>
  <si>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</si>
  <si>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</si>
  <si>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</si>
  <si>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</si>
  <si>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</si>
  <si>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</si>
  <si>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</si>
  <si>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</si>
  <si>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</si>
  <si>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</si>
  <si>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</si>
  <si>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</si>
  <si>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</si>
  <si>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</si>
  <si>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</si>
  <si>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</si>
  <si>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</si>
  <si>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</si>
  <si>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</si>
  <si>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</si>
  <si>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</si>
  <si>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</si>
  <si>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</si>
  <si>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</si>
  <si>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</si>
  <si>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</si>
  <si>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</si>
  <si>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</si>
  <si>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</si>
  <si>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</si>
  <si>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</si>
  <si>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</si>
  <si>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</si>
  <si>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</si>
  <si>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</si>
  <si>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</si>
  <si>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</si>
  <si>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</si>
  <si>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</si>
  <si>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</si>
  <si>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</si>
  <si>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</si>
  <si>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</si>
  <si>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</si>
  <si>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</si>
  <si>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</si>
  <si>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</si>
  <si>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</si>
  <si>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</si>
  <si>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</si>
  <si>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</si>
  <si>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</si>
  <si>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</si>
  <si>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</si>
  <si>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</si>
  <si>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</si>
  <si>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</si>
  <si>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</si>
  <si>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</si>
  <si>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</si>
  <si>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</si>
  <si>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</si>
  <si>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</si>
  <si>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</si>
  <si>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</si>
  <si>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</si>
  <si>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</si>
  <si>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</si>
  <si>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</si>
  <si>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</si>
  <si>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</si>
  <si>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</si>
  <si>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</si>
  <si>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</si>
  <si>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</si>
  <si>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</si>
  <si>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</si>
  <si>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</si>
  <si>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</si>
  <si>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</si>
  <si>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</si>
  <si>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</si>
  <si>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</si>
  <si>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</si>
  <si>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</si>
  <si>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</si>
  <si>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</si>
  <si>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</si>
  <si>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</si>
  <si>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</si>
  <si>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</si>
  <si>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</si>
  <si>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</si>
  <si>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</si>
  <si>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</si>
  <si>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</si>
  <si>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</si>
  <si>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</si>
  <si>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</si>
  <si>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</si>
  <si>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</si>
  <si>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</si>
  <si>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</si>
  <si>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</si>
  <si>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</si>
  <si>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</si>
  <si>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</si>
  <si>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</si>
  <si>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</si>
  <si>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</si>
  <si>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</si>
  <si>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</si>
  <si>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</si>
  <si>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</si>
  <si>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</si>
  <si>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</si>
  <si>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</si>
  <si>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</si>
  <si>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</si>
  <si>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</si>
  <si>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</si>
  <si>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</si>
  <si>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</si>
  <si>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</si>
  <si>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</si>
  <si>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</si>
  <si>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</si>
  <si>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</si>
  <si>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</si>
  <si>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</si>
  <si>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</si>
  <si>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</si>
  <si>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</si>
  <si>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</si>
  <si>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</si>
  <si>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</si>
  <si>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</si>
  <si>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</si>
  <si>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</si>
  <si>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</si>
  <si>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</si>
  <si>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</si>
  <si>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</si>
  <si>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</si>
  <si>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</si>
  <si>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</si>
  <si>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</si>
  <si>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</si>
  <si>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</si>
  <si>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</si>
  <si>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</si>
  <si>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</si>
  <si>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</si>
  <si>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</si>
  <si>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</si>
  <si>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</si>
  <si>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</si>
  <si>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</si>
  <si>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</si>
  <si>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</si>
  <si>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</si>
  <si>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</si>
  <si>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</si>
  <si>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</si>
  <si>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</si>
  <si>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</si>
  <si>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</si>
  <si>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</si>
  <si>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</si>
  <si>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</si>
  <si>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</si>
  <si>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</si>
  <si>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</si>
  <si>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</si>
  <si>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</si>
  <si>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</si>
  <si>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</si>
  <si>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</si>
  <si>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</si>
  <si>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</si>
  <si>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</si>
  <si>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</si>
  <si>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</si>
  <si>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</si>
  <si>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</si>
  <si>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</si>
  <si>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</si>
  <si>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</si>
  <si>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</si>
  <si>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</si>
  <si>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</si>
  <si>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</si>
  <si>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</si>
  <si>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</si>
  <si>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</si>
  <si>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</si>
  <si>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</si>
  <si>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</si>
  <si>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</si>
  <si>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</si>
  <si>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</si>
  <si>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</si>
  <si>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</si>
  <si>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</si>
  <si>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</si>
  <si>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</si>
  <si>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</si>
  <si>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</si>
  <si>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</si>
  <si>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</si>
  <si>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</si>
  <si>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</si>
  <si>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</si>
  <si>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</si>
  <si>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</si>
  <si>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</si>
  <si>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</si>
  <si>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</si>
  <si>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</si>
  <si>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</si>
  <si>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</si>
  <si>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</si>
  <si>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</si>
  <si>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</si>
  <si>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</si>
  <si>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</si>
  <si>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</si>
  <si>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</si>
  <si>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</si>
  <si>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</si>
  <si>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</si>
  <si>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</si>
  <si>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</si>
  <si>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</si>
  <si>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</si>
  <si>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</si>
  <si>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</si>
  <si>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</si>
  <si>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</si>
  <si>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</si>
  <si>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</si>
  <si>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</si>
  <si>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</si>
  <si>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</si>
  <si>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</si>
  <si>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</si>
  <si>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</si>
  <si>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</si>
  <si>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</si>
  <si>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</si>
  <si>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</si>
  <si>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</si>
  <si>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</si>
  <si>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</si>
  <si>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</si>
  <si>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</si>
  <si>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</si>
  <si>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</si>
  <si>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</si>
  <si>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</si>
  <si>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</si>
  <si>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</si>
  <si>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</si>
  <si>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</si>
  <si>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</si>
  <si>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</si>
  <si>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</si>
  <si>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</si>
  <si>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</si>
  <si>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</si>
  <si>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</si>
  <si>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</si>
  <si>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</si>
  <si>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</si>
  <si>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</si>
  <si>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</si>
  <si>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</si>
  <si>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</si>
  <si>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</si>
  <si>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</si>
  <si>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</si>
  <si>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</si>
  <si>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</si>
  <si>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</si>
  <si>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</si>
  <si>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</si>
  <si>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</si>
  <si>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</si>
  <si>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</si>
  <si>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</si>
  <si>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</si>
  <si>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</si>
  <si>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</si>
  <si>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</si>
  <si>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</si>
  <si>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</si>
  <si>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</si>
  <si>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</si>
  <si>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</si>
  <si>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</si>
  <si>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</si>
  <si>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</si>
  <si>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</si>
  <si>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</si>
  <si>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</si>
  <si>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</si>
  <si>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</si>
  <si>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</si>
  <si>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</si>
  <si>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</si>
  <si>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</si>
  <si>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</si>
  <si>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</si>
  <si>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</si>
  <si>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</si>
  <si>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</si>
  <si>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</si>
  <si>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</si>
  <si>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</si>
  <si>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</si>
  <si>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</si>
  <si>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</si>
  <si>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</si>
  <si>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</si>
  <si>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</si>
  <si>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</si>
  <si>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</si>
  <si>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</si>
  <si>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</si>
  <si>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</si>
  <si>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</si>
  <si>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</si>
  <si>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</si>
  <si>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</si>
  <si>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</si>
  <si>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</si>
  <si>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</si>
  <si>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</si>
  <si>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</si>
  <si>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</si>
  <si>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</si>
  <si>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</si>
  <si>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</si>
  <si>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</si>
  <si>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</si>
  <si>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</si>
  <si>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</si>
  <si>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</si>
  <si>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</si>
  <si>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</si>
  <si>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</si>
  <si>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</si>
  <si>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</si>
  <si>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</si>
  <si>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</si>
  <si>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</si>
  <si>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</si>
  <si>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</si>
  <si>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</si>
  <si>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</si>
  <si>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</si>
  <si>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</si>
  <si>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</si>
  <si>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</si>
  <si>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</si>
  <si>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</si>
  <si>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</si>
  <si>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</si>
  <si>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</si>
  <si>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</si>
  <si>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</si>
  <si>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</si>
  <si>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</si>
  <si>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</si>
  <si>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</si>
  <si>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</si>
  <si>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</si>
  <si>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</si>
  <si>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</si>
  <si>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</si>
  <si>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</si>
  <si>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</si>
  <si>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</si>
  <si>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</si>
  <si>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</si>
  <si>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</si>
  <si>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</si>
  <si>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</si>
  <si>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</si>
  <si>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</si>
  <si>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</si>
  <si>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</si>
  <si>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</si>
  <si>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</si>
  <si>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</si>
  <si>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</si>
  <si>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</si>
  <si>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</si>
  <si>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</si>
  <si>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</si>
  <si>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</si>
  <si>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</si>
  <si>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</si>
  <si>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</si>
  <si>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</si>
  <si>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</si>
  <si>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</si>
  <si>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</si>
  <si>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</si>
  <si>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</si>
  <si>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</si>
  <si>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</si>
  <si>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</si>
  <si>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</si>
  <si>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</si>
  <si>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</si>
  <si>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</si>
  <si>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</si>
  <si>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</si>
  <si>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</si>
  <si>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</si>
  <si>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</si>
  <si>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</si>
  <si>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</si>
  <si>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</si>
  <si>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</si>
  <si>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</si>
  <si>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</si>
  <si>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</si>
  <si>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</si>
  <si>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</si>
  <si>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</si>
  <si>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</si>
  <si>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</si>
  <si>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</si>
  <si>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</si>
  <si>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</si>
  <si>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</si>
  <si>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</si>
  <si>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</si>
  <si>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</si>
  <si>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</si>
  <si>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</si>
  <si>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</si>
  <si>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</si>
  <si>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</si>
  <si>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</si>
  <si>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</si>
  <si>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</si>
  <si>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</si>
  <si>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</si>
  <si>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</si>
  <si>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</si>
  <si>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</si>
  <si>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</si>
  <si>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</si>
  <si>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</si>
  <si>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</si>
  <si>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</si>
  <si>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</si>
  <si>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</si>
  <si>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</si>
  <si>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</si>
  <si>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</si>
  <si>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</si>
  <si>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</si>
  <si>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</si>
  <si>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</si>
  <si>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</si>
  <si>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</si>
  <si>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</si>
  <si>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</si>
  <si>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</si>
  <si>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</si>
  <si>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</si>
  <si>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</si>
  <si>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</si>
  <si>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</si>
  <si>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</si>
  <si>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</si>
  <si>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</si>
  <si>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</si>
  <si>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</si>
  <si>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</si>
  <si>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</si>
  <si>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</si>
  <si>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</si>
  <si>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</si>
  <si>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</si>
  <si>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</si>
  <si>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</si>
  <si>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</si>
  <si>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</si>
  <si>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</si>
  <si>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</si>
  <si>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</si>
  <si>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</si>
  <si>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</si>
  <si>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</si>
  <si>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</si>
  <si>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</si>
  <si>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</si>
  <si>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</si>
  <si>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</si>
  <si>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</si>
  <si>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</si>
  <si>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</si>
  <si>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</si>
  <si>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</si>
  <si>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</si>
  <si>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</si>
  <si>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</si>
  <si>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</si>
  <si>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</si>
  <si>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</si>
  <si>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</si>
  <si>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</si>
  <si>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</si>
  <si>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</si>
  <si>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</si>
  <si>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</si>
  <si>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</si>
  <si>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</si>
  <si>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</si>
  <si>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</si>
  <si>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</si>
  <si>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</si>
  <si>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</si>
  <si>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</si>
  <si>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</si>
  <si>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</si>
  <si>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</si>
  <si>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</si>
  <si>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</si>
  <si>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</si>
  <si>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</si>
  <si>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</si>
  <si>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</si>
  <si>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</si>
  <si>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</si>
  <si>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</si>
  <si>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</si>
  <si>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</si>
  <si>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</si>
  <si>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</si>
  <si>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</si>
  <si>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</si>
  <si>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</si>
  <si>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</si>
  <si>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</si>
  <si>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</si>
  <si>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</si>
  <si>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</si>
  <si>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</si>
  <si>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</si>
  <si>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</si>
  <si>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</si>
  <si>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</si>
  <si>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</si>
  <si>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</si>
  <si>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</si>
  <si>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</si>
  <si>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</si>
  <si>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</si>
  <si>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</si>
  <si>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</si>
  <si>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</si>
  <si>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</si>
  <si>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</si>
  <si>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</si>
  <si>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</si>
  <si>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</si>
  <si>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</si>
  <si>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</si>
  <si>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</si>
  <si>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</si>
  <si>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</si>
  <si>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</si>
  <si>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</si>
  <si>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</si>
  <si>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</si>
  <si>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</si>
  <si>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</si>
  <si>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</si>
  <si>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</si>
  <si>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</si>
  <si>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</si>
  <si>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</si>
  <si>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</si>
  <si>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</si>
  <si>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</si>
  <si>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</si>
  <si>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</si>
  <si>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</si>
  <si>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</si>
  <si>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</si>
  <si>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</si>
  <si>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</si>
  <si>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</si>
  <si>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</si>
  <si>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</si>
  <si>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</si>
  <si>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</si>
  <si>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</si>
  <si>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</si>
  <si>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</si>
  <si>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</si>
  <si>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</si>
  <si>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</si>
  <si>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</si>
  <si>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</si>
  <si>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</si>
  <si>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</si>
  <si>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</si>
  <si>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</si>
  <si>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</si>
  <si>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</si>
  <si>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</si>
  <si>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</si>
  <si>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</si>
  <si>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</si>
  <si>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</si>
  <si>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</si>
  <si>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</si>
  <si>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</si>
  <si>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</si>
  <si>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</si>
  <si>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</si>
  <si>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</si>
  <si>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</si>
  <si>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</si>
  <si>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</si>
  <si>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</si>
  <si>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</si>
  <si>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</si>
  <si>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</si>
  <si>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</si>
  <si>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</si>
  <si>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</si>
  <si>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</si>
  <si>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</si>
  <si>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</si>
  <si>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</si>
  <si>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</si>
  <si>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</si>
  <si>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</si>
  <si>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</si>
  <si>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</si>
  <si>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</si>
  <si>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</si>
  <si>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</si>
  <si>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</si>
  <si>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</si>
  <si>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</si>
  <si>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</si>
  <si>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</si>
  <si>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</si>
  <si>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</si>
  <si>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</si>
  <si>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</si>
  <si>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</si>
  <si>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</si>
  <si>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</si>
  <si>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</si>
  <si>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</si>
  <si>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</si>
  <si>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</si>
  <si>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</si>
  <si>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</si>
  <si>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</si>
  <si>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</si>
  <si>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</si>
  <si>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</si>
  <si>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</si>
  <si>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</si>
  <si>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</si>
  <si>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</si>
  <si>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</si>
  <si>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</si>
  <si>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</si>
  <si>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</si>
  <si>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</si>
  <si>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</si>
  <si>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</si>
  <si>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</si>
  <si>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</si>
  <si>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</si>
  <si>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</si>
  <si>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</si>
  <si>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</si>
  <si>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</si>
  <si>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</si>
  <si>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</si>
  <si>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</si>
  <si>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</si>
  <si>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</si>
  <si>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</si>
  <si>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</si>
  <si>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</si>
  <si>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</si>
  <si>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</si>
  <si>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</si>
  <si>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</si>
  <si>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</si>
  <si>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</si>
  <si>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</si>
  <si>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</si>
  <si>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</si>
  <si>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</si>
  <si>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</si>
  <si>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</si>
  <si>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</si>
  <si>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</si>
  <si>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</si>
  <si>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</si>
  <si>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</si>
  <si>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</si>
  <si>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</si>
  <si>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</si>
  <si>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</si>
  <si>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</si>
  <si>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</si>
  <si>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</si>
  <si>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</si>
  <si>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</si>
  <si>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</si>
  <si>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</si>
  <si>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</si>
  <si>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</si>
  <si>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</si>
  <si>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</si>
  <si>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</si>
  <si>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</si>
  <si>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</si>
  <si>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</si>
  <si>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</si>
  <si>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</si>
  <si>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</si>
  <si>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</si>
  <si>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</si>
  <si>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</si>
  <si>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</si>
  <si>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</si>
  <si>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</si>
  <si>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</si>
  <si>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</si>
  <si>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</si>
  <si>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</si>
  <si>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</si>
  <si>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</si>
  <si>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</si>
  <si>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</si>
  <si>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</si>
  <si>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</si>
  <si>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</si>
  <si>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</si>
  <si>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</si>
  <si>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</si>
  <si>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</si>
  <si>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</si>
  <si>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</si>
  <si>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</si>
  <si>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</si>
  <si>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</si>
  <si>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</si>
  <si>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</si>
  <si>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</si>
  <si>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</si>
  <si>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</si>
  <si>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</si>
  <si>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</si>
  <si>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</si>
  <si>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</si>
  <si>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</si>
  <si>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</si>
  <si>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</si>
  <si>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</si>
  <si>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</si>
  <si>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</si>
  <si>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</si>
  <si>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</si>
  <si>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</si>
  <si>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</si>
  <si>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</si>
  <si>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</si>
  <si>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</si>
  <si>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</si>
  <si>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</si>
  <si>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</si>
  <si>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</si>
  <si>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</si>
  <si>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</si>
  <si>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</si>
  <si>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</si>
  <si>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</si>
  <si>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</si>
  <si>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</si>
  <si>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</si>
  <si>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</si>
  <si>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</si>
  <si>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</si>
  <si>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</si>
  <si>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</si>
  <si>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</si>
  <si>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</si>
  <si>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</si>
  <si>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</si>
  <si>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</si>
  <si>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</si>
  <si>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</si>
  <si>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</si>
  <si>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</si>
  <si>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</si>
  <si>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</si>
  <si>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</si>
  <si>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</si>
  <si>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</si>
  <si>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</si>
  <si>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</si>
  <si>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</si>
  <si>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</si>
  <si>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</si>
  <si>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</si>
  <si>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</si>
  <si>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</si>
  <si>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</si>
  <si>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</si>
  <si>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</si>
  <si>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</si>
  <si>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</si>
  <si>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</si>
  <si>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</si>
  <si>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</si>
  <si>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</si>
  <si>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</si>
  <si>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</si>
  <si>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</si>
  <si>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</si>
  <si>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</si>
  <si>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</si>
  <si>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</si>
  <si>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</si>
  <si>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</si>
  <si>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</si>
  <si>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</si>
  <si>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</si>
  <si>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</si>
  <si>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</si>
  <si>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</si>
  <si>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</si>
  <si>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</si>
  <si>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</si>
  <si>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</si>
  <si>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</si>
  <si>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</si>
  <si>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</si>
  <si>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</si>
  <si>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</si>
  <si>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</si>
  <si>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</si>
  <si>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</si>
  <si>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</si>
  <si>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</si>
  <si>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</si>
  <si>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</si>
  <si>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</si>
  <si>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</si>
  <si>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</si>
  <si>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</si>
  <si>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</si>
  <si>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</si>
  <si>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</si>
  <si>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</si>
  <si>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</si>
  <si>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</si>
  <si>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</si>
  <si>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</si>
  <si>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</si>
  <si>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</si>
  <si>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</si>
  <si>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</si>
  <si>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</si>
  <si>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</si>
  <si>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</si>
  <si>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</si>
  <si>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</si>
  <si>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</si>
  <si>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</si>
  <si>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</si>
  <si>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</si>
  <si>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</si>
  <si>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</si>
  <si>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</si>
  <si>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</si>
  <si>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</si>
  <si>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</si>
  <si>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</si>
  <si>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</si>
  <si>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</si>
  <si>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</si>
  <si>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</si>
  <si>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</si>
  <si>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</si>
  <si>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</si>
  <si>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</si>
  <si>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</si>
  <si>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</si>
  <si>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</si>
  <si>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</si>
  <si>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</si>
  <si>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</si>
  <si>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</si>
  <si>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</si>
  <si>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</si>
  <si>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</si>
  <si>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</si>
  <si>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</si>
  <si>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</si>
  <si>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</si>
  <si>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</si>
  <si>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</si>
  <si>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</si>
  <si>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</si>
  <si>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</si>
  <si>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</si>
  <si>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</si>
  <si>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</si>
  <si>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</si>
  <si>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</si>
  <si>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</si>
  <si>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</si>
  <si>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</si>
  <si>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</si>
  <si>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</si>
  <si>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</si>
  <si>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</si>
  <si>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</si>
  <si>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</si>
  <si>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</si>
  <si>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</si>
  <si>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</si>
  <si>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</si>
  <si>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</si>
  <si>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</si>
  <si>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</si>
  <si>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</si>
  <si>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</si>
  <si>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</si>
  <si>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</si>
  <si>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</si>
  <si>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</si>
  <si>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</si>
  <si>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</si>
  <si>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</si>
  <si>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</si>
  <si>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</si>
  <si>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</si>
  <si>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</si>
  <si>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</si>
  <si>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</si>
  <si>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</si>
  <si>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</si>
  <si>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</si>
  <si>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</si>
  <si>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</si>
  <si>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</si>
  <si>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</si>
  <si>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</si>
  <si>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</si>
  <si>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</si>
  <si>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</si>
  <si>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</si>
  <si>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</si>
  <si>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</si>
  <si>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</si>
  <si>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</si>
  <si>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</si>
  <si>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</si>
  <si>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</si>
  <si>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</si>
  <si>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</si>
  <si>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</si>
  <si>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</si>
  <si>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</si>
  <si>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</si>
  <si>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</si>
  <si>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</si>
  <si>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</si>
  <si>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</si>
  <si>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</si>
  <si>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</si>
  <si>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</si>
  <si>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</si>
  <si>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</si>
  <si>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</si>
  <si>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</si>
  <si>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</si>
  <si>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</si>
  <si>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</si>
  <si>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</si>
  <si>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</si>
  <si>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</si>
  <si>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</si>
  <si>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</si>
  <si>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</si>
  <si>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</si>
  <si>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</si>
  <si>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</si>
  <si>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</si>
  <si>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</si>
  <si>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</si>
  <si>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</si>
  <si>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</si>
  <si>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</si>
  <si>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</si>
  <si>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</si>
  <si>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</si>
  <si>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</si>
  <si>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</si>
  <si>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</si>
  <si>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</si>
  <si>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</si>
  <si>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</si>
  <si>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</si>
  <si>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</si>
  <si>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</si>
  <si>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</si>
  <si>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</si>
  <si>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</si>
  <si>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</si>
  <si>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</si>
  <si>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</si>
  <si>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</si>
  <si>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</si>
  <si>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</si>
  <si>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</si>
  <si>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</si>
  <si>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</si>
  <si>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</si>
  <si>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</si>
  <si>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</si>
  <si>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</si>
  <si>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</si>
  <si>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</si>
  <si>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</si>
  <si>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</si>
  <si>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</si>
  <si>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</si>
  <si>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</si>
  <si>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</si>
  <si>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</si>
  <si>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</si>
  <si>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</si>
  <si>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</si>
  <si>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</si>
  <si>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</si>
  <si>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</si>
  <si>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</si>
  <si>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</si>
  <si>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</si>
  <si>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</si>
  <si>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</si>
  <si>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</si>
  <si>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</si>
  <si>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</si>
  <si>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</si>
  <si>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</si>
  <si>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</si>
  <si>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</si>
  <si>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</si>
  <si>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</si>
  <si>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</si>
  <si>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</si>
  <si>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</si>
  <si>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</si>
  <si>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</si>
  <si>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</si>
  <si>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</si>
  <si>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</si>
  <si>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</si>
  <si>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</si>
  <si>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</si>
  <si>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</si>
  <si>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</si>
  <si>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</si>
  <si>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</si>
  <si>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</si>
  <si>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</si>
  <si>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</si>
  <si>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</si>
  <si>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</si>
  <si>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</si>
  <si>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</si>
  <si>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</si>
  <si>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</si>
  <si>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</si>
  <si>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</si>
  <si>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</si>
  <si>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</si>
  <si>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</si>
  <si>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</si>
  <si>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</si>
  <si>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</si>
  <si>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</si>
  <si>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</si>
  <si>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</si>
  <si>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</si>
  <si>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</si>
  <si>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</si>
  <si>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</si>
  <si>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</si>
  <si>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</si>
  <si>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</si>
  <si>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</si>
  <si>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</si>
  <si>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</si>
  <si>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</si>
  <si>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</si>
  <si>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</si>
  <si>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</si>
  <si>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</si>
  <si>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</si>
  <si>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</si>
  <si>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</si>
  <si>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</si>
  <si>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</si>
  <si>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</si>
  <si>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</si>
  <si>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</si>
  <si>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</si>
  <si>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</si>
  <si>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</si>
  <si>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</si>
  <si>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</si>
  <si>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</si>
  <si>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</si>
  <si>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</si>
  <si>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</si>
  <si>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</si>
  <si>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</si>
  <si>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</si>
  <si>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</si>
  <si>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</si>
  <si>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</si>
  <si>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</si>
  <si>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</si>
  <si>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</si>
  <si>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</si>
  <si>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</si>
  <si>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</si>
  <si>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</si>
  <si>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</si>
  <si>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</si>
  <si>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</si>
  <si>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</si>
  <si>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</si>
  <si>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</si>
  <si>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</si>
  <si>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</si>
  <si>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</si>
  <si>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</si>
  <si>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</si>
  <si>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</si>
  <si>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</si>
  <si>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</si>
  <si>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</si>
  <si>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</si>
  <si>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</si>
  <si>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</si>
  <si>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</si>
  <si>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</si>
  <si>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</si>
  <si>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</si>
  <si>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</si>
  <si>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</si>
  <si>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</si>
  <si>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</si>
  <si>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</si>
  <si>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</si>
  <si>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</si>
  <si>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</si>
  <si>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</si>
  <si>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</si>
  <si>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</si>
  <si>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</si>
  <si>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</si>
  <si>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</si>
  <si>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</si>
  <si>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</si>
  <si>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</si>
  <si>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</si>
  <si>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</si>
  <si>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</si>
  <si>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</si>
  <si>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</si>
  <si>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</si>
  <si>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</si>
  <si>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</si>
  <si>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</si>
  <si>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</si>
  <si>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</si>
  <si>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</si>
  <si>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</si>
  <si>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</si>
  <si>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</si>
  <si>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</si>
  <si>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</si>
  <si>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</si>
  <si>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</si>
  <si>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</si>
  <si>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</si>
  <si>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</si>
  <si>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</si>
  <si>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</si>
  <si>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</si>
  <si>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</si>
  <si>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</si>
  <si>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</si>
  <si>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</si>
  <si>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</si>
  <si>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</si>
  <si>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</si>
  <si>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</si>
  <si>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</si>
  <si>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</si>
  <si>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</si>
  <si>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</si>
  <si>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</si>
  <si>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</si>
  <si>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</si>
  <si>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</si>
  <si>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</si>
  <si>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</si>
  <si>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</si>
  <si>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</si>
  <si>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</si>
  <si>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</si>
  <si>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</si>
  <si>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</si>
  <si>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</si>
  <si>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</si>
  <si>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</si>
  <si>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</si>
  <si>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</si>
  <si>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</si>
  <si>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</si>
  <si>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</si>
  <si>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</si>
  <si>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</si>
  <si>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</si>
  <si>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</si>
  <si>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</si>
  <si>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</si>
  <si>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</si>
  <si>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</si>
  <si>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</si>
  <si>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</si>
  <si>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</si>
  <si>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</si>
  <si>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</si>
  <si>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</si>
  <si>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</si>
  <si>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</si>
  <si>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</si>
  <si>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</si>
  <si>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</si>
  <si>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</si>
  <si>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</si>
  <si>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</si>
  <si>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</si>
  <si>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</si>
  <si>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</si>
  <si>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</si>
  <si>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</si>
  <si>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</si>
  <si>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</si>
  <si>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</si>
  <si>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</si>
  <si>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</si>
  <si>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</si>
  <si>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</si>
  <si>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</si>
  <si>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</si>
  <si>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</si>
  <si>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</si>
  <si>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</si>
  <si>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</si>
  <si>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</si>
  <si>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</si>
  <si>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</si>
  <si>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</si>
  <si>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</si>
  <si>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</si>
  <si>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</si>
  <si>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</si>
  <si>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</si>
  <si>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</si>
  <si>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</si>
  <si>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</si>
  <si>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</si>
  <si>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</si>
  <si>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</si>
  <si>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</si>
  <si>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</si>
  <si>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</si>
  <si>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</si>
  <si>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</si>
  <si>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</si>
  <si>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</si>
  <si>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</si>
  <si>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</si>
  <si>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</si>
  <si>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</si>
  <si>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</si>
  <si>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</si>
  <si>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</si>
  <si>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</si>
  <si>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</si>
  <si>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</si>
  <si>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</si>
  <si>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</si>
  <si>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</si>
  <si>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</si>
  <si>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</si>
  <si>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</si>
  <si>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</si>
  <si>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</si>
  <si>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</si>
  <si>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</si>
  <si>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</si>
  <si>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</si>
  <si>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</si>
  <si>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</si>
  <si>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</si>
  <si>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</si>
  <si>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</si>
  <si>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</si>
  <si>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</si>
  <si>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</si>
  <si>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</si>
  <si>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</si>
  <si>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</si>
  <si>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</si>
  <si>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</si>
  <si>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</si>
  <si>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</si>
  <si>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</si>
  <si>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</si>
  <si>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</si>
  <si>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</si>
  <si>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</si>
  <si>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</si>
  <si>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</si>
  <si>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</si>
  <si>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</si>
  <si>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</si>
  <si>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</si>
  <si>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</si>
  <si>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</si>
  <si>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</si>
  <si>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</si>
  <si>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</si>
  <si>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</si>
  <si>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</si>
  <si>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</si>
  <si>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</si>
  <si>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</si>
  <si>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</si>
  <si>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</si>
  <si>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</si>
  <si>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</si>
  <si>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</si>
  <si>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</si>
  <si>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</si>
  <si>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</si>
  <si>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</si>
  <si>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</si>
  <si>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</si>
  <si>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</si>
  <si>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</si>
  <si>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</si>
  <si>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</si>
  <si>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</si>
  <si>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</si>
  <si>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</si>
  <si>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</si>
  <si>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</si>
  <si>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</si>
  <si>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</si>
  <si>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</si>
  <si>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</si>
  <si>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</si>
  <si>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</si>
  <si>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</si>
  <si>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</si>
  <si>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</si>
  <si>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</si>
  <si>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</si>
  <si>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</si>
  <si>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</si>
  <si>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</si>
  <si>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</si>
  <si>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</si>
  <si>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</si>
  <si>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</si>
  <si>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</si>
  <si>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</si>
  <si>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</si>
  <si>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</si>
  <si>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</si>
  <si>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</si>
  <si>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</si>
  <si>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</si>
  <si>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</si>
  <si>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</si>
  <si>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</si>
  <si>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</si>
  <si>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</si>
  <si>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</si>
  <si>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</si>
  <si>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</si>
  <si>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</si>
  <si>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</si>
  <si>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</si>
  <si>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</si>
  <si>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</si>
  <si>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</si>
  <si>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</si>
  <si>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</si>
  <si>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</si>
  <si>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</si>
  <si>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</si>
  <si>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</si>
  <si>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</si>
  <si>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</si>
  <si>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</si>
  <si>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</si>
  <si>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</si>
  <si>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</si>
  <si>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</si>
  <si>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</si>
  <si>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</si>
  <si>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</si>
  <si>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</si>
  <si>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</si>
  <si>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</si>
  <si>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</si>
  <si>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</si>
  <si>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</si>
  <si>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</si>
  <si>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</si>
  <si>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</si>
  <si>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</si>
  <si>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</si>
  <si>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</si>
  <si>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</si>
  <si>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</si>
  <si>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</si>
  <si>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</si>
  <si>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</si>
  <si>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</si>
  <si>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</si>
  <si>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</si>
  <si>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</si>
  <si>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</si>
  <si>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</si>
  <si>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</si>
  <si>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</si>
  <si>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</si>
  <si>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</si>
  <si>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</si>
  <si>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</si>
  <si>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</si>
  <si>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</si>
  <si>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</si>
  <si>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</si>
  <si>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</si>
  <si>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</si>
  <si>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</si>
  <si>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</si>
  <si>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</si>
  <si>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</si>
  <si>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</si>
  <si>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</si>
  <si>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</si>
  <si>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</si>
  <si>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</si>
  <si>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</si>
  <si>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</si>
  <si>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</si>
  <si>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</si>
  <si>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</si>
  <si>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</si>
  <si>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</si>
  <si>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</si>
  <si>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</si>
  <si>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</si>
  <si>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</si>
  <si>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</si>
  <si>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</si>
  <si>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</si>
  <si>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</si>
  <si>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</si>
  <si>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</si>
  <si>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</si>
  <si>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</si>
  <si>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</si>
  <si>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</si>
  <si>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</si>
  <si>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</si>
  <si>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</si>
  <si>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</si>
  <si>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</si>
  <si>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</si>
  <si>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</si>
  <si>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</si>
  <si>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</si>
  <si>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</si>
  <si>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</si>
  <si>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</si>
  <si>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</si>
  <si>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</si>
  <si>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</si>
  <si>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</si>
  <si>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</si>
  <si>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</si>
  <si>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</si>
  <si>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</si>
  <si>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</si>
  <si>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</si>
  <si>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</si>
  <si>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</si>
  <si>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</si>
  <si>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</si>
  <si>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</si>
  <si>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</si>
  <si>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</si>
  <si>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</si>
  <si>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</si>
  <si>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</si>
  <si>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</si>
  <si>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</si>
  <si>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</si>
  <si>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</si>
  <si>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</si>
  <si>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</si>
  <si>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</si>
  <si>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</si>
  <si>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</si>
  <si>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</si>
  <si>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</si>
  <si>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</si>
  <si>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</si>
  <si>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</si>
  <si>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</si>
  <si>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</si>
  <si>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</si>
  <si>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</si>
  <si>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</si>
  <si>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</si>
  <si>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</si>
  <si>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</si>
  <si>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</si>
  <si>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</si>
  <si>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</si>
  <si>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</si>
  <si>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</si>
  <si>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</si>
  <si>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</si>
  <si>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</si>
  <si>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</si>
  <si>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</si>
  <si>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</si>
  <si>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</si>
  <si>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</si>
  <si>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</si>
  <si>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</si>
  <si>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</si>
  <si>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</si>
  <si>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</si>
  <si>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</si>
  <si>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</si>
  <si>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</si>
  <si>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</si>
  <si>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</si>
  <si>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</si>
  <si>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</si>
  <si>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</si>
  <si>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</si>
  <si>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</si>
  <si>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</si>
  <si>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</si>
  <si>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</si>
  <si>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</si>
  <si>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</si>
  <si>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</si>
  <si>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</si>
  <si>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</si>
  <si>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</si>
  <si>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</si>
  <si>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</si>
  <si>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</si>
  <si>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</si>
  <si>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</si>
  <si>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</si>
  <si>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</si>
  <si>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</si>
  <si>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</si>
  <si>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</si>
  <si>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</si>
  <si>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</si>
  <si>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</si>
  <si>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</si>
  <si>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</si>
  <si>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</si>
  <si>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</si>
  <si>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</si>
  <si>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</si>
  <si>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</si>
  <si>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</si>
  <si>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</si>
  <si>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</si>
  <si>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</si>
  <si>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</si>
  <si>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</si>
  <si>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</si>
  <si>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</si>
  <si>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</si>
  <si>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</si>
  <si>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</si>
  <si>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</si>
  <si>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</si>
  <si>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</si>
  <si>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</si>
  <si>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</si>
  <si>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</si>
  <si>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</si>
  <si>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</si>
  <si>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</si>
  <si>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</si>
  <si>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</si>
  <si>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</si>
  <si>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</si>
  <si>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</si>
  <si>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</si>
  <si>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</si>
  <si>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</si>
  <si>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</si>
  <si>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</si>
  <si>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</si>
  <si>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</si>
  <si>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</si>
  <si>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</si>
  <si>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</si>
  <si>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</si>
  <si>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</si>
  <si>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</si>
  <si>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</si>
  <si>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</si>
  <si>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</si>
  <si>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</si>
  <si>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</si>
  <si>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</si>
  <si>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</si>
  <si>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</si>
  <si>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</si>
  <si>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</si>
  <si>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</si>
  <si>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</si>
  <si>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</si>
  <si>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</si>
  <si>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</si>
  <si>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</si>
  <si>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</si>
  <si>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</si>
  <si>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</si>
  <si>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</si>
  <si>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</si>
  <si>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</si>
  <si>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</si>
  <si>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</si>
  <si>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</si>
  <si>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</si>
  <si>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</si>
  <si>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</si>
  <si>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</si>
  <si>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</si>
  <si>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</si>
  <si>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</si>
  <si>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</si>
  <si>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</si>
  <si>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</si>
  <si>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</si>
  <si>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</si>
  <si>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</si>
  <si>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</si>
  <si>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</si>
  <si>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</si>
  <si>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</si>
  <si>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</si>
  <si>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</si>
  <si>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</si>
  <si>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</si>
  <si>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</si>
  <si>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</si>
  <si>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</si>
  <si>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</si>
  <si>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</si>
  <si>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</si>
  <si>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</si>
  <si>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</si>
  <si>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</si>
  <si>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</si>
  <si>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</si>
  <si>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</si>
  <si>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</si>
  <si>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</si>
  <si>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</si>
  <si>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</si>
  <si>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</si>
  <si>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</si>
  <si>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</si>
  <si>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</si>
  <si>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</si>
  <si>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</si>
  <si>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</si>
  <si>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</si>
  <si>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</si>
  <si>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</si>
  <si>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</si>
  <si>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</si>
  <si>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</si>
  <si>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</si>
  <si>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</si>
  <si>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</si>
  <si>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</si>
  <si>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</si>
  <si>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</si>
  <si>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</si>
  <si>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</si>
  <si>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</si>
  <si>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</si>
  <si>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</si>
  <si>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</si>
  <si>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</si>
  <si>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</si>
  <si>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</si>
  <si>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</si>
  <si>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</si>
  <si>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</si>
  <si>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</si>
  <si>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</si>
  <si>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</si>
  <si>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</si>
  <si>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</si>
  <si>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</si>
  <si>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</si>
  <si>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</si>
  <si>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</si>
  <si>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</si>
  <si>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</si>
  <si>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</si>
  <si>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</si>
  <si>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</si>
  <si>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</si>
  <si>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</si>
  <si>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</si>
  <si>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</si>
  <si>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</si>
  <si>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</si>
  <si>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</si>
  <si>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</si>
  <si>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</si>
  <si>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</si>
  <si>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</si>
  <si>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</si>
  <si>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</si>
  <si>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</si>
  <si>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</si>
  <si>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</si>
  <si>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</si>
  <si>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</si>
  <si>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</si>
  <si>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</si>
  <si>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</si>
  <si>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</si>
  <si>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</si>
  <si>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</si>
  <si>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</si>
  <si>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</si>
  <si>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</si>
  <si>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</si>
  <si>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</si>
  <si>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</si>
  <si>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</si>
  <si>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</si>
  <si>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</si>
  <si>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</si>
  <si>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</si>
  <si>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</si>
  <si>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</si>
  <si>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</si>
  <si>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</si>
  <si>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</si>
  <si>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</si>
  <si>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</si>
  <si>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</si>
  <si>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</si>
  <si>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</si>
  <si>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</si>
  <si>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</si>
  <si>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</si>
  <si>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</si>
  <si>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</si>
  <si>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</si>
  <si>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</si>
  <si>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</si>
  <si>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</si>
  <si>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</si>
  <si>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</si>
  <si>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</si>
  <si>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</si>
  <si>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</si>
  <si>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</si>
  <si>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</si>
  <si>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</si>
  <si>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</si>
  <si>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</si>
  <si>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</si>
  <si>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</si>
  <si>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</si>
  <si>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</si>
  <si>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</si>
  <si>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</si>
  <si>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</si>
  <si>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</si>
  <si>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</si>
  <si>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</si>
  <si>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</si>
  <si>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</si>
  <si>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</si>
  <si>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</si>
  <si>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</si>
  <si>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</si>
  <si>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</si>
  <si>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</si>
  <si>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</si>
  <si>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</si>
  <si>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</si>
  <si>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</si>
  <si>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</si>
  <si>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</si>
  <si>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</si>
  <si>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</si>
  <si>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</si>
  <si>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</si>
  <si>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</si>
  <si>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</si>
  <si>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</si>
  <si>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</si>
  <si>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</si>
  <si>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</si>
  <si>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</si>
  <si>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</si>
  <si>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</si>
  <si>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</si>
  <si>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</si>
  <si>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</si>
  <si>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</si>
  <si>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</si>
  <si>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</si>
  <si>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</si>
  <si>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</si>
  <si>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</si>
  <si>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</si>
  <si>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</si>
  <si>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</si>
  <si>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</si>
  <si>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</si>
  <si>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</si>
  <si>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</si>
  <si>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</si>
  <si>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</si>
  <si>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</si>
  <si>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</si>
  <si>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</si>
  <si>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</si>
  <si>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</si>
  <si>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</si>
  <si>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</si>
  <si>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</si>
  <si>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</si>
  <si>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</si>
  <si>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</si>
  <si>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</si>
  <si>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</si>
  <si>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</si>
  <si>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</si>
  <si>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</si>
  <si>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</si>
  <si>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</si>
  <si>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</si>
  <si>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</si>
  <si>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</si>
  <si>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</si>
  <si>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</si>
  <si>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</si>
  <si>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</si>
  <si>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</si>
  <si>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</si>
  <si>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</si>
  <si>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</si>
  <si>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</si>
  <si>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</si>
  <si>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</si>
  <si>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</si>
  <si>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</si>
  <si>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</si>
  <si>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</si>
  <si>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</si>
  <si>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</si>
  <si>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</si>
  <si>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</si>
  <si>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</si>
  <si>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</si>
  <si>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</si>
  <si>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</si>
  <si>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</si>
  <si>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</si>
  <si>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</si>
  <si>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</si>
  <si>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</si>
  <si>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</si>
  <si>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</si>
  <si>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</si>
  <si>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</si>
  <si>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</si>
  <si>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</si>
  <si>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</si>
  <si>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</si>
  <si>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</si>
  <si>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</si>
  <si>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</si>
  <si>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</si>
  <si>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</si>
  <si>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</si>
  <si>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</si>
  <si>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</si>
  <si>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</si>
  <si>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</si>
  <si>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</si>
  <si>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</si>
  <si>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</si>
  <si>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</si>
  <si>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</si>
  <si>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</si>
  <si>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</si>
  <si>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</si>
  <si>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</si>
  <si>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</si>
  <si>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</si>
  <si>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</si>
  <si>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</si>
  <si>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</si>
  <si>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</si>
  <si>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</si>
  <si>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</si>
  <si>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</si>
  <si>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</si>
  <si>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</si>
  <si>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</si>
  <si>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</si>
  <si>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</si>
  <si>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</si>
  <si>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</si>
  <si>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</si>
  <si>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</si>
  <si>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</si>
  <si>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</si>
  <si>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</si>
  <si>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</si>
  <si>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</si>
  <si>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</si>
  <si>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</si>
  <si>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</si>
  <si>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</si>
  <si>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</si>
  <si>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</si>
  <si>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</si>
  <si>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</si>
  <si>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</si>
  <si>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</si>
  <si>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</si>
  <si>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</si>
  <si>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</si>
  <si>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</si>
  <si>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</si>
  <si>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</si>
  <si>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</si>
  <si>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</si>
  <si>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</si>
  <si>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</si>
  <si>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</si>
  <si>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</si>
  <si>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</si>
  <si>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</si>
  <si>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</si>
  <si>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</si>
  <si>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</si>
  <si>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</si>
  <si>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</si>
  <si>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</si>
  <si>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</si>
  <si>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</si>
  <si>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</si>
  <si>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</si>
  <si>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</si>
  <si>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</si>
  <si>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</si>
  <si>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</si>
  <si>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</si>
  <si>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</si>
  <si>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</si>
  <si>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</si>
  <si>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</si>
  <si>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</si>
  <si>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</si>
  <si>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</si>
  <si>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</si>
  <si>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</si>
  <si>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</si>
  <si>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</si>
  <si>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</si>
  <si>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</si>
  <si>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</si>
  <si>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</si>
  <si>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</si>
  <si>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</si>
  <si>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</si>
  <si>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</si>
  <si>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</si>
  <si>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</si>
  <si>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</si>
  <si>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</si>
  <si>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</si>
  <si>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</si>
  <si>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</si>
  <si>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</si>
  <si>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</si>
  <si>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</si>
  <si>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</si>
  <si>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</si>
  <si>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</si>
  <si>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</si>
  <si>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</si>
  <si>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</si>
  <si>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</si>
  <si>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</si>
  <si>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</si>
  <si>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</si>
  <si>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</si>
  <si>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</si>
  <si>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</si>
  <si>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</si>
  <si>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</si>
  <si>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</si>
  <si>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</si>
  <si>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</si>
  <si>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</si>
  <si>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</si>
  <si>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</si>
  <si>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</si>
  <si>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</si>
  <si>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</si>
  <si>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</si>
  <si>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</si>
  <si>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</si>
  <si>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</si>
  <si>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</si>
  <si>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</si>
  <si>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</si>
  <si>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</si>
  <si>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</si>
  <si>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</si>
  <si>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</si>
  <si>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</si>
  <si>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</si>
  <si>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</si>
  <si>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</si>
  <si>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</si>
  <si>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</si>
  <si>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</si>
  <si>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</si>
  <si>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</si>
  <si>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</si>
  <si>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</si>
  <si>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</si>
  <si>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</si>
  <si>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</si>
  <si>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</si>
  <si>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</si>
  <si>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</si>
  <si>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</si>
  <si>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</si>
  <si>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</si>
  <si>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</si>
  <si>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</si>
  <si>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</si>
  <si>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</si>
  <si>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</si>
  <si>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</si>
  <si>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</si>
  <si>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</si>
  <si>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</si>
  <si>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</si>
  <si>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</si>
  <si>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</si>
  <si>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</si>
  <si>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</si>
  <si>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</si>
  <si>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</si>
  <si>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</si>
  <si>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</si>
  <si>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</si>
  <si>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</si>
  <si>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</si>
  <si>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</si>
  <si>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</si>
  <si>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</si>
  <si>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</si>
  <si>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</si>
  <si>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</si>
  <si>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</si>
  <si>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</si>
  <si>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</si>
  <si>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</si>
  <si>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</si>
  <si>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</si>
  <si>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</si>
  <si>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</si>
  <si>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</si>
  <si>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</si>
  <si>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</si>
  <si>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</si>
  <si>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</si>
  <si>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</si>
  <si>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</si>
  <si>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</si>
  <si>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</si>
  <si>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</si>
  <si>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</si>
  <si>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</si>
  <si>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</si>
  <si>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</si>
  <si>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</si>
  <si>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</si>
  <si>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</si>
  <si>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</si>
  <si>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</si>
  <si>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</si>
  <si>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</si>
  <si>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</si>
  <si>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</si>
  <si>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</si>
  <si>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</si>
  <si>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</si>
  <si>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</si>
  <si>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</si>
  <si>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</si>
  <si>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</si>
  <si>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</si>
  <si>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</si>
  <si>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</si>
  <si>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</si>
  <si>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</si>
  <si>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</si>
  <si>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</si>
  <si>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</si>
  <si>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</si>
  <si>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</si>
  <si>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</si>
  <si>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</si>
  <si>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</si>
  <si>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</si>
  <si>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</si>
  <si>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</si>
  <si>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</si>
  <si>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</si>
  <si>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</si>
  <si>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</si>
  <si>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</si>
  <si>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</si>
  <si>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</si>
  <si>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</si>
  <si>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</si>
  <si>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</si>
  <si>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</si>
  <si>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</si>
  <si>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</si>
  <si>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</si>
  <si>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</si>
  <si>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</si>
  <si>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</si>
  <si>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</si>
  <si>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</si>
  <si>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</si>
  <si>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</si>
  <si>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</si>
  <si>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</si>
  <si>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</si>
  <si>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</si>
  <si>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</si>
  <si>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</si>
  <si>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</si>
  <si>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</si>
  <si>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</si>
  <si>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</si>
  <si>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</si>
  <si>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</si>
  <si>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</si>
  <si>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</si>
  <si>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</si>
  <si>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</si>
  <si>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</si>
  <si>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</si>
  <si>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</si>
  <si>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</si>
  <si>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</si>
  <si>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</si>
  <si>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</si>
  <si>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</si>
  <si>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</si>
  <si>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</si>
  <si>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</si>
  <si>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</si>
  <si>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</si>
  <si>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</si>
  <si>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</si>
  <si>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</si>
  <si>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</si>
  <si>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</si>
  <si>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</si>
  <si>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</si>
  <si>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</si>
  <si>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</si>
  <si>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</si>
  <si>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</si>
  <si>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</si>
  <si>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</si>
  <si>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</si>
  <si>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</si>
  <si>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</si>
  <si>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</si>
  <si>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</si>
  <si>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</si>
  <si>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</si>
  <si>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</si>
  <si>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</si>
  <si>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</si>
  <si>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</si>
  <si>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</si>
  <si>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</si>
  <si>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</si>
  <si>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</si>
  <si>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</si>
  <si>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</si>
  <si>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</si>
  <si>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</si>
  <si>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</si>
  <si>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</si>
  <si>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</si>
  <si>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</si>
  <si>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</si>
  <si>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</si>
  <si>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</si>
  <si>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</si>
  <si>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</si>
  <si>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</si>
  <si>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</si>
  <si>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</si>
  <si>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</si>
  <si>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</si>
  <si>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</si>
  <si>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</si>
  <si>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</si>
  <si>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</si>
  <si>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</si>
  <si>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</si>
  <si>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</si>
  <si>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</si>
  <si>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</si>
  <si>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</si>
  <si>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</si>
  <si>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</si>
  <si>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</si>
  <si>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</si>
  <si>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</si>
  <si>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</si>
  <si>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</si>
  <si>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</si>
  <si>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</si>
  <si>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</si>
  <si>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</si>
  <si>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</si>
  <si>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</si>
  <si>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</si>
  <si>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</si>
  <si>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</si>
  <si>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</si>
  <si>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</si>
  <si>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</si>
  <si>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</si>
  <si>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</si>
  <si>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</si>
  <si>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</si>
  <si>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</si>
  <si>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</si>
  <si>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</si>
  <si>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</si>
  <si>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</si>
  <si>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</si>
  <si>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</si>
  <si>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</si>
  <si>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</si>
  <si>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</si>
  <si>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</si>
  <si>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</si>
  <si>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</si>
  <si>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</si>
  <si>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</si>
  <si>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</si>
  <si>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</si>
  <si>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</si>
  <si>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</si>
  <si>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</si>
  <si>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</si>
  <si>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</si>
  <si>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</si>
  <si>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</si>
  <si>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</si>
  <si>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</si>
  <si>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</si>
  <si>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</si>
  <si>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</si>
  <si>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</si>
  <si>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</si>
  <si>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</si>
  <si>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</si>
  <si>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</si>
  <si>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</si>
  <si>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</si>
  <si>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</si>
  <si>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</si>
  <si>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</si>
  <si>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</si>
  <si>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</si>
  <si>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</si>
  <si>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</si>
  <si>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</si>
  <si>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</si>
  <si>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</si>
  <si>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</si>
  <si>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</si>
  <si>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</si>
  <si>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</si>
  <si>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</si>
  <si>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</si>
  <si>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</si>
  <si>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</si>
  <si>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</si>
  <si>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</si>
  <si>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</si>
  <si>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</si>
  <si>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</si>
  <si>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</si>
  <si>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</si>
  <si>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</si>
  <si>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</si>
  <si>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</si>
  <si>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</si>
  <si>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</si>
  <si>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</si>
  <si>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</si>
  <si>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</si>
  <si>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</si>
  <si>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</si>
  <si>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</si>
  <si>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</si>
  <si>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</si>
  <si>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</si>
  <si>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</si>
  <si>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</si>
  <si>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</si>
  <si>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</si>
  <si>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</si>
  <si>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</si>
  <si>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</si>
  <si>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</si>
  <si>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</si>
  <si>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</si>
  <si>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</si>
  <si>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</si>
  <si>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</si>
  <si>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</si>
  <si>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</si>
  <si>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</si>
  <si>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</si>
  <si>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</si>
  <si>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</si>
  <si>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</si>
  <si>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</si>
  <si>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</si>
  <si>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</si>
  <si>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</si>
  <si>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</si>
  <si>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</si>
  <si>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</si>
  <si>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</si>
  <si>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</si>
  <si>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</si>
  <si>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</si>
  <si>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</si>
  <si>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</si>
  <si>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</si>
  <si>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</si>
  <si>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</si>
  <si>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</si>
  <si>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</si>
  <si>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</si>
  <si>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</si>
  <si>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</si>
  <si>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</si>
  <si>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</si>
  <si>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</si>
  <si>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</si>
  <si>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</si>
  <si>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</si>
  <si>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</si>
  <si>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</si>
  <si>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</si>
  <si>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</si>
  <si>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</si>
  <si>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</si>
  <si>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</si>
  <si>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</si>
  <si>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</si>
  <si>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</si>
  <si>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</si>
  <si>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</si>
  <si>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</si>
  <si>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</si>
  <si>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</si>
  <si>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</si>
  <si>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</si>
  <si>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</si>
  <si>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</si>
  <si>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</si>
  <si>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</si>
  <si>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</si>
  <si>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</si>
  <si>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</si>
  <si>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</si>
  <si>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</si>
  <si>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</si>
  <si>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</si>
  <si>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</si>
  <si>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</si>
  <si>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</si>
  <si>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</si>
  <si>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</si>
  <si>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</si>
  <si>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</si>
  <si>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</si>
  <si>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</si>
  <si>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</si>
  <si>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</si>
  <si>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</si>
  <si>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</si>
  <si>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</si>
  <si>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</si>
  <si>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</si>
  <si>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</si>
  <si>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</si>
  <si>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</si>
  <si>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</si>
  <si>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</si>
  <si>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</si>
  <si>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</si>
  <si>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</si>
  <si>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</si>
  <si>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</si>
  <si>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</si>
  <si>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</si>
  <si>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</si>
  <si>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</si>
  <si>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</si>
  <si>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</si>
  <si>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</si>
  <si>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</si>
  <si>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</si>
  <si>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</si>
  <si>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</si>
  <si>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</si>
  <si>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</si>
  <si>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</si>
  <si>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</si>
  <si>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</si>
  <si>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</si>
  <si>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</si>
  <si>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</si>
  <si>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</si>
  <si>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</si>
  <si>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</si>
  <si>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</si>
  <si>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</si>
  <si>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</si>
  <si>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</si>
  <si>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</si>
  <si>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</si>
  <si>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</si>
  <si>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</si>
  <si>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</si>
  <si>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</si>
  <si>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</si>
  <si>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</si>
  <si>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</si>
  <si>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</si>
  <si>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</si>
  <si>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</si>
  <si>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</si>
  <si>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</si>
  <si>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</si>
  <si>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</si>
  <si>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</si>
  <si>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</si>
  <si>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</si>
  <si>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</si>
  <si>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</si>
  <si>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</si>
  <si>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</si>
  <si>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</si>
  <si>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</si>
  <si>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</si>
  <si>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</si>
  <si>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</si>
  <si>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</si>
  <si>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</si>
  <si>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</si>
  <si>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</si>
  <si>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</si>
  <si>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</si>
  <si>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</si>
  <si>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</si>
  <si>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</si>
  <si>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</si>
  <si>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</si>
  <si>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</si>
  <si>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</si>
  <si>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</si>
  <si>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</si>
  <si>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</si>
  <si>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</si>
  <si>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</si>
  <si>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</si>
  <si>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</si>
  <si>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</si>
  <si>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</si>
  <si>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</si>
  <si>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</si>
  <si>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</si>
  <si>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</si>
  <si>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</si>
  <si>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</si>
  <si>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</si>
  <si>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</si>
  <si>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</si>
  <si>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</si>
  <si>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</si>
  <si>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</si>
  <si>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</si>
  <si>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</si>
  <si>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</si>
  <si>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</si>
  <si>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</si>
  <si>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</si>
  <si>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</si>
  <si>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</si>
  <si>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</si>
  <si>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</si>
  <si>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</si>
  <si>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</si>
  <si>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</si>
  <si>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</si>
  <si>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</si>
  <si>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</si>
  <si>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</si>
  <si>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</si>
  <si>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</si>
  <si>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</si>
  <si>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</si>
  <si>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</si>
  <si>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</si>
  <si>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</si>
  <si>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</si>
  <si>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</si>
  <si>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</si>
  <si>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</si>
  <si>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</si>
  <si>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</si>
  <si>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</si>
  <si>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</si>
  <si>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</si>
  <si>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</si>
  <si>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</si>
  <si>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</si>
  <si>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</si>
  <si>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</si>
  <si>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</si>
  <si>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</si>
  <si>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</si>
  <si>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</si>
  <si>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</si>
  <si>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</si>
  <si>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</si>
  <si>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</si>
  <si>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</si>
  <si>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</si>
  <si>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</si>
  <si>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</si>
  <si>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</si>
  <si>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</si>
  <si>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</si>
  <si>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</si>
  <si>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</si>
  <si>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</si>
  <si>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</si>
  <si>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</si>
  <si>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</si>
  <si>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</si>
  <si>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</si>
  <si>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</si>
  <si>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</si>
  <si>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</si>
  <si>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</si>
  <si>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</si>
  <si>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</si>
  <si>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</si>
  <si>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</si>
  <si>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</si>
  <si>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</si>
  <si>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</si>
  <si>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</si>
  <si>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</si>
  <si>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</si>
  <si>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</si>
  <si>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</si>
  <si>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</si>
  <si>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</si>
  <si>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</si>
  <si>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</si>
  <si>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</si>
  <si>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</si>
  <si>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</si>
  <si>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</si>
  <si>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</si>
  <si>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</si>
  <si>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</si>
  <si>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</si>
  <si>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</si>
  <si>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</si>
  <si>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</si>
  <si>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</si>
  <si>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</si>
  <si>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</si>
  <si>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</si>
  <si>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</si>
  <si>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</si>
  <si>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</si>
  <si>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</si>
  <si>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</si>
  <si>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</si>
  <si>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</si>
  <si>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</si>
  <si>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</si>
  <si>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</si>
  <si>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</si>
  <si>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</si>
  <si>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</si>
  <si>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</si>
  <si>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</si>
  <si>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</si>
  <si>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</si>
  <si>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</si>
  <si>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</si>
  <si>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</si>
  <si>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</si>
  <si>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</si>
  <si>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</si>
  <si>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</si>
  <si>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</si>
  <si>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</si>
  <si>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</si>
  <si>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</si>
  <si>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</si>
  <si>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</si>
  <si>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</si>
  <si>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</si>
  <si>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</si>
  <si>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</si>
  <si>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</si>
  <si>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</si>
  <si>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</si>
  <si>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</si>
  <si>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</si>
  <si>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</si>
  <si>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</si>
  <si>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</si>
  <si>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</si>
  <si>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</si>
  <si>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</si>
  <si>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</si>
  <si>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</si>
  <si>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</si>
  <si>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</si>
  <si>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</si>
  <si>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</si>
  <si>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</si>
  <si>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</si>
  <si>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</si>
  <si>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</si>
  <si>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</si>
  <si>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</si>
  <si>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</si>
  <si>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</si>
  <si>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</si>
  <si>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</si>
  <si>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</si>
  <si>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</si>
  <si>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</si>
  <si>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</si>
  <si>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</si>
  <si>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</si>
  <si>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</si>
  <si>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</si>
  <si>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</si>
  <si>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</si>
  <si>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</si>
  <si>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</si>
  <si>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</si>
  <si>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</si>
  <si>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</si>
  <si>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</si>
  <si>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</si>
  <si>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</si>
  <si>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</si>
  <si>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</si>
  <si>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</si>
  <si>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</si>
  <si>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</si>
  <si>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</si>
  <si>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</si>
  <si>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</si>
  <si>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</si>
  <si>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</si>
  <si>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</si>
  <si>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</si>
  <si>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</si>
  <si>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</si>
  <si>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</si>
  <si>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</si>
  <si>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</si>
  <si>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</si>
  <si>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</si>
  <si>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</si>
  <si>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</si>
  <si>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</si>
  <si>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</si>
  <si>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</si>
  <si>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</si>
  <si>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</si>
  <si>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</si>
  <si>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</si>
  <si>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</si>
  <si>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</si>
  <si>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</si>
  <si>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</si>
  <si>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</si>
  <si>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</si>
  <si>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</si>
  <si>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</si>
  <si>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</si>
  <si>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</si>
  <si>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</si>
  <si>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</si>
  <si>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</si>
  <si>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</si>
  <si>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</si>
  <si>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</si>
  <si>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</si>
  <si>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</si>
  <si>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</si>
  <si>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</si>
  <si>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</si>
  <si>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</si>
  <si>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</si>
  <si>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</si>
  <si>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</si>
  <si>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</si>
  <si>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</si>
  <si>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</si>
  <si>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</si>
  <si>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</si>
  <si>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</si>
  <si>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</si>
  <si>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</si>
  <si>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</si>
  <si>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</si>
  <si>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</si>
  <si>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</si>
  <si>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</si>
  <si>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</si>
  <si>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</si>
  <si>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</si>
  <si>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</si>
  <si>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</si>
  <si>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</si>
  <si>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</si>
  <si>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</si>
  <si>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</si>
  <si>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</si>
  <si>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</si>
  <si>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</si>
  <si>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</si>
  <si>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</si>
  <si>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</si>
  <si>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</si>
  <si>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</si>
  <si>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</si>
  <si>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</si>
  <si>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</si>
  <si>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</si>
  <si>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</si>
  <si>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</si>
  <si>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</si>
  <si>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</si>
  <si>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</si>
  <si>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</si>
  <si>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</si>
  <si>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</si>
  <si>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</si>
  <si>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</si>
  <si>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</si>
  <si>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</si>
  <si>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</si>
  <si>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</si>
  <si>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</si>
  <si>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</si>
  <si>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</si>
  <si>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</si>
  <si>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</si>
  <si>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</si>
  <si>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</si>
  <si>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</si>
  <si>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</si>
  <si>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</si>
  <si>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</si>
  <si>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</si>
  <si>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</si>
  <si>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</si>
  <si>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</si>
  <si>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</si>
  <si>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</si>
  <si>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</si>
  <si>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</si>
  <si>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</si>
  <si>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</si>
  <si>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</si>
  <si>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</si>
  <si>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</si>
  <si>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</si>
  <si>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</si>
  <si>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</si>
  <si>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</si>
  <si>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</si>
  <si>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</si>
  <si>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</si>
  <si>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</si>
  <si>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</si>
  <si>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</si>
  <si>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</si>
  <si>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</si>
  <si>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</si>
  <si>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</si>
  <si>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</si>
  <si>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</si>
  <si>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</si>
  <si>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</si>
  <si>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</si>
  <si>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</si>
  <si>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</si>
  <si>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</si>
  <si>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</si>
  <si>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</si>
  <si>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</si>
  <si>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</si>
  <si>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</si>
  <si>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</si>
  <si>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</si>
  <si>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</si>
  <si>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</si>
  <si>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</si>
  <si>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</si>
  <si>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</si>
  <si>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</si>
  <si>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</si>
  <si>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</si>
  <si>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</si>
  <si>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</si>
  <si>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</si>
  <si>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</si>
  <si>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</si>
  <si>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</si>
  <si>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</si>
  <si>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</si>
  <si>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</si>
  <si>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</si>
  <si>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</si>
  <si>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</si>
  <si>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</si>
  <si>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</si>
  <si>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</si>
  <si>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</si>
  <si>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</si>
  <si>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</si>
  <si>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</si>
  <si>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</si>
  <si>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</si>
  <si>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</si>
  <si>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</si>
  <si>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</si>
  <si>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</si>
  <si>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</si>
  <si>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</si>
  <si>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</si>
  <si>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</si>
  <si>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</si>
  <si>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</si>
  <si>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</si>
  <si>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</si>
  <si>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</si>
  <si>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</si>
  <si>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</si>
  <si>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</si>
  <si>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</si>
  <si>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</si>
  <si>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</si>
  <si>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</si>
  <si>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</si>
  <si>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</si>
  <si>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</si>
  <si>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</si>
  <si>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</si>
  <si>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</si>
  <si>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</si>
  <si>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</si>
  <si>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</si>
  <si>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</si>
  <si>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</si>
  <si>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</si>
  <si>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</si>
  <si>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</si>
  <si>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</si>
  <si>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</si>
  <si>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</si>
  <si>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</si>
  <si>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</si>
  <si>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</si>
  <si>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</si>
  <si>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</si>
  <si>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</si>
  <si>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</si>
  <si>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</si>
  <si>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</si>
  <si>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</si>
  <si>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</si>
  <si>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</si>
  <si>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</si>
  <si>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</si>
  <si>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</si>
  <si>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</si>
  <si>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</si>
  <si>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</si>
  <si>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</si>
  <si>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</si>
  <si>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</si>
  <si>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</si>
  <si>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</si>
  <si>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</si>
  <si>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</si>
  <si>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</si>
  <si>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</si>
  <si>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</si>
  <si>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</si>
  <si>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</si>
  <si>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</si>
  <si>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</si>
  <si>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</si>
  <si>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</si>
  <si>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</si>
  <si>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</si>
  <si>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</si>
  <si>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</si>
  <si>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</si>
  <si>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</si>
  <si>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</si>
  <si>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</si>
  <si>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</si>
  <si>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</si>
  <si>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</si>
  <si>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</si>
  <si>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</si>
  <si>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</si>
  <si>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</si>
  <si>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</si>
  <si>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</si>
  <si>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</si>
  <si>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</si>
  <si>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</si>
  <si>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</si>
  <si>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</si>
  <si>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</si>
  <si>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</si>
  <si>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</si>
  <si>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</si>
  <si>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</si>
  <si>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</si>
  <si>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</si>
  <si>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</si>
  <si>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</si>
  <si>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</si>
  <si>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</si>
  <si>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</si>
  <si>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</si>
  <si>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</si>
  <si>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</si>
  <si>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</si>
  <si>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</si>
  <si>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</si>
  <si>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</si>
  <si>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</si>
  <si>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</si>
  <si>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</si>
  <si>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</si>
  <si>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</si>
  <si>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</si>
  <si>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</si>
  <si>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</si>
  <si>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</si>
  <si>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</si>
  <si>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</si>
  <si>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</si>
  <si>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</si>
  <si>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</si>
  <si>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</si>
  <si>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</si>
  <si>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</si>
  <si>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</si>
  <si>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</si>
  <si>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</si>
  <si>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</si>
  <si>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</si>
  <si>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</si>
  <si>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</si>
  <si>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</si>
  <si>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</si>
  <si>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</si>
  <si>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</si>
  <si>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</si>
  <si>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</si>
  <si>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</si>
  <si>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</si>
  <si>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</si>
  <si>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</si>
  <si>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</si>
  <si>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</si>
  <si>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</si>
  <si>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</si>
  <si>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</si>
  <si>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</si>
  <si>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</si>
  <si>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</si>
  <si>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</si>
  <si>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</si>
  <si>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</si>
  <si>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</si>
  <si>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</si>
  <si>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</si>
  <si>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</si>
  <si>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</si>
  <si>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</si>
  <si>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</si>
  <si>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</si>
  <si>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</si>
  <si>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</si>
  <si>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</si>
  <si>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</si>
  <si>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</si>
  <si>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</si>
  <si>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</si>
  <si>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</si>
  <si>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</si>
  <si>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</si>
  <si>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</si>
  <si>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</si>
  <si>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</si>
  <si>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</si>
  <si>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</si>
  <si>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</si>
  <si>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</si>
  <si>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</si>
  <si>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</si>
  <si>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</si>
  <si>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</si>
  <si>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</si>
  <si>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</si>
  <si>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</si>
  <si>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</si>
  <si>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</si>
  <si>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</si>
  <si>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</si>
  <si>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</si>
  <si>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</si>
  <si>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</si>
  <si>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</si>
  <si>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</si>
  <si>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</si>
  <si>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</si>
  <si>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</si>
  <si>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</si>
  <si>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</si>
  <si>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</si>
  <si>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</si>
  <si>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</si>
  <si>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</si>
  <si>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</si>
  <si>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</si>
  <si>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</si>
  <si>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</si>
  <si>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</si>
  <si>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</si>
  <si>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</si>
  <si>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</si>
  <si>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</si>
  <si>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</si>
  <si>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</si>
  <si>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</si>
  <si>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</si>
  <si>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</si>
  <si>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</si>
  <si>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</si>
  <si>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</si>
  <si>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</si>
  <si>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</si>
  <si>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</si>
  <si>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</si>
  <si>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</si>
  <si>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</si>
  <si>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</si>
  <si>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</si>
  <si>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</si>
  <si>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</si>
  <si>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</si>
  <si>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</si>
  <si>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</si>
  <si>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</si>
  <si>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</si>
  <si>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</si>
  <si>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</si>
  <si>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</si>
  <si>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</si>
  <si>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</si>
  <si>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</si>
  <si>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</si>
  <si>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</si>
  <si>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</si>
  <si>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</si>
  <si>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</si>
  <si>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</si>
  <si>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</si>
  <si>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</si>
  <si>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</si>
  <si>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</si>
  <si>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</si>
  <si>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</si>
  <si>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</si>
  <si>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</si>
  <si>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</si>
  <si>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</si>
  <si>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</si>
  <si>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</si>
  <si>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</si>
  <si>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</si>
  <si>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</si>
  <si>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</si>
  <si>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</si>
  <si>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</si>
  <si>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</si>
  <si>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</si>
  <si>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</si>
  <si>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</si>
  <si>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</si>
  <si>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</si>
  <si>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</si>
  <si>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</si>
  <si>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</si>
  <si>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</si>
  <si>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</si>
  <si>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</si>
  <si>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</si>
  <si>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</si>
  <si>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</si>
  <si>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</si>
  <si>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</si>
  <si>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</si>
  <si>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</si>
  <si>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</si>
  <si>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</si>
  <si>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</si>
  <si>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</si>
  <si>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</si>
  <si>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</si>
  <si>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</si>
  <si>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</si>
  <si>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</si>
  <si>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</si>
  <si>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</si>
  <si>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</si>
  <si>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</si>
  <si>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</si>
  <si>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</si>
  <si>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</si>
  <si>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</si>
  <si>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</si>
  <si>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</si>
  <si>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</si>
  <si>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</si>
  <si>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</si>
  <si>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</si>
  <si>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</si>
  <si>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</si>
  <si>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</si>
  <si>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</si>
  <si>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</si>
  <si>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</si>
  <si>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</si>
  <si>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</si>
  <si>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</si>
  <si>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</si>
  <si>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</si>
  <si>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</si>
  <si>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</si>
  <si>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</si>
  <si>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</si>
  <si>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</si>
  <si>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</si>
  <si>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</si>
  <si>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</si>
  <si>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</si>
  <si>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</si>
  <si>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</si>
  <si>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</si>
  <si>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</si>
  <si>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</si>
  <si>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</si>
  <si>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</si>
  <si>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</si>
  <si>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</si>
  <si>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</si>
  <si>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</si>
  <si>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</si>
  <si>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</si>
  <si>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</si>
  <si>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</si>
  <si>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</si>
  <si>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</si>
  <si>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</si>
  <si>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</si>
  <si>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</si>
  <si>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</si>
  <si>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</si>
  <si>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</si>
  <si>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</si>
  <si>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</si>
  <si>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</si>
  <si>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</si>
  <si>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</si>
  <si>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</si>
  <si>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</si>
  <si>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</si>
  <si>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</si>
  <si>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</si>
  <si>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</si>
  <si>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</si>
  <si>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</si>
  <si>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</si>
  <si>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</si>
  <si>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</si>
  <si>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</si>
  <si>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</si>
  <si>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</si>
  <si>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</si>
  <si>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</si>
  <si>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</si>
  <si>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</si>
  <si>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</si>
  <si>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</si>
  <si>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</si>
  <si>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</si>
  <si>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</si>
  <si>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</si>
  <si>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</si>
  <si>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</si>
  <si>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</si>
  <si>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</si>
  <si>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</si>
  <si>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</si>
  <si>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</si>
  <si>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</si>
  <si>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</si>
  <si>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</si>
  <si>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</si>
  <si>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</si>
  <si>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</si>
  <si>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</si>
  <si>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</si>
  <si>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</si>
  <si>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</si>
  <si>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</si>
  <si>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</si>
  <si>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</si>
  <si>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</si>
  <si>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</si>
  <si>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</si>
  <si>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</si>
  <si>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</si>
  <si>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</si>
  <si>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</si>
  <si>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</si>
  <si>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</si>
  <si>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</si>
  <si>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</si>
  <si>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</si>
  <si>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</si>
  <si>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</si>
  <si>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</si>
  <si>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</si>
  <si>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</si>
  <si>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</si>
  <si>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</si>
  <si>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</si>
  <si>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</si>
  <si>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</si>
  <si>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</si>
  <si>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</si>
  <si>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</si>
  <si>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</si>
  <si>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</si>
  <si>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</si>
  <si>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</si>
  <si>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</si>
  <si>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</si>
  <si>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</si>
  <si>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</si>
  <si>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</si>
  <si>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</si>
  <si>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</si>
  <si>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</si>
  <si>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</si>
  <si>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</si>
  <si>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</si>
  <si>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</si>
  <si>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</si>
  <si>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</si>
  <si>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</si>
  <si>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</si>
  <si>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</si>
  <si>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</si>
  <si>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</si>
  <si>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</si>
  <si>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</si>
  <si>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</si>
  <si>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</si>
  <si>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</si>
  <si>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</si>
  <si>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</si>
  <si>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</si>
  <si>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</si>
  <si>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</si>
  <si>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</si>
  <si>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</si>
  <si>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</si>
  <si>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</si>
  <si>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</si>
  <si>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</si>
  <si>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</si>
  <si>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</si>
  <si>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</si>
  <si>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</si>
  <si>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</si>
  <si>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</si>
  <si>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</si>
  <si>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</si>
  <si>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</si>
  <si>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</si>
  <si>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</si>
  <si>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</si>
  <si>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</si>
  <si>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</si>
  <si>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</si>
  <si>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</si>
  <si>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</si>
  <si>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</si>
  <si>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</si>
  <si>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</si>
  <si>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</si>
  <si>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</si>
  <si>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</si>
  <si>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</si>
  <si>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</si>
  <si>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</si>
  <si>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</si>
  <si>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</si>
  <si>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</si>
  <si>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</si>
  <si>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</si>
  <si>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</si>
  <si>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</si>
  <si>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</si>
  <si>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</si>
  <si>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</si>
  <si>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</si>
  <si>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</si>
  <si>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</si>
  <si>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</si>
  <si>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</si>
  <si>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</si>
  <si>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</si>
  <si>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</si>
  <si>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</si>
  <si>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</si>
  <si>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</si>
  <si>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</si>
  <si>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</si>
  <si>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</si>
  <si>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</si>
  <si>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</si>
  <si>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</si>
  <si>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</si>
  <si>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</si>
  <si>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</si>
  <si>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</si>
  <si>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</si>
  <si>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</si>
  <si>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</si>
  <si>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</si>
  <si>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</si>
  <si>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</si>
  <si>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</si>
  <si>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</si>
  <si>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</si>
  <si>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</si>
  <si>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</si>
  <si>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</si>
  <si>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</si>
  <si>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</si>
  <si>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</si>
  <si>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</si>
  <si>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</si>
  <si>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</si>
  <si>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</si>
  <si>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</si>
  <si>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</si>
  <si>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</si>
  <si>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</si>
  <si>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</si>
  <si>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</si>
  <si>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</si>
  <si>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</si>
  <si>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</si>
  <si>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</si>
  <si>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</si>
  <si>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</si>
  <si>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</si>
  <si>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</si>
  <si>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</si>
  <si>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</si>
  <si>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</si>
  <si>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</si>
  <si>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</si>
  <si>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</si>
  <si>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</si>
  <si>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</si>
  <si>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</si>
  <si>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</si>
  <si>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</si>
  <si>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</si>
  <si>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</si>
  <si>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</si>
  <si>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</si>
  <si>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</si>
  <si>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</si>
  <si>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</si>
  <si>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</si>
  <si>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</si>
  <si>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</si>
  <si>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</si>
  <si>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</si>
  <si>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</si>
  <si>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</si>
  <si>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</si>
  <si>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</si>
  <si>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</si>
  <si>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</si>
  <si>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</si>
  <si>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</si>
  <si>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</si>
  <si>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</si>
  <si>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</si>
  <si>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</si>
  <si>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</si>
  <si>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</si>
  <si>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</si>
  <si>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</si>
  <si>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</si>
  <si>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</si>
  <si>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</si>
  <si>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</si>
  <si>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</si>
  <si>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</si>
  <si>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</si>
  <si>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</si>
  <si>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</si>
  <si>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</si>
  <si>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</si>
  <si>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</si>
  <si>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</si>
  <si>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</si>
  <si>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</si>
  <si>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</si>
  <si>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</si>
  <si>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</si>
  <si>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</si>
  <si>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</si>
  <si>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</si>
  <si>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</si>
  <si>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</si>
  <si>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</si>
  <si>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</si>
  <si>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</si>
  <si>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</si>
  <si>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</si>
  <si>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</si>
  <si>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</si>
  <si>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</si>
  <si>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</si>
  <si>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</si>
  <si>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</si>
  <si>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</si>
  <si>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</si>
  <si>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</si>
  <si>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</si>
  <si>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</si>
  <si>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</si>
  <si>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</si>
  <si>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</si>
  <si>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</si>
  <si>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</si>
  <si>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</si>
  <si>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</si>
  <si>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</si>
  <si>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</si>
  <si>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</si>
  <si>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</si>
  <si>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</si>
  <si>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</si>
  <si>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</si>
  <si>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</si>
  <si>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</si>
  <si>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</si>
  <si>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</si>
  <si>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</si>
  <si>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</si>
  <si>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</si>
  <si>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</si>
  <si>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</si>
  <si>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</si>
  <si>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</si>
  <si>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</si>
  <si>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</si>
  <si>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</si>
  <si>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</si>
  <si>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</si>
  <si>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</si>
  <si>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</si>
  <si>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</si>
  <si>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</si>
  <si>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</si>
  <si>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</si>
  <si>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</si>
  <si>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</si>
  <si>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</si>
  <si>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</si>
  <si>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</si>
  <si>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</si>
  <si>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</si>
  <si>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</si>
  <si>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</si>
  <si>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</si>
  <si>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</si>
  <si>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</si>
  <si>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</si>
  <si>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</si>
  <si>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</si>
  <si>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</si>
  <si>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</si>
  <si>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</si>
  <si>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</si>
  <si>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</si>
  <si>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</si>
  <si>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</si>
  <si>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</si>
  <si>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</si>
  <si>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</si>
  <si>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</si>
  <si>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</si>
  <si>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</si>
  <si>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</si>
  <si>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</si>
  <si>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</si>
  <si>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</si>
  <si>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</si>
  <si>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</si>
  <si>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</si>
  <si>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</si>
  <si>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</si>
  <si>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</si>
  <si>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</si>
  <si>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</si>
  <si>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</si>
  <si>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</si>
  <si>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</si>
  <si>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</si>
  <si>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</si>
  <si>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</si>
  <si>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</si>
  <si>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</si>
  <si>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</si>
  <si>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</si>
  <si>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</si>
  <si>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</si>
  <si>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</si>
  <si>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</si>
  <si>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</si>
  <si>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</si>
  <si>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</si>
  <si>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</si>
  <si>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</si>
  <si>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</si>
  <si>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</si>
  <si>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</si>
  <si>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</si>
  <si>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</si>
  <si>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</si>
  <si>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</si>
  <si>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</si>
  <si>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</si>
  <si>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</si>
  <si>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</si>
  <si>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</si>
  <si>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</si>
  <si>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</si>
  <si>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</si>
  <si>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</si>
  <si>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</si>
  <si>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</si>
  <si>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</si>
  <si>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</si>
  <si>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</si>
  <si>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</si>
  <si>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</si>
  <si>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</si>
  <si>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</si>
  <si>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</si>
  <si>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</si>
  <si>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</si>
  <si>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</si>
  <si>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</si>
  <si>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</si>
  <si>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</si>
  <si>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</si>
  <si>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</si>
  <si>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</si>
  <si>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</si>
  <si>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</si>
  <si>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</si>
  <si>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</si>
  <si>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</si>
  <si>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</si>
  <si>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</si>
  <si>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</si>
  <si>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</si>
  <si>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</si>
  <si>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</si>
  <si>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</si>
  <si>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</si>
  <si>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</si>
  <si>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</si>
  <si>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</si>
  <si>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</si>
  <si>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</si>
  <si>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</si>
  <si>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</si>
  <si>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</si>
  <si>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</si>
  <si>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</si>
  <si>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</si>
  <si>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</si>
  <si>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</si>
  <si>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</si>
  <si>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</si>
  <si>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</si>
  <si>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</si>
  <si>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</si>
  <si>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</si>
  <si>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</si>
  <si>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</si>
  <si>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</si>
  <si>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</si>
  <si>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</si>
  <si>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</si>
  <si>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</si>
  <si>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</si>
  <si>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</si>
  <si>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</si>
  <si>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</si>
  <si>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</si>
  <si>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</si>
  <si>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</si>
  <si>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</si>
  <si>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</si>
  <si>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</si>
  <si>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</si>
  <si>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</si>
  <si>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</si>
  <si>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</si>
  <si>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</si>
  <si>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</si>
  <si>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</si>
  <si>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</si>
  <si>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</si>
  <si>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</si>
  <si>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</si>
  <si>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</si>
  <si>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</si>
  <si>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</si>
  <si>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</si>
  <si>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</si>
  <si>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</si>
  <si>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</si>
  <si>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</si>
  <si>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</si>
  <si>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</si>
  <si>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</si>
  <si>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</si>
  <si>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</si>
  <si>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</si>
  <si>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</si>
  <si>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</si>
  <si>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</si>
  <si>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</si>
  <si>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</si>
  <si>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</si>
  <si>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</si>
  <si>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</si>
  <si>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</si>
  <si>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</si>
  <si>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</si>
  <si>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</si>
  <si>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</si>
  <si>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</si>
  <si>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</si>
  <si>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</si>
  <si>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</si>
  <si>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</si>
  <si>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</si>
  <si>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</si>
  <si>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</si>
  <si>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</si>
  <si>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</si>
  <si>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</si>
  <si>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</si>
  <si>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</si>
  <si>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</si>
  <si>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</si>
  <si>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</si>
  <si>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</si>
  <si>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</si>
  <si>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</si>
  <si>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</si>
  <si>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</si>
  <si>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</si>
  <si>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</si>
  <si>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</si>
  <si>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</si>
  <si>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</si>
  <si>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</si>
  <si>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</si>
  <si>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</si>
  <si>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</si>
  <si>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</si>
  <si>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</si>
  <si>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</si>
  <si>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</si>
  <si>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</si>
  <si>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</si>
  <si>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</si>
  <si>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</si>
  <si>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</si>
  <si>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</si>
  <si>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</si>
  <si>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</si>
  <si>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</si>
  <si>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</si>
  <si>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</si>
  <si>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</si>
  <si>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</si>
  <si>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</si>
  <si>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</si>
  <si>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</si>
  <si>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</si>
  <si>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</si>
  <si>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</si>
  <si>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</si>
  <si>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</si>
  <si>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</si>
  <si>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</si>
  <si>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</si>
  <si>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</si>
  <si>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</si>
  <si>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</si>
  <si>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</si>
  <si>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</si>
  <si>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</si>
  <si>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</si>
  <si>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</si>
  <si>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</si>
  <si>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</si>
  <si>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</si>
  <si>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</si>
  <si>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</si>
  <si>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</si>
  <si>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</si>
  <si>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</si>
  <si>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</si>
  <si>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</si>
  <si>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</si>
  <si>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</si>
  <si>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</si>
  <si>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</si>
  <si>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</si>
  <si>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</si>
  <si>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</si>
  <si>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</si>
  <si>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</si>
  <si>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</si>
  <si>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</si>
  <si>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</si>
  <si>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</si>
  <si>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</si>
  <si>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</si>
  <si>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</si>
  <si>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</si>
  <si>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</si>
  <si>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</si>
  <si>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</si>
  <si>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</si>
  <si>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</si>
  <si>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</si>
  <si>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</si>
  <si>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</si>
  <si>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</si>
  <si>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</si>
  <si>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</si>
  <si>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</si>
  <si>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</si>
  <si>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</si>
  <si>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</si>
  <si>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</si>
  <si>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</si>
  <si>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</si>
  <si>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</si>
  <si>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</si>
  <si>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</si>
  <si>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</si>
  <si>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</si>
  <si>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</si>
  <si>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</si>
  <si>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</si>
  <si>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</si>
  <si>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</si>
  <si>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</si>
  <si>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</si>
  <si>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</si>
  <si>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</si>
  <si>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</si>
  <si>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</si>
  <si>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</si>
  <si>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</si>
  <si>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</si>
  <si>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</si>
  <si>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</si>
  <si>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</si>
  <si>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</si>
  <si>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</si>
  <si>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</si>
  <si>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</si>
  <si>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</si>
  <si>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</si>
  <si>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</si>
  <si>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</si>
  <si>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</si>
  <si>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</si>
  <si>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</si>
  <si>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</si>
  <si>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</si>
  <si>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</si>
  <si>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</si>
  <si>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</si>
  <si>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</si>
  <si>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</si>
  <si>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</si>
  <si>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</si>
  <si>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</si>
  <si>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</si>
  <si>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</si>
  <si>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</si>
  <si>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</si>
  <si>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</si>
  <si>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</si>
  <si>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</si>
  <si>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</si>
  <si>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</si>
  <si>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</si>
  <si>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</si>
  <si>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</si>
  <si>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</si>
  <si>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</si>
  <si>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</si>
  <si>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</si>
  <si>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</si>
  <si>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</si>
  <si>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</si>
  <si>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</si>
  <si>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</si>
  <si>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</si>
  <si>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</si>
  <si>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</si>
  <si>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</si>
  <si>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</si>
  <si>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</si>
  <si>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</si>
  <si>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</si>
  <si>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</si>
  <si>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</si>
  <si>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</si>
  <si>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</si>
  <si>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</si>
  <si>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</si>
  <si>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</si>
  <si>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</si>
  <si>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</si>
  <si>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</si>
  <si>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</si>
  <si>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</si>
  <si>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</si>
  <si>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</si>
  <si>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</si>
  <si>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</si>
  <si>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</si>
  <si>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</si>
  <si>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</si>
  <si>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</si>
  <si>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</si>
  <si>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</si>
  <si>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</si>
  <si>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</si>
  <si>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</si>
  <si>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</si>
  <si>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</si>
  <si>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</si>
  <si>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</si>
  <si>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</si>
  <si>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</si>
  <si>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</si>
  <si>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</si>
  <si>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</si>
  <si>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</si>
  <si>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</si>
  <si>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</si>
  <si>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</si>
  <si>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</si>
  <si>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</si>
  <si>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</si>
  <si>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</si>
  <si>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</si>
  <si>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</si>
  <si>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</si>
  <si>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</si>
  <si>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</si>
  <si>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</si>
  <si>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</si>
  <si>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</si>
  <si>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</si>
  <si>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</si>
  <si>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</si>
  <si>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</si>
  <si>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</si>
  <si>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</si>
  <si>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</si>
  <si>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</si>
  <si>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</si>
  <si>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</si>
  <si>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</si>
  <si>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</si>
  <si>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</si>
  <si>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</si>
  <si>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</si>
  <si>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</si>
  <si>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</si>
  <si>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</si>
  <si>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</si>
  <si>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</si>
  <si>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</si>
  <si>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</si>
  <si>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</si>
  <si>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</si>
  <si>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</si>
  <si>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</si>
  <si>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</si>
  <si>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</si>
  <si>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</si>
  <si>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</si>
  <si>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</si>
  <si>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</si>
  <si>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</si>
  <si>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</si>
  <si>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</si>
  <si>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</si>
  <si>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</si>
  <si>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</si>
  <si>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</si>
  <si>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</si>
  <si>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</si>
  <si>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</si>
  <si>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</si>
  <si>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</si>
  <si>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</si>
  <si>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</si>
  <si>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</si>
  <si>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</si>
  <si>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</si>
  <si>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</si>
  <si>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</si>
  <si>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</si>
  <si>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</si>
  <si>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</si>
  <si>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</si>
  <si>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</si>
  <si>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</si>
  <si>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</si>
  <si>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</si>
  <si>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</si>
  <si>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</si>
  <si>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</si>
  <si>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</si>
  <si>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</si>
  <si>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</si>
  <si>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</si>
  <si>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</si>
  <si>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</si>
  <si>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</si>
  <si>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</si>
  <si>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</si>
  <si>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</si>
  <si>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</si>
  <si>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</si>
  <si>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</si>
  <si>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</si>
  <si>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</si>
  <si>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</si>
  <si>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</si>
  <si>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</si>
  <si>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</si>
  <si>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</si>
  <si>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</si>
  <si>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</si>
  <si>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</si>
  <si>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</si>
  <si>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</si>
  <si>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</si>
  <si>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</si>
  <si>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</si>
  <si>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</si>
  <si>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</si>
  <si>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</si>
  <si>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</si>
  <si>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</si>
  <si>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</si>
  <si>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</si>
  <si>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</si>
  <si>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</si>
  <si>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</si>
  <si>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</si>
  <si>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</si>
  <si>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</si>
  <si>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</si>
  <si>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</si>
  <si>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</si>
  <si>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</si>
  <si>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</si>
  <si>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</si>
  <si>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</si>
  <si>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</si>
  <si>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</si>
  <si>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</si>
  <si>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</si>
  <si>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</si>
  <si>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</si>
  <si>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</si>
  <si>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</si>
  <si>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</si>
  <si>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</si>
  <si>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</si>
  <si>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</si>
  <si>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</si>
  <si>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</si>
  <si>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</si>
  <si>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</si>
  <si>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</si>
  <si>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</si>
  <si>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</si>
  <si>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</si>
  <si>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</si>
  <si>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</si>
  <si>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</si>
  <si>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</si>
  <si>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</si>
  <si>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</si>
  <si>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</si>
  <si>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</si>
  <si>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</si>
  <si>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</si>
  <si>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</si>
  <si>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</si>
  <si>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</si>
  <si>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</si>
  <si>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</si>
  <si>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</si>
  <si>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</si>
  <si>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</si>
  <si>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</si>
  <si>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</si>
  <si>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</si>
  <si>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</si>
  <si>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</si>
  <si>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</si>
  <si>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</si>
  <si>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</si>
  <si>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</si>
  <si>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</si>
  <si>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</si>
  <si>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</si>
  <si>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</si>
  <si>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</si>
  <si>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</si>
  <si>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</si>
  <si>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</si>
  <si>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</si>
  <si>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</si>
  <si>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</si>
  <si>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</si>
  <si>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</si>
  <si>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</si>
  <si>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</si>
  <si>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</si>
  <si>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</si>
  <si>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</si>
  <si>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</si>
  <si>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</si>
  <si>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</si>
  <si>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</si>
  <si>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</si>
  <si>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</si>
  <si>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</si>
  <si>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</si>
  <si>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</si>
  <si>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</si>
  <si>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</si>
  <si>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</si>
  <si>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</si>
  <si>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</si>
  <si>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</si>
  <si>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</si>
  <si>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</si>
  <si>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</si>
  <si>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</si>
  <si>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</si>
  <si>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</si>
  <si>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</si>
  <si>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</si>
  <si>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</si>
  <si>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</si>
  <si>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</si>
  <si>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</si>
  <si>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</si>
  <si>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</si>
  <si>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</si>
  <si>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</si>
  <si>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</si>
  <si>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</si>
  <si>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</si>
  <si>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</si>
  <si>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</si>
  <si>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</si>
  <si>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</si>
  <si>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</si>
  <si>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</si>
  <si>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</si>
  <si>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</si>
  <si>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</si>
  <si>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</si>
  <si>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</si>
  <si>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</si>
  <si>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</si>
  <si>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</si>
  <si>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</si>
  <si>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</si>
  <si>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</si>
  <si>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</si>
  <si>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</si>
  <si>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</si>
  <si>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</si>
  <si>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</si>
  <si>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</si>
  <si>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</si>
  <si>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</si>
  <si>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</si>
  <si>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</si>
  <si>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</si>
  <si>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</si>
  <si>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</si>
  <si>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</si>
  <si>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</si>
  <si>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</si>
  <si>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</si>
  <si>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</si>
  <si>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</si>
  <si>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</si>
  <si>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</si>
  <si>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</si>
  <si>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</si>
  <si>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</si>
  <si>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</si>
  <si>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</si>
  <si>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</si>
  <si>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</si>
  <si>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</si>
  <si>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</si>
  <si>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</si>
  <si>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</si>
  <si>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</si>
  <si>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</si>
  <si>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</si>
  <si>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</si>
  <si>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</si>
  <si>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</si>
  <si>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</si>
  <si>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</si>
  <si>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</si>
  <si>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</si>
  <si>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</si>
  <si>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</si>
  <si>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</si>
  <si>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</si>
  <si>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</si>
  <si>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</si>
  <si>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</si>
  <si>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</si>
  <si>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</si>
  <si>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</si>
  <si>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</si>
  <si>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</si>
  <si>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</si>
  <si>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</si>
  <si>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</si>
  <si>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</si>
  <si>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</si>
  <si>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</si>
  <si>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</si>
  <si>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</si>
  <si>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</si>
  <si>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</si>
  <si>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</si>
  <si>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</si>
  <si>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</si>
  <si>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</si>
  <si>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</si>
  <si>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</si>
  <si>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</si>
  <si>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</si>
  <si>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</si>
  <si>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</si>
  <si>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</si>
  <si>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</si>
  <si>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</si>
  <si>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</si>
  <si>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</si>
  <si>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</si>
  <si>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</si>
  <si>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</si>
  <si>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</si>
  <si>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</si>
  <si>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</si>
  <si>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</si>
  <si>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</si>
  <si>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</si>
  <si>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</si>
  <si>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</si>
  <si>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</si>
  <si>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</si>
  <si>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</si>
  <si>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</si>
  <si>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</si>
  <si>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</si>
  <si>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</si>
  <si>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</si>
  <si>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</si>
  <si>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</si>
  <si>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</si>
  <si>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</si>
  <si>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</si>
  <si>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</si>
  <si>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</si>
  <si>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</si>
  <si>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</si>
  <si>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</si>
  <si>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</si>
  <si>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</si>
  <si>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</si>
  <si>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</si>
  <si>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</si>
  <si>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</si>
  <si>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</si>
  <si>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</si>
  <si>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</si>
  <si>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</si>
  <si>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</si>
  <si>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</si>
  <si>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</si>
  <si>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</si>
  <si>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</si>
  <si>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</si>
  <si>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</si>
  <si>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</si>
  <si>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</si>
  <si>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</si>
  <si>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</si>
  <si>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</si>
  <si>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</si>
  <si>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</si>
  <si>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</si>
  <si>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</si>
  <si>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</si>
  <si>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</si>
  <si>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</si>
  <si>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</si>
  <si>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</si>
  <si>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</si>
  <si>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</si>
  <si>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</si>
  <si>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</si>
  <si>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</si>
  <si>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</si>
  <si>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</si>
  <si>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</si>
  <si>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</si>
  <si>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</si>
  <si>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</si>
  <si>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</si>
  <si>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</si>
  <si>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</si>
  <si>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</si>
  <si>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</si>
  <si>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</si>
  <si>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</si>
  <si>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</si>
  <si>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</si>
  <si>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</si>
  <si>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</si>
  <si>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</si>
  <si>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</si>
  <si>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</si>
  <si>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</si>
  <si>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</si>
  <si>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</si>
  <si>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</si>
  <si>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</si>
  <si>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</si>
  <si>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</si>
  <si>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</si>
  <si>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</si>
  <si>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</si>
  <si>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</si>
  <si>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</si>
  <si>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</si>
  <si>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</si>
  <si>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</si>
  <si>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</si>
  <si>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</si>
  <si>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</si>
  <si>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</si>
  <si>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</si>
  <si>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</si>
  <si>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</si>
  <si>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</si>
  <si>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</si>
  <si>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</si>
  <si>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</si>
  <si>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</si>
  <si>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</si>
  <si>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</si>
  <si>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</si>
  <si>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</si>
  <si>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</si>
  <si>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</si>
  <si>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</si>
  <si>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</si>
  <si>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</si>
  <si>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</si>
  <si>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</si>
  <si>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</si>
  <si>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</si>
  <si>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</si>
  <si>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</si>
  <si>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</si>
  <si>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</si>
  <si>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</si>
  <si>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</si>
  <si>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</si>
  <si>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</si>
  <si>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</si>
  <si>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</si>
  <si>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</si>
  <si>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</si>
  <si>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</si>
  <si>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</si>
  <si>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</si>
  <si>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</si>
  <si>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</si>
  <si>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</si>
  <si>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</si>
  <si>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</si>
  <si>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</si>
  <si>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</si>
  <si>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</si>
  <si>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</si>
  <si>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</si>
  <si>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</si>
  <si>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</si>
  <si>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</si>
  <si>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</si>
  <si>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</si>
  <si>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</si>
  <si>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</si>
  <si>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</si>
  <si>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</si>
  <si>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</si>
  <si>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</si>
  <si>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</si>
  <si>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</si>
  <si>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</si>
  <si>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</si>
  <si>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</si>
  <si>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</si>
  <si>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</si>
  <si>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</si>
  <si>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</si>
  <si>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</si>
  <si>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</si>
  <si>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</si>
  <si>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</si>
  <si>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</si>
  <si>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</si>
  <si>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</si>
  <si>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</si>
  <si>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</si>
  <si>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</si>
  <si>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</si>
  <si>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</si>
  <si>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</si>
  <si>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</si>
  <si>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</si>
  <si>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</si>
  <si>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</si>
  <si>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</si>
  <si>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</si>
  <si>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</si>
  <si>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</si>
  <si>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</si>
  <si>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</si>
  <si>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</si>
  <si>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</si>
  <si>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</si>
  <si>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</si>
  <si>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</si>
  <si>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</si>
  <si>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</si>
  <si>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</si>
  <si>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</si>
  <si>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</si>
  <si>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</si>
  <si>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</si>
  <si>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</si>
  <si>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</si>
  <si>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</si>
  <si>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</si>
  <si>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</si>
  <si>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</si>
  <si>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</si>
  <si>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</si>
  <si>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</si>
  <si>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</si>
  <si>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</si>
  <si>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</si>
  <si>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</si>
  <si>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</si>
  <si>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</si>
  <si>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</si>
  <si>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</si>
  <si>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</si>
  <si>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</si>
  <si>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</si>
  <si>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</si>
  <si>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</si>
  <si>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</si>
  <si>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</si>
  <si>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</si>
  <si>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</si>
  <si>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</si>
  <si>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</si>
  <si>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</si>
  <si>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</si>
  <si>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</si>
  <si>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</si>
  <si>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</si>
  <si>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</si>
  <si>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</si>
  <si>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</si>
  <si>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</si>
  <si>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</si>
  <si>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</si>
  <si>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</si>
  <si>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</si>
  <si>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</si>
  <si>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</si>
  <si>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</si>
  <si>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</si>
  <si>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</si>
  <si>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</si>
  <si>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</si>
  <si>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</si>
  <si>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</si>
  <si>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</si>
  <si>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</si>
  <si>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</si>
  <si>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</si>
  <si>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</si>
  <si>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</si>
  <si>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</si>
  <si>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</si>
  <si>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</si>
  <si>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</si>
  <si>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</si>
  <si>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</si>
  <si>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</si>
  <si>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</si>
  <si>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</si>
  <si>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</si>
  <si>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</si>
  <si>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</si>
  <si>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</si>
  <si>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</si>
  <si>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</si>
  <si>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</si>
  <si>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</si>
  <si>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</si>
  <si>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</si>
  <si>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</si>
  <si>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</si>
  <si>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</si>
  <si>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</si>
  <si>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</si>
  <si>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</si>
  <si>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</si>
  <si>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</si>
  <si>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</si>
  <si>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</si>
  <si>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</si>
  <si>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</si>
  <si>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</si>
  <si>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</si>
  <si>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</si>
  <si>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</si>
  <si>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</si>
  <si>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</si>
  <si>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</si>
  <si>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</si>
  <si>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</si>
  <si>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</si>
  <si>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</si>
  <si>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</si>
  <si>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</si>
  <si>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</si>
  <si>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</si>
  <si>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</si>
  <si>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</si>
  <si>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</si>
  <si>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</si>
  <si>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</si>
  <si>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</si>
  <si>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</si>
  <si>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</si>
  <si>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</si>
  <si>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</si>
  <si>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</si>
  <si>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</si>
  <si>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</si>
  <si>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</si>
  <si>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</si>
  <si>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</si>
  <si>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</si>
  <si>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</si>
  <si>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</si>
  <si>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</si>
  <si>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</si>
  <si>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</si>
  <si>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</si>
  <si>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</si>
  <si>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</si>
  <si>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</si>
  <si>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</si>
  <si>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</si>
  <si>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</si>
  <si>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</si>
  <si>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</si>
  <si>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</si>
  <si>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</si>
  <si>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</si>
  <si>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</si>
  <si>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</si>
  <si>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</si>
  <si>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</si>
  <si>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</si>
  <si>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</si>
  <si>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</si>
  <si>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</si>
  <si>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</si>
  <si>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</si>
  <si>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</si>
  <si>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</si>
  <si>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</si>
  <si>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</si>
  <si>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</si>
  <si>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</si>
  <si>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</si>
  <si>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</si>
  <si>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</si>
  <si>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</si>
  <si>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</si>
  <si>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</si>
  <si>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</si>
  <si>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</si>
  <si>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</si>
  <si>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</si>
  <si>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</si>
  <si>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</si>
  <si>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</si>
  <si>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</si>
  <si>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</si>
  <si>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</si>
  <si>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</si>
  <si>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</si>
  <si>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</si>
  <si>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</si>
  <si>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</si>
  <si>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</si>
  <si>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</si>
  <si>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</si>
  <si>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</si>
  <si>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</si>
  <si>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</si>
  <si>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</si>
  <si>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</si>
  <si>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</si>
  <si>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</si>
  <si>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</si>
  <si>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</si>
  <si>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</si>
  <si>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</si>
  <si>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</si>
  <si>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</si>
  <si>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</si>
  <si>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</si>
  <si>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</si>
  <si>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</si>
  <si>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</si>
  <si>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</si>
  <si>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</si>
  <si>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</si>
  <si>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</si>
  <si>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</si>
  <si>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</si>
  <si>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</si>
  <si>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</si>
  <si>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</si>
  <si>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</si>
  <si>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</si>
  <si>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</si>
  <si>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</si>
  <si>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</si>
  <si>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</si>
  <si>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</si>
  <si>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</si>
  <si>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</si>
  <si>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</si>
  <si>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</si>
  <si>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</si>
  <si>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</si>
  <si>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</si>
  <si>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</si>
  <si>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</si>
  <si>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</si>
  <si>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</si>
  <si>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</si>
  <si>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</si>
  <si>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</si>
  <si>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</si>
  <si>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</si>
  <si>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</si>
  <si>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</si>
  <si>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</si>
  <si>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</si>
  <si>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</si>
  <si>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</si>
  <si>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</si>
  <si>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</si>
  <si>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</si>
  <si>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</si>
  <si>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</si>
  <si>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</si>
  <si>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</si>
  <si>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</si>
  <si>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</si>
  <si>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</si>
  <si>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</si>
  <si>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</si>
  <si>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</si>
  <si>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</si>
  <si>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</si>
  <si>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</si>
  <si>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</si>
  <si>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</si>
  <si>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</si>
  <si>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</si>
  <si>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</si>
  <si>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</si>
  <si>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</si>
  <si>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</si>
  <si>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</si>
  <si>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</si>
  <si>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</si>
  <si>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</si>
  <si>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</si>
  <si>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</si>
  <si>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</si>
  <si>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</si>
  <si>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</si>
  <si>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</si>
  <si>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</si>
  <si>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</si>
  <si>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</si>
  <si>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</si>
  <si>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</si>
  <si>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</si>
  <si>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</si>
  <si>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</si>
  <si>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</si>
  <si>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</si>
  <si>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</si>
  <si>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</si>
  <si>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</si>
  <si>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</si>
  <si>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</si>
  <si>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</si>
  <si>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</si>
  <si>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</si>
  <si>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</si>
  <si>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</si>
  <si>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</si>
  <si>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</si>
  <si>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</si>
  <si>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</si>
  <si>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</si>
  <si>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</si>
  <si>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</si>
  <si>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</si>
  <si>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</si>
  <si>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</si>
  <si>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</si>
  <si>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</si>
  <si>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</si>
  <si>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</si>
  <si>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</si>
  <si>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</si>
  <si>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</si>
  <si>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</si>
  <si>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</si>
  <si>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</si>
  <si>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</si>
  <si>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</si>
  <si>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</si>
  <si>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</si>
  <si>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</si>
  <si>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</si>
  <si>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</si>
  <si>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</si>
  <si>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</si>
  <si>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</si>
  <si>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</si>
  <si>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</si>
  <si>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</si>
  <si>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</si>
  <si>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</si>
  <si>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</si>
  <si>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</si>
  <si>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</si>
  <si>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</si>
  <si>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</si>
  <si>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</si>
  <si>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</si>
  <si>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</si>
  <si>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</si>
  <si>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</si>
  <si>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</si>
  <si>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</si>
  <si>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</si>
  <si>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</si>
  <si>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</si>
  <si>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</si>
  <si>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</si>
  <si>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</si>
  <si>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</si>
  <si>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</si>
  <si>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</si>
  <si>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</si>
  <si>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</si>
  <si>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</si>
  <si>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</si>
  <si>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</si>
  <si>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</si>
  <si>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</si>
  <si>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</si>
  <si>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</si>
  <si>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</si>
  <si>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</si>
  <si>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</si>
  <si>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</si>
  <si>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</si>
  <si>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</si>
  <si>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</si>
  <si>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</si>
  <si>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</si>
  <si>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</si>
  <si>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</si>
  <si>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</si>
  <si>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</si>
  <si>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</si>
  <si>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</si>
  <si>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</si>
  <si>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</si>
  <si>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</si>
  <si>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</si>
  <si>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</si>
  <si>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</si>
  <si>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</si>
  <si>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</si>
  <si>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</si>
  <si>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</si>
  <si>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</si>
  <si>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</si>
  <si>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</si>
  <si>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</si>
  <si>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</si>
  <si>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</si>
  <si>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</si>
  <si>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</si>
  <si>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</si>
  <si>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</si>
  <si>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</si>
  <si>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</si>
  <si>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</si>
  <si>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</si>
  <si>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</si>
  <si>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</si>
  <si>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</si>
  <si>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</si>
  <si>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</si>
  <si>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</si>
  <si>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</si>
  <si>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</si>
  <si>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</si>
  <si>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</si>
  <si>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</si>
  <si>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</si>
  <si>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</si>
  <si>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</si>
  <si>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</si>
  <si>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</si>
  <si>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</si>
  <si>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</si>
  <si>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</si>
  <si>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</si>
  <si>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</si>
  <si>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</si>
  <si>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</si>
  <si>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</si>
  <si>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</si>
  <si>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</si>
  <si>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</si>
  <si>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</si>
  <si>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</si>
  <si>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</si>
  <si>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</si>
  <si>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</si>
  <si>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</si>
  <si>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</si>
  <si>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</si>
  <si>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</si>
  <si>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</si>
  <si>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</si>
  <si>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</si>
  <si>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</si>
  <si>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</si>
  <si>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</si>
  <si>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</si>
  <si>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</si>
  <si>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</si>
  <si>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</si>
  <si>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</si>
  <si>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</si>
  <si>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</si>
  <si>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</si>
  <si>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</si>
  <si>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</si>
  <si>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</si>
  <si>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</si>
  <si>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</si>
  <si>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</si>
  <si>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</si>
  <si>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</si>
  <si>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</si>
  <si>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</si>
  <si>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</si>
  <si>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</si>
  <si>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</si>
  <si>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</si>
  <si>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</si>
  <si>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</si>
  <si>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</si>
  <si>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</si>
  <si>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</si>
  <si>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</si>
  <si>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</si>
  <si>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</si>
  <si>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</si>
  <si>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</si>
  <si>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</si>
  <si>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</si>
  <si>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</si>
  <si>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</si>
  <si>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</si>
  <si>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</si>
  <si>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</si>
  <si>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</si>
  <si>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</si>
  <si>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</si>
  <si>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</si>
  <si>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</si>
  <si>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</si>
  <si>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</si>
  <si>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</si>
  <si>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</si>
  <si>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</si>
  <si>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</si>
  <si>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</si>
  <si>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</si>
  <si>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</si>
  <si>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</si>
  <si>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</si>
  <si>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</si>
  <si>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</si>
  <si>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</si>
  <si>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</si>
  <si>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</si>
  <si>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</si>
  <si>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</si>
  <si>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</si>
  <si>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</si>
  <si>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</si>
  <si>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</si>
  <si>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</si>
  <si>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</si>
  <si>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</si>
  <si>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</si>
  <si>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</si>
  <si>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</si>
  <si>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</si>
  <si>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</si>
  <si>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</si>
  <si>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</si>
  <si>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</si>
  <si>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</si>
  <si>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</si>
  <si>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</si>
  <si>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</si>
  <si>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</si>
  <si>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</si>
  <si>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</si>
  <si>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</si>
  <si>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</si>
  <si>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</si>
  <si>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</si>
  <si>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</si>
  <si>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</si>
  <si>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</si>
  <si>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</si>
  <si>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</si>
  <si>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</si>
  <si>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</si>
  <si>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</si>
  <si>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</si>
  <si>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</si>
  <si>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</si>
  <si>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</si>
  <si>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</si>
  <si>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</si>
  <si>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</si>
  <si>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</si>
  <si>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</si>
  <si>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</si>
  <si>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</si>
  <si>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</si>
  <si>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</si>
  <si>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</si>
  <si>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</si>
  <si>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</si>
  <si>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</si>
  <si>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</si>
  <si>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</si>
  <si>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</si>
  <si>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</si>
  <si>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</si>
  <si>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</si>
  <si>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</si>
  <si>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</si>
  <si>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</si>
  <si>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</si>
  <si>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</si>
  <si>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</si>
  <si>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</si>
  <si>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</si>
  <si>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</si>
  <si>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</si>
  <si>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</si>
  <si>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</si>
  <si>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</si>
  <si>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</si>
  <si>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</si>
  <si>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</si>
  <si>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</si>
  <si>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</si>
  <si>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</si>
  <si>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</si>
  <si>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</si>
  <si>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</si>
  <si>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</si>
  <si>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</si>
  <si>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</si>
  <si>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</si>
  <si>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</si>
  <si>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</si>
  <si>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</si>
  <si>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</si>
  <si>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</si>
  <si>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</si>
  <si>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</si>
  <si>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</si>
  <si>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</si>
  <si>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</si>
  <si>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</si>
  <si>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</si>
  <si>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</si>
  <si>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</si>
  <si>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</si>
  <si>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</si>
  <si>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</si>
  <si>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</si>
  <si>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</si>
  <si>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</si>
  <si>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</si>
  <si>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</si>
  <si>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</si>
  <si>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</si>
  <si>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</si>
  <si>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</si>
  <si>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</si>
  <si>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</si>
  <si>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</si>
  <si>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</si>
  <si>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</si>
  <si>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</si>
  <si>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</si>
  <si>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</si>
  <si>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</si>
  <si>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</si>
  <si>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</si>
  <si>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</si>
  <si>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</si>
  <si>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</si>
  <si>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</si>
  <si>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</si>
  <si>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</si>
  <si>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</si>
  <si>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</si>
  <si>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</si>
  <si>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</si>
  <si>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</si>
  <si>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</si>
  <si>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</si>
  <si>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</si>
  <si>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</si>
  <si>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</si>
  <si>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</si>
  <si>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</si>
  <si>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</si>
  <si>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</si>
  <si>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</si>
  <si>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</si>
  <si>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</si>
  <si>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</si>
  <si>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</si>
  <si>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</si>
  <si>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</si>
  <si>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</si>
  <si>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</si>
  <si>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</si>
  <si>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</si>
  <si>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</si>
  <si>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</si>
  <si>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</si>
  <si>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</si>
  <si>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</si>
  <si>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</si>
  <si>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</si>
  <si>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</si>
  <si>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</si>
  <si>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</si>
  <si>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</si>
  <si>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</si>
  <si>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</si>
  <si>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</si>
  <si>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</si>
  <si>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</si>
  <si>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</si>
  <si>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</si>
  <si>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</si>
  <si>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</si>
  <si>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</si>
  <si>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</si>
  <si>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</si>
  <si>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</si>
  <si>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</si>
  <si>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</si>
  <si>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</si>
  <si>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</si>
  <si>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</si>
  <si>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</si>
  <si>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</si>
  <si>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</si>
  <si>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</si>
  <si>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</si>
  <si>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</si>
  <si>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</si>
  <si>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</si>
  <si>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</si>
  <si>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</si>
  <si>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</si>
  <si>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</si>
  <si>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</si>
  <si>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</si>
  <si>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</si>
  <si>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</si>
  <si>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</si>
  <si>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</si>
  <si>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</si>
  <si>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</si>
  <si>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</si>
  <si>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</si>
  <si>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</si>
  <si>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</si>
  <si>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</si>
  <si>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</si>
  <si>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</si>
  <si>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</si>
  <si>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</si>
  <si>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</si>
  <si>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</si>
  <si>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</si>
  <si>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</si>
  <si>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</si>
  <si>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</si>
  <si>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</si>
  <si>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</si>
  <si>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</si>
  <si>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</si>
  <si>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</si>
  <si>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</si>
  <si>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</si>
  <si>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</si>
  <si>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</si>
  <si>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</si>
  <si>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</si>
  <si>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</si>
  <si>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</si>
  <si>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</si>
  <si>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</si>
  <si>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</si>
  <si>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</si>
  <si>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</si>
  <si>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</si>
  <si>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</si>
  <si>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</si>
  <si>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</si>
  <si>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</si>
  <si>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</si>
  <si>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</si>
  <si>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</si>
  <si>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</si>
  <si>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</si>
  <si>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</si>
  <si>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</si>
  <si>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</si>
  <si>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</si>
  <si>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</si>
  <si>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</si>
  <si>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</si>
  <si>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</si>
  <si>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</si>
  <si>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</si>
  <si>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</si>
  <si>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</si>
  <si>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</si>
  <si>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</si>
  <si>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</si>
  <si>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</si>
  <si>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</si>
  <si>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</si>
  <si>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</si>
  <si>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</si>
  <si>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</si>
  <si>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</si>
  <si>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</si>
  <si>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</si>
  <si>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</si>
  <si>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</si>
  <si>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</si>
  <si>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</si>
  <si>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</si>
  <si>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</si>
  <si>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</si>
  <si>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</si>
  <si>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</si>
  <si>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</si>
  <si>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</si>
  <si>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</si>
  <si>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</si>
  <si>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</si>
  <si>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</si>
  <si>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</si>
  <si>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</si>
  <si>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</si>
  <si>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</si>
  <si>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</si>
  <si>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</si>
  <si>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</si>
  <si>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</si>
  <si>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</si>
  <si>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</si>
  <si>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</si>
  <si>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</si>
  <si>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</si>
  <si>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</si>
  <si>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</si>
  <si>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</si>
  <si>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</si>
  <si>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</si>
  <si>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</si>
  <si>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</si>
  <si>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</si>
  <si>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</si>
  <si>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</si>
  <si>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</si>
  <si>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</si>
  <si>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</si>
  <si>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</si>
  <si>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</si>
  <si>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</si>
  <si>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</si>
  <si>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</si>
  <si>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</si>
  <si>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</si>
  <si>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</si>
  <si>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</si>
  <si>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</si>
  <si>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</si>
  <si>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</si>
  <si>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</si>
  <si>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</si>
  <si>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</si>
  <si>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</si>
  <si>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</si>
  <si>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</si>
  <si>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</si>
  <si>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</si>
  <si>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</si>
  <si>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</si>
  <si>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</si>
  <si>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</si>
  <si>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</si>
  <si>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</si>
  <si>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</si>
  <si>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</si>
  <si>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</si>
  <si>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</si>
  <si>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</si>
  <si>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</si>
  <si>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</si>
  <si>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</si>
  <si>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</si>
  <si>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</si>
  <si>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</si>
  <si>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</si>
  <si>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</si>
  <si>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</si>
  <si>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</si>
  <si>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</si>
  <si>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</si>
  <si>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</si>
  <si>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</si>
  <si>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</si>
  <si>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</si>
  <si>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</si>
  <si>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</si>
  <si>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</si>
  <si>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</si>
  <si>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</si>
  <si>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</si>
  <si>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</si>
  <si>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</si>
  <si>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</si>
  <si>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</si>
  <si>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</si>
  <si>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</si>
  <si>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</si>
  <si>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</si>
  <si>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</si>
  <si>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</si>
  <si>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</si>
  <si>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</si>
  <si>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</si>
  <si>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</si>
  <si>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</si>
  <si>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</si>
  <si>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</si>
  <si>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</si>
  <si>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</si>
  <si>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</si>
  <si>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</si>
  <si>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</si>
  <si>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</si>
  <si>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</si>
  <si>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</si>
  <si>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</si>
  <si>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</si>
  <si>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</si>
  <si>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</si>
  <si>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</si>
  <si>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</si>
  <si>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</si>
  <si>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</si>
  <si>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</si>
  <si>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</si>
  <si>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</si>
  <si>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</si>
  <si>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</si>
  <si>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</si>
  <si>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</si>
  <si>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</si>
  <si>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</si>
  <si>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</si>
  <si>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</si>
  <si>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</si>
  <si>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</si>
  <si>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</si>
  <si>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</si>
  <si>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</si>
  <si>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</si>
  <si>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</si>
  <si>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</si>
  <si>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</si>
  <si>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</si>
  <si>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</si>
  <si>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</si>
  <si>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</si>
  <si>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</si>
  <si>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</si>
  <si>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</si>
  <si>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</si>
  <si>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</si>
  <si>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</si>
  <si>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</si>
  <si>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</si>
  <si>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</si>
  <si>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</si>
  <si>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</si>
  <si>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</si>
  <si>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</si>
  <si>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</si>
  <si>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</si>
  <si>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</si>
  <si>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</si>
  <si>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</si>
  <si>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</si>
  <si>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</si>
  <si>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</si>
  <si>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</si>
  <si>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</si>
  <si>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</si>
  <si>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</si>
  <si>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</si>
  <si>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</si>
  <si>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</si>
  <si>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</si>
  <si>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</si>
  <si>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</si>
  <si>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</si>
  <si>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</si>
  <si>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</si>
  <si>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</si>
  <si>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</si>
  <si>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</si>
  <si>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</si>
  <si>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</si>
  <si>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</si>
  <si>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</si>
  <si>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</si>
  <si>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</si>
  <si>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</si>
  <si>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</si>
  <si>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</si>
  <si>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</si>
  <si>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</si>
  <si>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</si>
  <si>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</si>
  <si>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</si>
  <si>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</si>
  <si>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</si>
  <si>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</si>
  <si>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</si>
  <si>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</si>
  <si>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</si>
  <si>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</si>
  <si>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</si>
  <si>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</si>
  <si>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</si>
  <si>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</si>
  <si>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</si>
  <si>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</si>
  <si>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</si>
  <si>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</si>
  <si>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</si>
  <si>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</si>
  <si>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</si>
  <si>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</si>
  <si>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</si>
  <si>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</si>
  <si>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</si>
  <si>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</si>
  <si>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</si>
  <si>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</si>
  <si>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</si>
  <si>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</si>
  <si>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</si>
  <si>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</si>
  <si>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</si>
  <si>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</si>
  <si>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</si>
  <si>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</si>
  <si>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</si>
  <si>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</si>
  <si>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</si>
  <si>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</si>
  <si>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</si>
  <si>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</si>
  <si>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</si>
  <si>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</si>
  <si>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</si>
  <si>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</si>
  <si>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</si>
  <si>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</si>
  <si>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</si>
  <si>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</si>
  <si>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</si>
  <si>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</si>
  <si>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</si>
  <si>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</si>
  <si>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</si>
  <si>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</si>
  <si>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</si>
  <si>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</si>
  <si>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</si>
  <si>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</si>
  <si>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</si>
  <si>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</si>
  <si>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</si>
  <si>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</si>
  <si>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</si>
  <si>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</si>
  <si>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</si>
  <si>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</si>
  <si>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</si>
  <si>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</si>
  <si>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</si>
  <si>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</si>
  <si>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</si>
  <si>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</si>
  <si>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</si>
  <si>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</si>
  <si>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</si>
  <si>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</si>
  <si>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</si>
  <si>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</si>
  <si>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</si>
  <si>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</si>
  <si>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</si>
  <si>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</si>
  <si>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</si>
  <si>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</si>
  <si>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</si>
  <si>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</si>
  <si>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</si>
  <si>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</si>
  <si>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</si>
  <si>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</si>
  <si>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</si>
  <si>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</si>
  <si>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</si>
  <si>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</si>
  <si>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</si>
  <si>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</si>
  <si>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</si>
  <si>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</si>
  <si>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</si>
  <si>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</si>
  <si>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</si>
  <si>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</si>
  <si>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</si>
  <si>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</si>
  <si>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</si>
  <si>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</si>
  <si>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</si>
  <si>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</si>
  <si>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</si>
  <si>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</si>
  <si>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</si>
  <si>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</si>
  <si>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</si>
  <si>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</si>
  <si>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</si>
  <si>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</si>
  <si>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</si>
  <si>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</si>
  <si>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</si>
  <si>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</si>
  <si>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</si>
  <si>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</si>
  <si>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</si>
  <si>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</si>
  <si>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</si>
  <si>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</si>
  <si>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</si>
  <si>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</si>
  <si>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</si>
  <si>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</si>
  <si>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</si>
  <si>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</si>
  <si>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</si>
  <si>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</si>
  <si>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</si>
  <si>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</si>
  <si>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</si>
  <si>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</si>
  <si>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</si>
  <si>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</si>
  <si>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</si>
  <si>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</si>
  <si>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</si>
  <si>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</si>
  <si>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</si>
  <si>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</si>
  <si>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</si>
  <si>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</si>
  <si>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</si>
  <si>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</si>
  <si>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</si>
  <si>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</si>
  <si>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</si>
  <si>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</si>
  <si>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</si>
  <si>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</si>
  <si>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</si>
  <si>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</si>
  <si>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</si>
  <si>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</si>
  <si>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</si>
  <si>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</si>
  <si>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</si>
  <si>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</si>
  <si>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</si>
  <si>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</si>
  <si>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</si>
  <si>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</si>
  <si>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</si>
  <si>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</si>
  <si>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</si>
  <si>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</si>
  <si>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</si>
  <si>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</si>
  <si>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</si>
  <si>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</si>
  <si>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</si>
  <si>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</si>
  <si>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</si>
  <si>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</si>
  <si>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</si>
  <si>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</si>
  <si>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</si>
  <si>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</si>
  <si>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</si>
  <si>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</si>
  <si>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</si>
  <si>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</si>
  <si>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</si>
  <si>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</si>
  <si>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</si>
  <si>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</si>
  <si>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</si>
  <si>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</si>
  <si>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</si>
  <si>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</si>
  <si>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</si>
  <si>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</si>
  <si>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</si>
  <si>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</si>
  <si>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</si>
  <si>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</si>
  <si>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</si>
  <si>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</si>
  <si>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</si>
  <si>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</si>
  <si>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</si>
  <si>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</si>
  <si>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</si>
  <si>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</si>
  <si>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</si>
  <si>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</si>
  <si>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</si>
  <si>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</si>
  <si>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</si>
  <si>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</si>
  <si>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</si>
  <si>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</si>
  <si>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</si>
  <si>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</si>
  <si>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</si>
  <si>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</si>
  <si>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</si>
  <si>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</si>
  <si>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</si>
  <si>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</si>
  <si>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</si>
  <si>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</si>
  <si>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</si>
  <si>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</si>
  <si>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</si>
  <si>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</si>
  <si>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</si>
  <si>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</si>
  <si>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</si>
  <si>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</si>
  <si>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</si>
  <si>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</si>
  <si>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</si>
  <si>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</si>
  <si>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</si>
  <si>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</si>
  <si>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</si>
  <si>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</si>
  <si>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</si>
  <si>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</si>
  <si>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</si>
  <si>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</si>
  <si>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</si>
  <si>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</si>
  <si>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</si>
  <si>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</si>
  <si>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</si>
  <si>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</si>
  <si>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</si>
  <si>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</si>
  <si>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</si>
  <si>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</si>
  <si>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</si>
  <si>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</si>
  <si>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</si>
  <si>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</si>
  <si>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</si>
  <si>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</si>
  <si>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</si>
  <si>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</si>
  <si>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</si>
  <si>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</si>
  <si>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</si>
  <si>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</si>
  <si>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</si>
  <si>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</si>
  <si>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</si>
  <si>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</si>
  <si>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</si>
  <si>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</si>
  <si>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</si>
  <si>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</si>
  <si>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</si>
  <si>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</si>
  <si>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</si>
  <si>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</si>
  <si>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</si>
  <si>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</si>
  <si>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</si>
  <si>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</si>
  <si>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</si>
  <si>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</si>
  <si>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</si>
  <si>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</si>
  <si>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</si>
  <si>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</si>
  <si>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</si>
  <si>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</si>
  <si>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</si>
  <si>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</si>
  <si>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</si>
  <si>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</si>
  <si>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</si>
  <si>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</si>
  <si>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</si>
  <si>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</si>
  <si>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</si>
  <si>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</si>
  <si>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</si>
  <si>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</si>
  <si>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</si>
  <si>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</si>
  <si>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</si>
  <si>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</si>
  <si>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</si>
  <si>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</si>
  <si>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</si>
  <si>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</si>
  <si>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</si>
  <si>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</si>
  <si>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</si>
  <si>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</si>
  <si>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</si>
  <si>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</si>
  <si>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</si>
  <si>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</si>
  <si>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</si>
  <si>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</si>
  <si>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</si>
  <si>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</si>
  <si>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</si>
  <si>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</si>
  <si>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</si>
  <si>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</si>
  <si>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</si>
  <si>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</si>
  <si>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</si>
  <si>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</si>
  <si>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</si>
  <si>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</si>
  <si>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</si>
  <si>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</si>
  <si>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</si>
  <si>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</si>
  <si>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</si>
  <si>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</si>
  <si>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</si>
  <si>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</si>
  <si>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</si>
  <si>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</si>
  <si>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</si>
  <si>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</si>
  <si>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</si>
  <si>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</si>
  <si>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</si>
  <si>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</si>
  <si>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</si>
  <si>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</si>
  <si>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</si>
  <si>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</si>
  <si>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</si>
  <si>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</si>
  <si>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</si>
  <si>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</si>
  <si>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</si>
  <si>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</si>
  <si>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</si>
  <si>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</si>
  <si>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</si>
  <si>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</si>
  <si>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</si>
  <si>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</si>
  <si>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</si>
  <si>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</si>
  <si>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</si>
  <si>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</si>
  <si>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</si>
  <si>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</si>
  <si>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</si>
  <si>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</si>
  <si>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</si>
  <si>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</si>
  <si>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</si>
  <si>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</si>
  <si>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</si>
  <si>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</si>
  <si>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</si>
  <si>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</si>
  <si>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</si>
  <si>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</si>
  <si>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</si>
  <si>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</si>
  <si>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</si>
  <si>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</si>
  <si>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</si>
  <si>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</si>
  <si>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</si>
  <si>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</si>
  <si>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</si>
  <si>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</si>
  <si>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</si>
  <si>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</si>
  <si>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</si>
  <si>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</si>
  <si>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</si>
  <si>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</si>
  <si>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</si>
  <si>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</si>
  <si>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</si>
  <si>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</si>
  <si>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</si>
  <si>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</si>
  <si>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</si>
  <si>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</si>
  <si>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</si>
  <si>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</si>
  <si>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</si>
  <si>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</si>
  <si>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</si>
  <si>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</si>
  <si>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</si>
  <si>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</si>
  <si>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</si>
  <si>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</si>
  <si>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</si>
  <si>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</si>
  <si>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</si>
  <si>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</si>
  <si>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</si>
  <si>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</si>
  <si>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</si>
  <si>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</si>
  <si>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</si>
  <si>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</si>
  <si>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</si>
  <si>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</si>
  <si>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</si>
  <si>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</si>
  <si>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</si>
  <si>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</si>
  <si>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</si>
  <si>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</si>
  <si>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</si>
  <si>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</si>
  <si>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</si>
  <si>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</si>
  <si>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</si>
  <si>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</si>
  <si>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</si>
  <si>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</si>
  <si>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</si>
  <si>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</si>
  <si>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</si>
  <si>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</si>
  <si>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</si>
  <si>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</si>
  <si>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</si>
  <si>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</si>
  <si>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</si>
  <si>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</si>
  <si>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</si>
  <si>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</si>
  <si>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</si>
  <si>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</si>
  <si>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</si>
  <si>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</si>
  <si>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</si>
  <si>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</si>
  <si>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</si>
  <si>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</si>
  <si>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</si>
  <si>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</si>
  <si>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</si>
  <si>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</si>
  <si>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</si>
  <si>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</si>
  <si>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</si>
  <si>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</si>
  <si>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</si>
  <si>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</si>
  <si>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</si>
  <si>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</si>
  <si>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</si>
  <si>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</si>
  <si>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</si>
  <si>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</si>
  <si>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</si>
  <si>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</si>
  <si>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</si>
  <si>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</si>
  <si>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</si>
  <si>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</si>
  <si>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</si>
  <si>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</si>
  <si>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</si>
  <si>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</si>
  <si>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</si>
  <si>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</si>
  <si>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</si>
  <si>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</si>
  <si>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</si>
  <si>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</si>
  <si>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</si>
  <si>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</si>
  <si>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</si>
  <si>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</si>
  <si>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</si>
  <si>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</si>
  <si>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</si>
  <si>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</si>
  <si>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</si>
  <si>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</si>
  <si>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</si>
  <si>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</si>
  <si>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</si>
  <si>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</si>
  <si>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</si>
  <si>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</si>
  <si>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</si>
  <si>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</si>
  <si>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</si>
  <si>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</si>
  <si>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</si>
  <si>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</si>
  <si>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</si>
  <si>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</si>
  <si>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</si>
  <si>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</si>
  <si>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</si>
  <si>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</si>
  <si>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</si>
  <si>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</si>
  <si>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</si>
  <si>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</si>
  <si>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</si>
  <si>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</si>
  <si>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</si>
  <si>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</si>
  <si>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</si>
  <si>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</si>
  <si>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</si>
  <si>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</si>
  <si>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</si>
  <si>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</si>
  <si>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</si>
  <si>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</si>
  <si>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</si>
  <si>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</si>
  <si>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</si>
  <si>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</si>
  <si>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</si>
  <si>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</si>
  <si>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</si>
  <si>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</si>
  <si>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</si>
  <si>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</si>
  <si>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</si>
  <si>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</si>
  <si>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</si>
  <si>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</si>
  <si>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</si>
  <si>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</si>
  <si>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</si>
  <si>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</si>
  <si>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</si>
  <si>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</si>
  <si>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</si>
  <si>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</si>
  <si>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</si>
  <si>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</si>
  <si>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</si>
  <si>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</si>
  <si>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</si>
  <si>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</si>
  <si>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</si>
  <si>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</si>
  <si>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</si>
  <si>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</si>
  <si>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</si>
  <si>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</si>
  <si>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</si>
  <si>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</si>
  <si>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</si>
  <si>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</si>
  <si>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</si>
  <si>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</si>
  <si>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</si>
  <si>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</si>
  <si>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</si>
  <si>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</si>
  <si>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</si>
  <si>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</si>
  <si>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</si>
  <si>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</si>
  <si>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</si>
  <si>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</si>
  <si>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</si>
  <si>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</si>
  <si>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</si>
  <si>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</si>
  <si>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</si>
  <si>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</si>
  <si>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</si>
  <si>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</si>
  <si>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</si>
  <si>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</si>
  <si>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</si>
  <si>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</si>
  <si>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</si>
  <si>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</si>
  <si>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</si>
  <si>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</si>
  <si>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</si>
  <si>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</si>
  <si>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</si>
  <si>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</si>
  <si>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</si>
  <si>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</si>
  <si>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</si>
  <si>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</si>
  <si>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</si>
  <si>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</si>
  <si>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</si>
  <si>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</si>
  <si>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</si>
  <si>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</si>
  <si>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</si>
  <si>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</si>
  <si>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</si>
  <si>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</si>
  <si>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</si>
  <si>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</si>
  <si>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</si>
  <si>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</si>
  <si>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</si>
  <si>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</si>
  <si>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</si>
  <si>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</si>
  <si>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</si>
  <si>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</si>
  <si>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</si>
  <si>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</si>
  <si>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</si>
  <si>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</si>
  <si>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</si>
  <si>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</si>
  <si>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</si>
  <si>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</si>
  <si>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</si>
  <si>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</si>
  <si>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</si>
  <si>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</si>
  <si>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</si>
  <si>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</si>
  <si>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</si>
  <si>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</si>
  <si>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</si>
  <si>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</si>
  <si>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</si>
  <si>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</si>
  <si>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</si>
  <si>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</si>
  <si>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</si>
  <si>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</si>
  <si>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</si>
  <si>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</si>
  <si>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</si>
  <si>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</si>
  <si>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</si>
  <si>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</si>
  <si>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</si>
  <si>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</si>
  <si>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</si>
  <si>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</si>
  <si>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</si>
  <si>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</si>
  <si>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</si>
  <si>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</si>
  <si>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</si>
  <si>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</si>
  <si>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</si>
  <si>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</si>
  <si>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</si>
  <si>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</si>
  <si>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</si>
  <si>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</si>
  <si>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</si>
  <si>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</si>
  <si>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</si>
  <si>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</si>
  <si>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</si>
  <si>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</si>
  <si>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</si>
  <si>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</si>
  <si>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</si>
  <si>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</si>
  <si>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</si>
  <si>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</si>
  <si>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</si>
  <si>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</si>
  <si>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</si>
  <si>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</si>
  <si>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</si>
  <si>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</si>
  <si>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</si>
  <si>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</si>
  <si>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</si>
  <si>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</si>
  <si>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</si>
  <si>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</si>
  <si>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</si>
  <si>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</si>
  <si>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</si>
  <si>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</si>
  <si>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</si>
  <si>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</si>
  <si>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</si>
  <si>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</si>
  <si>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</si>
  <si>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</si>
  <si>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</si>
  <si>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</si>
  <si>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</si>
  <si>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</si>
  <si>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</si>
  <si>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</si>
  <si>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</si>
  <si>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</si>
  <si>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</si>
  <si>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</si>
  <si>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</si>
  <si>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</si>
  <si>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</si>
  <si>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</si>
  <si>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</si>
  <si>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</si>
  <si>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</si>
  <si>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</si>
  <si>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</si>
  <si>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</si>
  <si>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</si>
  <si>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</si>
  <si>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</si>
  <si>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</si>
  <si>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</si>
  <si>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</si>
  <si>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</si>
  <si>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</si>
  <si>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</si>
  <si>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</si>
  <si>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</si>
  <si>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</si>
  <si>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</si>
  <si>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</si>
  <si>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</si>
  <si>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</si>
  <si>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</si>
  <si>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</si>
  <si>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</si>
  <si>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</si>
  <si>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</si>
  <si>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</si>
  <si>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</si>
  <si>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</si>
  <si>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</si>
  <si>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</si>
  <si>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</si>
  <si>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</si>
  <si>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</si>
  <si>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</si>
  <si>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</si>
  <si>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</si>
  <si>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</si>
  <si>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</si>
  <si>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</si>
  <si>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</si>
  <si>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</si>
  <si>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</si>
  <si>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</si>
  <si>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</si>
  <si>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</si>
  <si>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</si>
  <si>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</si>
  <si>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</si>
  <si>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</si>
  <si>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</si>
  <si>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</si>
  <si>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</si>
  <si>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</si>
  <si>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</si>
  <si>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</si>
  <si>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</si>
  <si>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</si>
  <si>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</si>
  <si>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</si>
  <si>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</si>
  <si>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</si>
  <si>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</si>
  <si>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</si>
  <si>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</si>
  <si>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</si>
  <si>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</si>
  <si>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</si>
  <si>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</si>
  <si>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</si>
  <si>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</si>
  <si>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</si>
  <si>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</si>
  <si>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</si>
  <si>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</si>
  <si>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</si>
  <si>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</si>
  <si>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</si>
  <si>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</si>
  <si>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</si>
  <si>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</si>
  <si>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</si>
  <si>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</si>
  <si>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</si>
  <si>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</si>
  <si>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</si>
  <si>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</si>
  <si>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</si>
  <si>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</si>
  <si>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</si>
  <si>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</si>
  <si>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</si>
  <si>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</si>
  <si>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</si>
  <si>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</si>
  <si>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</si>
  <si>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</si>
  <si>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</si>
  <si>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</si>
  <si>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</si>
  <si>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</si>
  <si>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</si>
  <si>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</si>
  <si>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</si>
  <si>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</si>
  <si>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</si>
  <si>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</si>
  <si>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</si>
  <si>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</si>
  <si>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</si>
  <si>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</si>
  <si>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</si>
  <si>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</si>
  <si>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</si>
  <si>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</si>
  <si>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</si>
  <si>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</si>
  <si>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</si>
  <si>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</si>
  <si>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</si>
  <si>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</si>
  <si>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</si>
  <si>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</si>
  <si>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</si>
  <si>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</si>
  <si>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</si>
  <si>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</si>
  <si>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</si>
  <si>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</si>
  <si>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</si>
  <si>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</si>
  <si>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</si>
  <si>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</si>
  <si>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</si>
  <si>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</si>
  <si>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</si>
  <si>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</si>
  <si>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</si>
  <si>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</si>
  <si>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</si>
  <si>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</si>
  <si>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</si>
  <si>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</si>
  <si>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</si>
  <si>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</si>
  <si>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</si>
  <si>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</si>
  <si>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</si>
  <si>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</si>
  <si>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</si>
  <si>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</si>
  <si>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</si>
  <si>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</si>
  <si>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</si>
  <si>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</si>
  <si>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</si>
  <si>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</si>
  <si>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</si>
  <si>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</si>
  <si>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</si>
  <si>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</si>
  <si>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</si>
  <si>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</si>
  <si>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</si>
  <si>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</si>
  <si>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</si>
  <si>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</si>
  <si>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</si>
  <si>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</si>
  <si>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</si>
  <si>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</si>
  <si>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</si>
  <si>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</si>
  <si>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</si>
  <si>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</si>
  <si>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</si>
  <si>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</si>
  <si>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</si>
  <si>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</si>
  <si>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</si>
  <si>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</si>
  <si>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</si>
  <si>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</si>
  <si>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</si>
  <si>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</si>
  <si>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</si>
  <si>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</si>
  <si>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</si>
  <si>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</si>
  <si>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</si>
  <si>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</si>
  <si>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</si>
  <si>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</si>
  <si>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</si>
  <si>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</si>
  <si>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</si>
  <si>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</si>
  <si>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</si>
  <si>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</si>
  <si>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</si>
  <si>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</si>
  <si>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</si>
  <si>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</si>
  <si>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</si>
  <si>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</si>
  <si>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</si>
  <si>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</si>
  <si>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</si>
  <si>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</si>
  <si>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</si>
  <si>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</si>
  <si>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</si>
  <si>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</si>
  <si>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</si>
  <si>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</si>
  <si>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</si>
  <si>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</si>
  <si>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</si>
  <si>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</si>
  <si>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</si>
  <si>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</si>
  <si>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</si>
  <si>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</si>
  <si>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</si>
  <si>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</si>
  <si>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</si>
  <si>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</si>
  <si>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</si>
  <si>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</si>
  <si>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</si>
  <si>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</si>
  <si>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</si>
  <si>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</si>
  <si>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</si>
  <si>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</si>
  <si>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</si>
  <si>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</si>
  <si>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</si>
  <si>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</si>
  <si>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</si>
  <si>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</si>
  <si>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</si>
  <si>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</si>
  <si>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</si>
  <si>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</si>
  <si>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</si>
  <si>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</si>
  <si>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</si>
  <si>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</si>
  <si>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</si>
  <si>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</si>
  <si>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</si>
  <si>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</si>
  <si>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</si>
  <si>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</si>
  <si>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</si>
  <si>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</si>
  <si>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</si>
  <si>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</si>
  <si>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</si>
  <si>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</si>
  <si>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</si>
  <si>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</si>
  <si>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</si>
  <si>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</si>
  <si>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</si>
  <si>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</si>
  <si>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</si>
  <si>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</si>
  <si>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</si>
  <si>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</si>
  <si>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</si>
  <si>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</si>
  <si>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</si>
  <si>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</si>
  <si>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</si>
  <si>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</si>
  <si>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</si>
  <si>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</si>
  <si>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</si>
  <si>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</si>
  <si>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</si>
  <si>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</si>
  <si>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</si>
  <si>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</si>
  <si>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</si>
  <si>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</si>
  <si>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</si>
  <si>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</si>
  <si>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</si>
  <si>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</si>
  <si>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</si>
  <si>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</si>
  <si>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</si>
  <si>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</si>
  <si>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</si>
  <si>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</si>
  <si>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</si>
  <si>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</si>
  <si>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</si>
  <si>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</si>
  <si>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</si>
  <si>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</si>
  <si>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</si>
  <si>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</si>
  <si>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</si>
  <si>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</si>
  <si>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</si>
  <si>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</si>
  <si>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</si>
  <si>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</si>
  <si>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</si>
  <si>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</si>
  <si>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</si>
  <si>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</si>
  <si>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</si>
  <si>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</si>
  <si>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</si>
  <si>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</si>
  <si>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</si>
  <si>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</si>
  <si>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</si>
  <si>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</si>
  <si>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</si>
  <si>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</si>
  <si>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</si>
  <si>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</si>
  <si>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</si>
  <si>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</si>
  <si>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</si>
  <si>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</si>
  <si>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</si>
  <si>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</si>
  <si>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</si>
  <si>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</si>
  <si>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</si>
  <si>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</si>
  <si>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</si>
  <si>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</si>
  <si>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</si>
  <si>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</si>
  <si>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</si>
  <si>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</si>
  <si>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</si>
  <si>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</si>
  <si>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</si>
  <si>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</si>
  <si>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</si>
  <si>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</si>
  <si>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</si>
  <si>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</si>
  <si>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</si>
  <si>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</si>
  <si>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</si>
  <si>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</si>
  <si>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</si>
  <si>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</si>
  <si>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</si>
  <si>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</si>
  <si>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</si>
  <si>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</si>
  <si>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</si>
  <si>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</si>
  <si>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</si>
  <si>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</si>
  <si>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</si>
  <si>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</si>
  <si>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</si>
  <si>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</si>
  <si>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</si>
  <si>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</si>
  <si>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</si>
  <si>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</si>
  <si>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</si>
  <si>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</si>
  <si>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</si>
  <si>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</si>
  <si>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</si>
  <si>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</si>
  <si>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</si>
  <si>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</si>
  <si>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</si>
  <si>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</si>
  <si>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</si>
  <si>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</si>
  <si>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</si>
  <si>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</si>
  <si>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</si>
  <si>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</si>
  <si>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</si>
  <si>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</si>
  <si>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</si>
  <si>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</si>
  <si>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</si>
  <si>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</si>
  <si>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</si>
  <si>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</si>
  <si>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</si>
  <si>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</si>
  <si>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</si>
  <si>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</si>
  <si>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</si>
  <si>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</si>
  <si>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</si>
  <si>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</si>
  <si>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</si>
  <si>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</si>
  <si>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</si>
  <si>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</si>
  <si>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</si>
  <si>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</si>
  <si>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</si>
  <si>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</si>
  <si>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</si>
  <si>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</si>
  <si>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</si>
  <si>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</si>
  <si>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</si>
  <si>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</si>
  <si>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</si>
  <si>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</si>
  <si>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</si>
  <si>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</si>
  <si>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</si>
  <si>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</si>
  <si>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</si>
  <si>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</si>
  <si>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</si>
  <si>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</si>
  <si>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</si>
  <si>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</si>
  <si>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</si>
  <si>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</si>
  <si>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</si>
  <si>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</si>
  <si>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</si>
  <si>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</si>
  <si>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</si>
  <si>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</si>
  <si>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</si>
  <si>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</si>
  <si>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</si>
  <si>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</si>
  <si>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</si>
  <si>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</si>
  <si>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</si>
  <si>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</si>
  <si>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</si>
  <si>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</si>
  <si>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</si>
  <si>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</si>
  <si>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</si>
  <si>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</si>
  <si>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</si>
  <si>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</si>
  <si>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</si>
  <si>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</si>
  <si>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</si>
  <si>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</si>
  <si>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</si>
  <si>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</si>
  <si>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</si>
  <si>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</si>
  <si>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</si>
  <si>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</si>
  <si>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</si>
  <si>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</si>
  <si>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</si>
  <si>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</si>
  <si>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</si>
  <si>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</si>
  <si>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</si>
  <si>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</si>
  <si>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</si>
  <si>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</si>
  <si>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</si>
  <si>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</si>
  <si>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</si>
  <si>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</si>
  <si>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</si>
  <si>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</si>
  <si>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</si>
  <si>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</si>
  <si>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</si>
  <si>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</si>
  <si>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</si>
  <si>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</si>
  <si>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</si>
  <si>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</si>
  <si>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</si>
  <si>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</si>
  <si>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</si>
  <si>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</si>
  <si>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</si>
  <si>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</si>
  <si>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</si>
  <si>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</si>
  <si>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</si>
  <si>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</si>
  <si>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</si>
  <si>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</si>
  <si>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</si>
  <si>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</si>
  <si>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</si>
  <si>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</si>
  <si>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</si>
  <si>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</si>
  <si>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</si>
  <si>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</si>
  <si>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</si>
  <si>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</si>
  <si>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</si>
  <si>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</si>
  <si>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</si>
  <si>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</si>
  <si>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</si>
  <si>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</si>
  <si>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</si>
  <si>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</si>
  <si>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</si>
  <si>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</si>
  <si>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</si>
  <si>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</si>
  <si>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</si>
  <si>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</si>
  <si>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</si>
  <si>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</si>
  <si>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</si>
  <si>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</si>
  <si>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</si>
  <si>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</si>
  <si>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</si>
  <si>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</si>
  <si>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</si>
  <si>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</si>
  <si>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</si>
  <si>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</si>
  <si>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</si>
  <si>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</si>
  <si>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</si>
  <si>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</si>
  <si>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</si>
  <si>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</si>
  <si>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</si>
  <si>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</si>
  <si>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</si>
  <si>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</si>
  <si>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</si>
  <si>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</si>
  <si>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</si>
  <si>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</si>
  <si>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</si>
  <si>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</si>
  <si>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</si>
  <si>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</si>
  <si>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</si>
  <si>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</si>
  <si>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</si>
  <si>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</si>
  <si>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</si>
  <si>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</si>
  <si>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</si>
  <si>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</si>
  <si>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</si>
  <si>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</si>
  <si>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</si>
  <si>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</si>
  <si>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</si>
  <si>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</si>
  <si>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</si>
  <si>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</si>
  <si>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</si>
  <si>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</si>
  <si>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</si>
  <si>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</si>
  <si>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</si>
  <si>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</si>
  <si>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</si>
  <si>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</si>
  <si>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</si>
  <si>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</si>
  <si>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</si>
  <si>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</si>
  <si>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</si>
  <si>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</si>
  <si>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</si>
  <si>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</si>
  <si>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</si>
  <si>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</si>
  <si>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</si>
  <si>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</si>
  <si>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</si>
  <si>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</si>
  <si>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</si>
  <si>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</si>
  <si>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</si>
  <si>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</si>
  <si>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</si>
  <si>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</si>
  <si>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</si>
  <si>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</si>
  <si>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</si>
  <si>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</si>
  <si>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</si>
  <si>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</si>
  <si>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</si>
  <si>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</si>
  <si>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</si>
  <si>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</si>
  <si>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</si>
  <si>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</si>
  <si>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</si>
  <si>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</si>
  <si>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</si>
  <si>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</si>
  <si>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</si>
  <si>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</si>
  <si>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</si>
  <si>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</si>
  <si>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</si>
  <si>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</si>
  <si>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</si>
  <si>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</si>
  <si>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</si>
  <si>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</si>
  <si>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</si>
  <si>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</si>
  <si>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</si>
  <si>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</si>
  <si>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</si>
  <si>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</si>
  <si>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</si>
  <si>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</si>
  <si>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</si>
  <si>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</si>
  <si>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</si>
  <si>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</si>
  <si>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</si>
  <si>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</si>
  <si>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</si>
  <si>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</si>
  <si>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</si>
  <si>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</si>
  <si>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</si>
  <si>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</si>
  <si>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</si>
  <si>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</si>
  <si>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</si>
  <si>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</si>
  <si>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</si>
  <si>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</si>
  <si>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</si>
  <si>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</si>
  <si>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</si>
  <si>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</si>
  <si>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</si>
  <si>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</si>
  <si>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</si>
  <si>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</si>
  <si>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</si>
  <si>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</si>
  <si>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</si>
  <si>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</si>
  <si>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</si>
  <si>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</si>
  <si>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</si>
  <si>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</si>
  <si>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</si>
  <si>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</si>
  <si>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</si>
  <si>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</si>
  <si>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</si>
  <si>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</si>
  <si>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</si>
  <si>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</si>
  <si>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</si>
  <si>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</si>
  <si>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</si>
  <si>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</si>
  <si>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</si>
  <si>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</si>
  <si>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</si>
  <si>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</si>
  <si>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</si>
  <si>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</si>
  <si>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</si>
  <si>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</si>
  <si>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</si>
  <si>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</si>
  <si>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</si>
  <si>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</si>
  <si>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</si>
  <si>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</si>
  <si>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</si>
  <si>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</si>
  <si>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</si>
  <si>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</si>
  <si>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</si>
  <si>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</si>
  <si>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</si>
  <si>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</si>
  <si>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</si>
  <si>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</si>
  <si>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</si>
  <si>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</si>
  <si>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</si>
  <si>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</si>
  <si>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</si>
  <si>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</si>
  <si>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</si>
  <si>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</si>
  <si>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</si>
  <si>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</si>
  <si>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</si>
  <si>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</si>
  <si>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</si>
  <si>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</si>
  <si>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</si>
  <si>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</si>
  <si>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</si>
  <si>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</si>
  <si>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</si>
  <si>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</si>
  <si>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</si>
  <si>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</si>
  <si>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</si>
  <si>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</si>
  <si>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</si>
  <si>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</si>
  <si>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</si>
  <si>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</si>
  <si>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</si>
  <si>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</si>
  <si>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</si>
  <si>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</si>
  <si>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</si>
  <si>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</si>
  <si>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</si>
  <si>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</si>
  <si>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</si>
  <si>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</si>
  <si>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</si>
  <si>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</si>
  <si>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</si>
  <si>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</si>
  <si>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</si>
  <si>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</si>
  <si>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</si>
  <si>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</si>
  <si>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</si>
  <si>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</si>
  <si>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</si>
  <si>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</si>
  <si>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</si>
  <si>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</si>
  <si>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</si>
  <si>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</si>
  <si>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</si>
  <si>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</si>
  <si>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</si>
  <si>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</si>
  <si>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</si>
  <si>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</si>
  <si>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</si>
  <si>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</si>
  <si>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</si>
  <si>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</si>
  <si>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</si>
  <si>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</si>
  <si>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</si>
  <si>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</si>
  <si>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</si>
  <si>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</si>
  <si>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</si>
  <si>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</si>
  <si>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</si>
  <si>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</si>
  <si>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</si>
  <si>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</si>
  <si>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</si>
  <si>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</si>
  <si>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</si>
  <si>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</si>
  <si>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</si>
  <si>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</si>
  <si>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</si>
  <si>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</si>
  <si>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</si>
  <si>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</si>
  <si>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</si>
  <si>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</si>
  <si>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</si>
  <si>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</si>
  <si>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</si>
  <si>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</si>
  <si>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</si>
  <si>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</si>
  <si>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</si>
  <si>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</si>
  <si>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</si>
  <si>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</si>
  <si>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</si>
  <si>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</si>
  <si>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</si>
  <si>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</si>
  <si>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</si>
  <si>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</si>
  <si>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</si>
  <si>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</si>
  <si>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</si>
  <si>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</si>
  <si>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</si>
  <si>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</si>
  <si>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</si>
  <si>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</si>
  <si>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</si>
  <si>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</si>
  <si>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</si>
  <si>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</si>
  <si>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</si>
  <si>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</si>
  <si>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</si>
  <si>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</si>
  <si>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</si>
  <si>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</si>
  <si>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</si>
  <si>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</si>
  <si>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</si>
  <si>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</si>
  <si>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</si>
  <si>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</si>
  <si>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</si>
  <si>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</si>
  <si>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</si>
  <si>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</si>
  <si>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</si>
  <si>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</si>
  <si>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</si>
  <si>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</si>
  <si>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</si>
  <si>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</si>
  <si>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</si>
  <si>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</si>
  <si>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</si>
  <si>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</si>
  <si>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</si>
  <si>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</si>
  <si>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</si>
  <si>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</si>
  <si>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</si>
  <si>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</si>
  <si>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</si>
  <si>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</si>
  <si>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</si>
  <si>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</si>
  <si>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</si>
  <si>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</si>
  <si>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</si>
  <si>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</si>
  <si>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</si>
  <si>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</si>
  <si>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</si>
  <si>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</si>
  <si>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</si>
  <si>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</si>
  <si>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</si>
  <si>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</si>
  <si>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</si>
  <si>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</si>
  <si>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</si>
  <si>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</si>
  <si>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</si>
  <si>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</si>
  <si>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</si>
  <si>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</si>
  <si>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</si>
  <si>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</si>
  <si>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</si>
  <si>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</si>
  <si>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</si>
  <si>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</si>
  <si>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</si>
  <si>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</si>
  <si>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</si>
  <si>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</si>
  <si>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</si>
  <si>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</si>
  <si>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</si>
  <si>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</si>
  <si>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</si>
  <si>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</si>
  <si>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</si>
  <si>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</si>
  <si>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</si>
  <si>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</si>
  <si>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</si>
  <si>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</si>
  <si>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</si>
  <si>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</si>
  <si>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</si>
  <si>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</si>
  <si>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</si>
  <si>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</si>
  <si>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</si>
  <si>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</si>
  <si>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</si>
  <si>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</si>
  <si>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</si>
  <si>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</si>
  <si>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</si>
  <si>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</si>
  <si>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</si>
  <si>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</si>
  <si>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</si>
  <si>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</si>
  <si>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</si>
  <si>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</si>
  <si>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</si>
  <si>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</si>
  <si>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</si>
  <si>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</si>
  <si>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</si>
  <si>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</si>
  <si>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</si>
  <si>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</si>
  <si>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</si>
  <si>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</si>
  <si>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</si>
  <si>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</si>
  <si>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</si>
  <si>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</si>
  <si>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</si>
  <si>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</si>
  <si>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</si>
  <si>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</si>
  <si>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</si>
  <si>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</si>
  <si>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</si>
  <si>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</si>
  <si>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</si>
  <si>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</si>
  <si>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</si>
  <si>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</si>
  <si>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</si>
  <si>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</si>
  <si>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</si>
  <si>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</si>
  <si>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</si>
  <si>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</si>
  <si>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</si>
  <si>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</si>
  <si>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</si>
  <si>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</si>
  <si>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</si>
  <si>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</si>
  <si>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</si>
  <si>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</si>
  <si>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</si>
  <si>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</si>
  <si>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</si>
  <si>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</si>
  <si>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</si>
  <si>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</si>
  <si>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</si>
  <si>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</si>
  <si>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</si>
  <si>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</si>
  <si>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</si>
  <si>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</si>
  <si>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</si>
  <si>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</si>
  <si>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</si>
  <si>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</si>
  <si>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</si>
  <si>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</si>
  <si>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</si>
  <si>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</si>
  <si>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</si>
  <si>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</si>
  <si>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</si>
  <si>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</si>
  <si>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</si>
  <si>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</si>
  <si>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</si>
  <si>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</si>
  <si>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</si>
  <si>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</si>
  <si>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</si>
  <si>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</si>
  <si>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</si>
  <si>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</si>
  <si>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</si>
  <si>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</si>
  <si>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</si>
  <si>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</si>
  <si>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</si>
  <si>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</si>
  <si>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</si>
  <si>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</si>
  <si>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</si>
  <si>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</si>
  <si>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</si>
  <si>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</si>
  <si>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</si>
  <si>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</si>
  <si>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</si>
  <si>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</si>
  <si>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</si>
  <si>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</si>
  <si>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</si>
  <si>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</si>
  <si>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</si>
  <si>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</si>
  <si>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</si>
  <si>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</si>
  <si>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</si>
  <si>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</si>
  <si>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</si>
  <si>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</si>
  <si>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</si>
  <si>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</si>
  <si>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</si>
  <si>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</si>
  <si>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</si>
  <si>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</si>
  <si>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</si>
  <si>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</si>
  <si>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</si>
  <si>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</si>
  <si>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</si>
  <si>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</si>
  <si>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</si>
  <si>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</si>
  <si>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</si>
  <si>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</si>
  <si>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</si>
  <si>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</si>
  <si>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</si>
  <si>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</si>
  <si>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</si>
  <si>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</si>
  <si>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</si>
  <si>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</si>
  <si>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</si>
  <si>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</si>
  <si>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</si>
  <si>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</si>
  <si>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</si>
  <si>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</si>
  <si>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</si>
  <si>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</si>
  <si>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</si>
  <si>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</si>
  <si>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</si>
  <si>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</si>
  <si>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</si>
  <si>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</si>
  <si>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</si>
  <si>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</si>
  <si>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</si>
  <si>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</si>
  <si>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</si>
  <si>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</si>
  <si>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</si>
  <si>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</si>
  <si>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</si>
  <si>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</si>
  <si>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</si>
  <si>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</si>
  <si>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</si>
  <si>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</si>
  <si>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</si>
  <si>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</si>
  <si>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</si>
  <si>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</si>
  <si>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</si>
  <si>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</si>
  <si>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</si>
  <si>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</si>
  <si>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</si>
  <si>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</si>
  <si>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</si>
  <si>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</si>
  <si>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</si>
  <si>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</si>
  <si>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</si>
  <si>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</si>
  <si>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</si>
  <si>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</si>
  <si>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</si>
  <si>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</si>
  <si>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</si>
  <si>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</si>
  <si>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</si>
  <si>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</si>
  <si>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</si>
  <si>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</si>
  <si>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</si>
  <si>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</si>
  <si>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</si>
  <si>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</si>
  <si>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</si>
  <si>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</si>
  <si>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</si>
  <si>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</si>
  <si>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</si>
  <si>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</si>
  <si>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</si>
  <si>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</si>
  <si>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</si>
  <si>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</si>
  <si>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</si>
  <si>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</si>
  <si>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</si>
  <si>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</si>
  <si>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</si>
  <si>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</si>
  <si>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</si>
  <si>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</si>
  <si>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</si>
  <si>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</si>
  <si>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</si>
  <si>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</si>
  <si>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</si>
  <si>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</si>
  <si>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</si>
  <si>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</si>
  <si>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</si>
  <si>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</si>
  <si>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</si>
  <si>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</si>
  <si>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</si>
  <si>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</si>
  <si>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</si>
  <si>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</si>
  <si>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</si>
  <si>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</si>
  <si>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</si>
  <si>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</si>
  <si>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</si>
  <si>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</si>
  <si>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</si>
  <si>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</si>
  <si>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</si>
  <si>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</si>
  <si>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</si>
  <si>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</si>
  <si>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</si>
  <si>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</si>
  <si>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</si>
  <si>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</si>
  <si>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</si>
  <si>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</si>
  <si>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</si>
  <si>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</si>
  <si>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</si>
  <si>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</si>
  <si>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</si>
  <si>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</si>
  <si>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</si>
  <si>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</si>
  <si>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</si>
  <si>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</si>
  <si>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</si>
  <si>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</si>
  <si>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</si>
  <si>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</si>
  <si>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</si>
  <si>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</si>
  <si>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</si>
  <si>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</si>
  <si>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</si>
  <si>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</si>
  <si>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</si>
  <si>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</si>
  <si>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</si>
  <si>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</si>
  <si>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</si>
  <si>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</si>
  <si>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</si>
  <si>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</si>
  <si>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</si>
  <si>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</si>
  <si>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</si>
  <si>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</si>
  <si>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</si>
  <si>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</si>
  <si>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</si>
  <si>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</si>
  <si>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</si>
  <si>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</si>
  <si>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</si>
  <si>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</si>
  <si>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</si>
  <si>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</si>
  <si>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</si>
  <si>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</si>
  <si>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</si>
  <si>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</si>
  <si>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</si>
  <si>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</si>
  <si>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</si>
  <si>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</si>
  <si>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</si>
  <si>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</si>
  <si>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</si>
  <si>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</si>
  <si>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</si>
  <si>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</si>
  <si>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</si>
  <si>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</si>
  <si>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</si>
  <si>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</si>
  <si>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</si>
  <si>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</si>
  <si>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</si>
  <si>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</si>
  <si>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</si>
  <si>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</si>
  <si>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</si>
  <si>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</si>
  <si>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</si>
  <si>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</si>
  <si>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</si>
  <si>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</si>
  <si>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</si>
  <si>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</si>
  <si>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</si>
  <si>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</si>
  <si>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</si>
  <si>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</si>
  <si>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</si>
  <si>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</si>
  <si>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</si>
  <si>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</si>
  <si>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</si>
  <si>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</si>
  <si>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</si>
  <si>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</si>
  <si>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</si>
  <si>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</si>
  <si>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</si>
  <si>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</si>
  <si>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</si>
  <si>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</si>
  <si>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</si>
  <si>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</si>
  <si>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</si>
  <si>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</si>
  <si>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</si>
  <si>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</si>
  <si>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</si>
  <si>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</si>
  <si>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</si>
  <si>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</si>
  <si>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</si>
  <si>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</si>
  <si>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</si>
  <si>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</si>
  <si>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</si>
  <si>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</si>
  <si>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</si>
  <si>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</si>
  <si>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</si>
  <si>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</si>
  <si>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</si>
  <si>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</si>
  <si>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</si>
  <si>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</si>
  <si>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</si>
  <si>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</si>
  <si>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</si>
  <si>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</si>
  <si>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</si>
  <si>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</si>
  <si>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</si>
  <si>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</si>
  <si>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</si>
  <si>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</si>
  <si>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</si>
  <si>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</si>
  <si>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</si>
  <si>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</si>
  <si>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</si>
  <si>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</si>
  <si>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</si>
  <si>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</si>
  <si>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</si>
  <si>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</si>
  <si>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</si>
  <si>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</si>
  <si>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</si>
  <si>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</si>
  <si>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</si>
  <si>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</si>
  <si>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</si>
  <si>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</si>
  <si>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</si>
  <si>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</si>
  <si>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</si>
  <si>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</si>
  <si>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</si>
  <si>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</si>
  <si>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</si>
  <si>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</si>
  <si>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</si>
  <si>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</si>
  <si>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</si>
  <si>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</si>
  <si>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</si>
  <si>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</si>
  <si>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</si>
  <si>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</si>
  <si>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</si>
  <si>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</si>
  <si>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</si>
  <si>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</si>
  <si>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</si>
  <si>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</si>
  <si>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</si>
  <si>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</si>
  <si>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</si>
  <si>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</si>
  <si>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</si>
  <si>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</si>
  <si>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</si>
  <si>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</si>
  <si>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</si>
  <si>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</si>
  <si>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</si>
  <si>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</si>
  <si>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</si>
  <si>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</si>
  <si>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</si>
  <si>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</si>
  <si>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</si>
  <si>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</si>
  <si>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</si>
  <si>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</si>
  <si>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</si>
  <si>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</si>
  <si>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</si>
  <si>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</si>
  <si>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</si>
  <si>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</si>
  <si>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</si>
  <si>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</si>
  <si>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</si>
  <si>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</si>
  <si>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</si>
  <si>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</si>
  <si>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</si>
  <si>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</si>
  <si>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</si>
  <si>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</si>
  <si>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</si>
  <si>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</si>
  <si>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</si>
  <si>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</si>
  <si>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</si>
  <si>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</si>
  <si>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</si>
  <si>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</si>
  <si>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</si>
  <si>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</si>
  <si>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</si>
  <si>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</si>
  <si>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</si>
  <si>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</si>
  <si>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</si>
  <si>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</si>
  <si>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</si>
  <si>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</si>
  <si>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</si>
  <si>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</si>
  <si>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</si>
  <si>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</si>
  <si>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</si>
  <si>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</si>
  <si>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</si>
  <si>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</si>
  <si>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</si>
  <si>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</si>
  <si>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</si>
  <si>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</si>
  <si>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</si>
  <si>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</si>
  <si>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</si>
  <si>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</si>
  <si>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</si>
  <si>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</si>
  <si>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</si>
  <si>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</si>
  <si>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</si>
  <si>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</si>
  <si>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</si>
  <si>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</si>
  <si>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</si>
  <si>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</si>
  <si>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</si>
  <si>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</si>
  <si>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</si>
  <si>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</si>
  <si>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</si>
  <si>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</si>
  <si>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</si>
  <si>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</si>
  <si>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</si>
  <si>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</si>
  <si>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</si>
  <si>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</si>
  <si>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</si>
  <si>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</si>
  <si>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</si>
  <si>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</si>
  <si>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</si>
  <si>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</si>
  <si>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</si>
  <si>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</si>
  <si>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</si>
  <si>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</si>
  <si>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</si>
  <si>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</si>
  <si>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</si>
  <si>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</si>
  <si>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</si>
  <si>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</si>
  <si>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</si>
  <si>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</si>
  <si>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</si>
  <si>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</si>
  <si>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</si>
  <si>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</si>
  <si>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</si>
  <si>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</si>
  <si>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</si>
  <si>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</si>
  <si>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</si>
  <si>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</si>
  <si>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</si>
  <si>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</si>
  <si>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</si>
  <si>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</si>
  <si>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</si>
  <si>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</si>
  <si>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</si>
  <si>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</si>
  <si>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</si>
  <si>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</si>
  <si>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</si>
  <si>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</si>
  <si>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</si>
  <si>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</si>
  <si>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</si>
  <si>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</si>
  <si>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</si>
  <si>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</si>
  <si>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</si>
  <si>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</si>
  <si>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</si>
  <si>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</si>
  <si>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</si>
  <si>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</si>
  <si>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</si>
  <si>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</si>
  <si>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</si>
  <si>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</si>
  <si>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</si>
  <si>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</si>
  <si>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</si>
  <si>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</si>
  <si>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</si>
  <si>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</si>
  <si>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</si>
  <si>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</si>
  <si>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</si>
  <si>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</si>
  <si>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</si>
  <si>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</si>
  <si>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</si>
  <si>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</si>
  <si>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</si>
  <si>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</si>
  <si>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</si>
  <si>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</si>
  <si>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</si>
  <si>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</si>
  <si>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</si>
  <si>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</si>
  <si>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</si>
  <si>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</si>
  <si>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</si>
  <si>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</si>
  <si>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</si>
  <si>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</si>
  <si>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</si>
  <si>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</si>
  <si>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</si>
  <si>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</si>
  <si>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</si>
  <si>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</si>
  <si>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</si>
  <si>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</si>
  <si>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</si>
  <si>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</si>
  <si>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</si>
  <si>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</si>
  <si>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</si>
  <si>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</si>
  <si>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</si>
  <si>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</si>
  <si>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</si>
  <si>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</si>
  <si>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</si>
  <si>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</si>
  <si>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</si>
  <si>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</si>
  <si>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</si>
  <si>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</si>
  <si>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</si>
  <si>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</si>
  <si>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</si>
  <si>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</si>
  <si>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</si>
  <si>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</si>
  <si>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</si>
  <si>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</si>
  <si>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</si>
  <si>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</si>
  <si>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</si>
  <si>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</si>
  <si>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</si>
  <si>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</si>
  <si>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</si>
  <si>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</si>
  <si>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</si>
  <si>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</si>
  <si>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</si>
  <si>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</si>
  <si>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</si>
  <si>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</si>
  <si>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</si>
  <si>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</si>
  <si>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</si>
  <si>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</si>
  <si>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</si>
  <si>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</si>
  <si>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</si>
  <si>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</si>
  <si>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</si>
  <si>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</si>
  <si>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</si>
  <si>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</si>
  <si>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</si>
  <si>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</si>
  <si>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</si>
  <si>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</si>
  <si>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</si>
  <si>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</si>
  <si>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</si>
  <si>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</si>
  <si>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</si>
  <si>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</si>
  <si>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</si>
  <si>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</si>
  <si>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</si>
  <si>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</si>
  <si>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</si>
  <si>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</si>
  <si>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</si>
  <si>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</si>
  <si>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</si>
  <si>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</si>
  <si>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</si>
  <si>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</si>
  <si>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</si>
  <si>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</si>
  <si>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</si>
  <si>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</si>
  <si>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</si>
  <si>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</si>
  <si>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</si>
  <si>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</si>
  <si>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</si>
  <si>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</si>
  <si>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</si>
  <si>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</si>
  <si>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</si>
  <si>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</si>
  <si>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</si>
  <si>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</si>
  <si>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</si>
  <si>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</si>
  <si>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</si>
  <si>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</si>
  <si>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</si>
  <si>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</si>
  <si>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</si>
  <si>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</si>
  <si>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</si>
  <si>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</si>
  <si>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</si>
  <si>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</si>
  <si>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</si>
  <si>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</si>
  <si>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</si>
  <si>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</si>
  <si>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</si>
  <si>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</si>
  <si>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</si>
  <si>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</si>
  <si>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</si>
  <si>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</si>
  <si>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</si>
  <si>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</si>
  <si>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</si>
  <si>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</si>
  <si>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</si>
  <si>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</si>
  <si>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</si>
  <si>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</si>
  <si>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</si>
  <si>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</si>
  <si>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</si>
  <si>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</si>
  <si>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</si>
  <si>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</si>
  <si>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</si>
  <si>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</si>
  <si>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</si>
  <si>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</si>
  <si>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</si>
  <si>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</si>
  <si>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</si>
  <si>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</si>
  <si>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</si>
  <si>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</si>
  <si>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</si>
  <si>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</si>
  <si>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</si>
  <si>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</si>
  <si>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</si>
  <si>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</si>
  <si>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</si>
  <si>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</si>
  <si>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</si>
  <si>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</si>
  <si>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</si>
  <si>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</si>
  <si>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</si>
  <si>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</si>
  <si>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</si>
  <si>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</si>
  <si>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</si>
  <si>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</si>
  <si>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</si>
  <si>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</si>
  <si>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</si>
  <si>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</si>
  <si>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</si>
  <si>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</si>
  <si>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</si>
  <si>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</si>
  <si>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</si>
  <si>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</si>
  <si>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</si>
  <si>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</si>
  <si>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</si>
  <si>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</si>
  <si>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</si>
  <si>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</si>
  <si>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</si>
  <si>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</si>
  <si>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</si>
  <si>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</si>
  <si>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</si>
  <si>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</si>
  <si>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</si>
  <si>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</si>
  <si>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</si>
  <si>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</si>
  <si>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</si>
  <si>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</si>
  <si>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</si>
  <si>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</si>
  <si>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</si>
  <si>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</si>
  <si>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</si>
  <si>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</si>
  <si>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</si>
  <si>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</si>
  <si>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</si>
  <si>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</si>
  <si>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</si>
  <si>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</si>
  <si>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</si>
  <si>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</si>
  <si>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</si>
  <si>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</si>
  <si>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</si>
  <si>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</si>
  <si>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</si>
  <si>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</si>
  <si>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</si>
  <si>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</si>
  <si>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</si>
  <si>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</si>
  <si>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</si>
  <si>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</si>
  <si>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</si>
  <si>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</si>
  <si>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</si>
  <si>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</si>
  <si>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</si>
  <si>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</si>
  <si>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</si>
  <si>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</si>
  <si>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</si>
  <si>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</si>
  <si>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</si>
  <si>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</si>
  <si>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</si>
  <si>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</si>
  <si>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</si>
  <si>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</si>
  <si>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</si>
  <si>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</si>
  <si>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</si>
  <si>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</si>
  <si>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</si>
  <si>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</si>
  <si>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</si>
  <si>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</si>
  <si>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</si>
  <si>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</si>
  <si>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</si>
  <si>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</si>
  <si>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</si>
  <si>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</si>
  <si>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</si>
  <si>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</si>
  <si>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</si>
  <si>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</si>
  <si>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</si>
  <si>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</si>
  <si>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</si>
  <si>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</si>
  <si>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</si>
  <si>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</si>
  <si>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</si>
  <si>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</si>
  <si>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</si>
  <si>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</si>
  <si>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</si>
  <si>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</si>
  <si>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</si>
  <si>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</si>
  <si>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</si>
  <si>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</si>
  <si>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</si>
  <si>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</si>
  <si>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</si>
  <si>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</si>
  <si>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</si>
  <si>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</si>
  <si>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</si>
  <si>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</si>
  <si>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</si>
  <si>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</si>
  <si>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</si>
  <si>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</si>
  <si>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</si>
  <si>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</si>
  <si>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</si>
  <si>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</si>
  <si>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</si>
  <si>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</si>
  <si>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</si>
  <si>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</si>
  <si>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</si>
  <si>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</si>
  <si>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</si>
  <si>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</si>
  <si>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</si>
  <si>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</si>
  <si>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</si>
  <si>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</si>
  <si>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</si>
  <si>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</si>
  <si>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</si>
  <si>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</si>
  <si>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</si>
  <si>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</si>
  <si>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</si>
  <si>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</si>
  <si>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</si>
  <si>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</si>
  <si>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</si>
  <si>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</si>
  <si>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</si>
  <si>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</si>
  <si>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</si>
  <si>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</si>
  <si>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</si>
  <si>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</si>
  <si>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</si>
  <si>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</si>
  <si>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</si>
  <si>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</si>
  <si>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</si>
  <si>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</si>
  <si>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</si>
  <si>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</si>
  <si>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</si>
  <si>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</si>
  <si>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</si>
  <si>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</si>
  <si>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</si>
  <si>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</si>
  <si>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</si>
  <si>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</si>
  <si>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</si>
  <si>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</si>
  <si>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</si>
  <si>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</si>
  <si>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</si>
  <si>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</si>
  <si>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</si>
  <si>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</si>
  <si>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</si>
  <si>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</si>
  <si>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</si>
  <si>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</si>
  <si>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</si>
  <si>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</si>
  <si>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</si>
  <si>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</si>
  <si>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</si>
  <si>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</si>
  <si>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</si>
  <si>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</si>
  <si>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</si>
  <si>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</si>
  <si>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</si>
  <si>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</si>
  <si>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</si>
  <si>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</si>
  <si>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</si>
  <si>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</si>
  <si>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</si>
  <si>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</si>
  <si>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</si>
  <si>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</si>
  <si>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</si>
  <si>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</si>
  <si>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</si>
  <si>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</si>
  <si>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</si>
  <si>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</si>
  <si>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</si>
  <si>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</si>
  <si>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</si>
  <si>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</si>
  <si>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</si>
  <si>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</si>
  <si>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</si>
  <si>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</si>
  <si>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</si>
  <si>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</si>
  <si>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</si>
  <si>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</si>
  <si>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</si>
  <si>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</si>
  <si>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</si>
  <si>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</si>
  <si>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</si>
  <si>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</si>
  <si>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</si>
  <si>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</si>
  <si>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</si>
  <si>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</si>
  <si>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</si>
  <si>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</si>
  <si>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</si>
  <si>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</si>
  <si>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</si>
  <si>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</si>
  <si>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</si>
  <si>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</si>
  <si>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</si>
  <si>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</si>
  <si>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</si>
  <si>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</si>
  <si>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</si>
  <si>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</si>
  <si>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</si>
  <si>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</si>
  <si>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</si>
  <si>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</si>
  <si>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</si>
  <si>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</si>
  <si>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</si>
  <si>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</si>
  <si>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</si>
  <si>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</si>
  <si>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</si>
  <si>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</si>
  <si>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</si>
  <si>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</si>
  <si>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</si>
  <si>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</si>
  <si>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</si>
  <si>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</si>
  <si>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</si>
  <si>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</si>
  <si>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</si>
  <si>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</si>
  <si>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</si>
  <si>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</si>
  <si>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</si>
  <si>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</si>
  <si>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</si>
  <si>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</si>
  <si>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</si>
  <si>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</si>
  <si>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</si>
  <si>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</si>
  <si>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</si>
  <si>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</si>
  <si>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</si>
  <si>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</si>
  <si>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</si>
  <si>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</si>
  <si>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</si>
  <si>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</si>
  <si>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</si>
  <si>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</si>
  <si>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</si>
  <si>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</si>
  <si>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</si>
  <si>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</si>
  <si>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</si>
  <si>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</si>
  <si>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</si>
  <si>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</si>
  <si>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</si>
  <si>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</si>
  <si>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</si>
  <si>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</si>
  <si>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</si>
  <si>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</si>
  <si>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</si>
  <si>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</si>
  <si>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</si>
  <si>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</si>
  <si>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</si>
  <si>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</si>
  <si>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</si>
  <si>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</si>
  <si>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</si>
  <si>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</si>
  <si>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</si>
  <si>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</si>
  <si>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</si>
  <si>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</si>
  <si>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</si>
  <si>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</si>
  <si>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</si>
  <si>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</si>
  <si>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</si>
  <si>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</si>
  <si>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</si>
  <si>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</si>
  <si>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</si>
  <si>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</si>
  <si>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</si>
  <si>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</si>
  <si>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</si>
  <si>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</si>
  <si>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</si>
  <si>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</si>
  <si>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</si>
  <si>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</si>
  <si>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</si>
  <si>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</si>
  <si>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</si>
  <si>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</si>
  <si>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</si>
  <si>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</si>
  <si>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</si>
  <si>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</si>
  <si>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</si>
  <si>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</si>
  <si>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</si>
  <si>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</si>
  <si>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</si>
  <si>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</si>
  <si>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</si>
  <si>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</si>
  <si>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</si>
  <si>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</si>
  <si>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</si>
  <si>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</si>
  <si>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</si>
  <si>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</si>
  <si>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</si>
  <si>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</si>
  <si>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</si>
  <si>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</si>
  <si>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</si>
  <si>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</si>
  <si>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</si>
  <si>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</si>
  <si>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</si>
  <si>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</si>
  <si>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</si>
  <si>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</si>
  <si>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</si>
  <si>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</si>
  <si>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</si>
  <si>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</si>
  <si>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</si>
  <si>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</si>
  <si>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</si>
  <si>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</si>
  <si>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</si>
  <si>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</si>
  <si>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</si>
  <si>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</si>
  <si>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</si>
  <si>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</si>
  <si>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</si>
  <si>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</si>
  <si>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</si>
  <si>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</si>
  <si>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</si>
  <si>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</si>
  <si>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</si>
  <si>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</si>
  <si>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</si>
  <si>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</si>
  <si>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</si>
  <si>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</si>
  <si>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</si>
  <si>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</si>
  <si>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</si>
  <si>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</si>
  <si>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</si>
  <si>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</si>
  <si>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</si>
  <si>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</si>
  <si>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</si>
  <si>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</si>
  <si>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</si>
  <si>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</si>
  <si>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</si>
  <si>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</si>
  <si>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</si>
  <si>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</si>
  <si>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</si>
  <si>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</si>
  <si>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</si>
  <si>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</si>
  <si>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</si>
  <si>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</si>
  <si>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</si>
  <si>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</si>
  <si>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</si>
  <si>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</si>
  <si>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</si>
  <si>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</si>
  <si>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</si>
  <si>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</si>
  <si>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</si>
  <si>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</si>
  <si>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</si>
  <si>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</si>
  <si>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</si>
  <si>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</si>
  <si>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</si>
  <si>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</si>
  <si>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</si>
  <si>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</si>
  <si>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</si>
  <si>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</si>
  <si>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</si>
  <si>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</si>
  <si>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</si>
  <si>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</si>
  <si>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</si>
  <si>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</si>
  <si>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</si>
  <si>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</si>
  <si>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</si>
  <si>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</si>
  <si>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</si>
  <si>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</si>
  <si>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</si>
  <si>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</si>
  <si>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</si>
  <si>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</si>
  <si>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</si>
  <si>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</si>
  <si>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</si>
  <si>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</si>
  <si>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</si>
  <si>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</si>
  <si>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</si>
  <si>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</si>
  <si>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</si>
  <si>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</si>
  <si>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</si>
  <si>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</si>
  <si>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</si>
  <si>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</si>
  <si>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</si>
  <si>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</si>
  <si>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</si>
  <si>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</si>
  <si>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</si>
  <si>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</si>
  <si>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</si>
  <si>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</si>
  <si>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</si>
  <si>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</si>
  <si>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</si>
  <si>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</si>
  <si>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</si>
  <si>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</si>
  <si>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</si>
  <si>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</si>
  <si>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</si>
  <si>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</si>
  <si>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</si>
  <si>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</si>
  <si>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</si>
  <si>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</si>
  <si>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</si>
  <si>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</si>
  <si>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</si>
  <si>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</si>
  <si>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</si>
  <si>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</si>
  <si>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</si>
  <si>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</si>
  <si>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</si>
  <si>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</si>
  <si>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</si>
  <si>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</si>
  <si>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</si>
  <si>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</si>
  <si>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</si>
  <si>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</si>
  <si>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</si>
  <si>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</si>
  <si>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</si>
  <si>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</si>
  <si>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</si>
  <si>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</si>
  <si>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</si>
  <si>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</si>
  <si>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</si>
  <si>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</si>
  <si>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</si>
  <si>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</si>
  <si>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</si>
  <si>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</si>
  <si>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</si>
  <si>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</si>
  <si>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</si>
  <si>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</si>
  <si>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</si>
  <si>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</si>
  <si>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</si>
  <si>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</si>
  <si>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</si>
  <si>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</si>
  <si>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</si>
  <si>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</si>
  <si>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</si>
  <si>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</si>
  <si>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</si>
  <si>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</si>
  <si>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</si>
  <si>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</si>
  <si>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</si>
  <si>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</si>
  <si>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</si>
  <si>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</si>
  <si>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</si>
  <si>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</si>
  <si>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</si>
  <si>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</si>
  <si>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</si>
  <si>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</si>
  <si>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</si>
  <si>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</si>
  <si>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</si>
  <si>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</si>
  <si>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</si>
  <si>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</si>
  <si>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</si>
  <si>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</si>
  <si>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</si>
  <si>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</si>
  <si>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</si>
  <si>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</si>
  <si>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</si>
  <si>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</si>
  <si>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</si>
  <si>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</si>
  <si>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</si>
  <si>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</si>
  <si>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</si>
  <si>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</si>
  <si>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</si>
  <si>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</si>
  <si>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</si>
  <si>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</si>
  <si>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</si>
  <si>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</si>
  <si>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</si>
  <si>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</si>
  <si>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</si>
  <si>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</si>
  <si>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</si>
  <si>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</si>
  <si>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</si>
  <si>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</si>
  <si>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</si>
  <si>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</si>
  <si>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</si>
  <si>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</si>
  <si>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</si>
  <si>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</si>
  <si>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</si>
  <si>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</si>
  <si>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</si>
  <si>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</si>
  <si>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</si>
  <si>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</si>
  <si>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</si>
  <si>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</si>
  <si>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</si>
  <si>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</si>
  <si>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</si>
  <si>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</si>
  <si>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</si>
  <si>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</si>
  <si>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</si>
  <si>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</si>
  <si>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</si>
  <si>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</si>
  <si>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</si>
  <si>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</si>
  <si>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</si>
  <si>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</si>
  <si>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</si>
  <si>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</si>
  <si>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</si>
  <si>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</si>
  <si>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</si>
  <si>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</si>
  <si>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</si>
  <si>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</si>
  <si>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</si>
  <si>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</si>
  <si>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</si>
  <si>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</si>
  <si>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</si>
  <si>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</si>
  <si>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</si>
  <si>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</si>
  <si>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</si>
  <si>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</si>
  <si>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</si>
  <si>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</si>
  <si>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</si>
  <si>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</si>
  <si>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</si>
  <si>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</si>
  <si>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</si>
  <si>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</si>
  <si>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</si>
  <si>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</si>
  <si>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</si>
  <si>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</si>
  <si>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</si>
  <si>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</si>
  <si>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</si>
  <si>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</si>
  <si>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</si>
  <si>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</si>
  <si>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</si>
  <si>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</si>
  <si>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</si>
  <si>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</si>
  <si>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</si>
  <si>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</si>
  <si>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</si>
  <si>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</si>
  <si>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</si>
  <si>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</si>
  <si>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</si>
  <si>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</si>
  <si>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</si>
  <si>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</si>
  <si>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</si>
  <si>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</si>
  <si>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</si>
  <si>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</si>
  <si>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</si>
  <si>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</si>
  <si>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</si>
  <si>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</si>
  <si>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</si>
  <si>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</si>
  <si>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</si>
  <si>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</si>
  <si>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</si>
  <si>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</si>
  <si>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</si>
  <si>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</si>
  <si>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</si>
  <si>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</si>
  <si>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</si>
  <si>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</si>
  <si>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</si>
  <si>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</si>
  <si>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</si>
  <si>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</si>
  <si>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</si>
  <si>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</si>
  <si>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</si>
  <si>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</si>
  <si>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</si>
  <si>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</si>
  <si>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</si>
  <si>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</si>
  <si>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</si>
  <si>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</si>
  <si>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</si>
  <si>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</si>
  <si>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</si>
  <si>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</si>
  <si>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</si>
  <si>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</si>
  <si>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</si>
  <si>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</si>
  <si>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</si>
  <si>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</si>
  <si>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</si>
  <si>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</si>
  <si>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</si>
  <si>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</si>
  <si>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</si>
  <si>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</si>
  <si>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</si>
  <si>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</si>
  <si>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</si>
  <si>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</si>
  <si>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</si>
  <si>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</si>
  <si>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</si>
  <si>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</si>
  <si>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</si>
  <si>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</si>
  <si>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</si>
  <si>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</si>
  <si>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</si>
  <si>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</si>
  <si>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</si>
  <si>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</si>
  <si>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</si>
  <si>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</si>
  <si>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</si>
  <si>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</si>
  <si>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</si>
  <si>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</si>
  <si>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</si>
  <si>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</si>
  <si>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</si>
  <si>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</si>
  <si>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</si>
  <si>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</si>
  <si>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</si>
  <si>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</si>
  <si>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</si>
  <si>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</si>
  <si>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</si>
  <si>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</si>
  <si>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</si>
  <si>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</si>
  <si>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</si>
  <si>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</si>
  <si>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</si>
  <si>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</si>
  <si>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</si>
  <si>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</si>
  <si>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</si>
  <si>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</si>
  <si>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</si>
  <si>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</si>
  <si>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</si>
  <si>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</si>
  <si>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</si>
  <si>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</si>
  <si>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</si>
  <si>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</si>
  <si>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</si>
  <si>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</si>
  <si>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</si>
  <si>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</si>
  <si>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</si>
  <si>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</si>
  <si>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</si>
  <si>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</si>
  <si>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</si>
  <si>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</si>
  <si>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</si>
  <si>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</si>
  <si>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</si>
  <si>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</si>
  <si>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</si>
  <si>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</si>
  <si>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</si>
  <si>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</si>
  <si>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</si>
  <si>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</si>
  <si>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</si>
  <si>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</si>
  <si>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</si>
  <si>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</si>
  <si>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</si>
  <si>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</si>
  <si>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</si>
  <si>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</si>
  <si>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</si>
  <si>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</si>
  <si>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</si>
  <si>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</si>
  <si>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</si>
  <si>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</si>
  <si>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</si>
  <si>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</si>
  <si>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</si>
  <si>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</si>
  <si>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</si>
  <si>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</si>
  <si>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</si>
  <si>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</si>
  <si>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</si>
  <si>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</si>
  <si>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</si>
  <si>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</si>
  <si>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</si>
  <si>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</si>
  <si>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</si>
  <si>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</si>
  <si>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</si>
  <si>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</si>
  <si>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</si>
  <si>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</si>
  <si>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</si>
  <si>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</si>
  <si>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</si>
  <si>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</si>
  <si>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</si>
  <si>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</si>
  <si>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</si>
  <si>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</si>
  <si>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</si>
  <si>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</si>
  <si>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</si>
  <si>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</si>
  <si>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</si>
  <si>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</si>
  <si>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</si>
  <si>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</si>
  <si>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</si>
  <si>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</si>
  <si>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</si>
  <si>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</si>
  <si>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</si>
  <si>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</si>
  <si>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</si>
  <si>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</si>
  <si>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</si>
  <si>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</si>
  <si>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</si>
  <si>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</si>
  <si>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</si>
  <si>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</si>
  <si>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</si>
  <si>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</si>
  <si>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</si>
  <si>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</si>
  <si>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</si>
  <si>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</si>
  <si>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</si>
  <si>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</si>
  <si>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</si>
  <si>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</si>
  <si>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</si>
  <si>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</si>
  <si>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</si>
  <si>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</si>
  <si>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</si>
  <si>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</si>
  <si>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</si>
  <si>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</si>
  <si>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</si>
  <si>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</si>
  <si>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</si>
  <si>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</si>
  <si>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</si>
  <si>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</si>
  <si>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</si>
  <si>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</si>
  <si>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</si>
  <si>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</si>
  <si>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</si>
  <si>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</si>
  <si>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</si>
  <si>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</si>
  <si>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</si>
  <si>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</si>
  <si>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</si>
  <si>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</si>
  <si>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</si>
  <si>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</si>
  <si>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</si>
  <si>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</si>
  <si>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</si>
  <si>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</si>
  <si>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</si>
  <si>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</si>
  <si>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</si>
  <si>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</si>
  <si>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</si>
  <si>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</si>
  <si>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</si>
  <si>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</si>
  <si>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</si>
  <si>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</si>
  <si>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</si>
  <si>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</si>
  <si>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</si>
  <si>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</si>
  <si>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</si>
  <si>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</si>
  <si>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</si>
  <si>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</si>
  <si>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</si>
  <si>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</si>
  <si>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</si>
  <si>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</si>
  <si>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</si>
  <si>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</si>
  <si>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</si>
  <si>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</si>
  <si>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</si>
  <si>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</si>
  <si>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</si>
  <si>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</si>
  <si>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</si>
  <si>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</si>
  <si>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</si>
  <si>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</si>
  <si>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</si>
  <si>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</si>
  <si>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</si>
  <si>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</si>
  <si>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</si>
  <si>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</si>
  <si>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</si>
  <si>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</si>
  <si>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</si>
  <si>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</si>
  <si>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</si>
  <si>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</si>
  <si>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</si>
  <si>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</si>
  <si>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</si>
  <si>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</si>
  <si>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</si>
  <si>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</si>
  <si>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</si>
  <si>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</si>
  <si>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</si>
  <si>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</si>
  <si>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</si>
  <si>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</si>
  <si>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</si>
  <si>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</si>
  <si>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</si>
  <si>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</si>
  <si>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</si>
  <si>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</si>
  <si>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</si>
  <si>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</si>
  <si>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</si>
  <si>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</si>
  <si>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</si>
  <si>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</si>
  <si>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</si>
  <si>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</si>
  <si>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</si>
  <si>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</si>
  <si>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</si>
  <si>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</si>
  <si>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</si>
  <si>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</si>
  <si>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</si>
  <si>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</si>
  <si>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</si>
  <si>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</si>
  <si>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</si>
  <si>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</si>
  <si>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</si>
  <si>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</si>
  <si>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</si>
  <si>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</si>
  <si>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</si>
  <si>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</si>
  <si>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</si>
  <si>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</si>
  <si>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</si>
  <si>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</si>
  <si>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</si>
  <si>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</si>
  <si>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</si>
  <si>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</si>
  <si>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</si>
  <si>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</si>
  <si>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</si>
  <si>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</si>
  <si>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</si>
  <si>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</si>
  <si>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</si>
  <si>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</si>
  <si>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</si>
  <si>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</si>
  <si>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</si>
  <si>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</si>
  <si>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</si>
  <si>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</si>
  <si>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</si>
  <si>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</si>
  <si>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</si>
  <si>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</si>
  <si>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</si>
  <si>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</si>
  <si>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</si>
  <si>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</si>
  <si>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</si>
  <si>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</si>
  <si>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</si>
  <si>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</si>
  <si>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</si>
  <si>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</si>
  <si>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</si>
  <si>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</si>
  <si>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</si>
  <si>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</si>
  <si>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</si>
  <si>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</si>
  <si>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</si>
  <si>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</si>
  <si>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</si>
  <si>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</si>
  <si>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</si>
  <si>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</si>
  <si>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</si>
  <si>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</si>
  <si>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</si>
  <si>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</si>
  <si>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</si>
  <si>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</si>
  <si>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</si>
  <si>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</si>
  <si>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</si>
  <si>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</si>
  <si>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</si>
  <si>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</si>
  <si>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</si>
  <si>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</si>
  <si>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</si>
  <si>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</si>
  <si>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</si>
  <si>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</si>
  <si>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</si>
  <si>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</si>
  <si>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</si>
  <si>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</si>
  <si>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</si>
  <si>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</si>
  <si>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</si>
  <si>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</si>
  <si>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</si>
  <si>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</si>
  <si>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</si>
  <si>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</si>
  <si>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</si>
  <si>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</si>
  <si>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</si>
  <si>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</si>
  <si>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</si>
  <si>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</si>
  <si>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</si>
  <si>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</si>
  <si>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</si>
  <si>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</si>
  <si>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</si>
  <si>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</si>
  <si>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</si>
  <si>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</si>
  <si>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</si>
  <si>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</si>
  <si>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</si>
  <si>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</si>
  <si>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</si>
  <si>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</si>
  <si>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</si>
  <si>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</si>
  <si>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</si>
  <si>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</si>
  <si>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</si>
  <si>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</si>
  <si>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</si>
  <si>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</si>
  <si>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</si>
  <si>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</si>
  <si>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</si>
  <si>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</si>
  <si>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</si>
  <si>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</si>
  <si>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</si>
  <si>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</si>
  <si>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</si>
  <si>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</si>
  <si>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</si>
  <si>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</si>
  <si>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</si>
  <si>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</si>
  <si>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</si>
  <si>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</si>
  <si>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</si>
  <si>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</si>
  <si>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</si>
  <si>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</si>
  <si>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</si>
  <si>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</si>
  <si>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</si>
  <si>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</si>
  <si>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</si>
  <si>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</si>
  <si>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</si>
  <si>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</si>
  <si>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</si>
  <si>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</si>
  <si>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</si>
  <si>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</si>
  <si>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</si>
  <si>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</si>
  <si>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</si>
  <si>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</si>
  <si>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</si>
  <si>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</si>
  <si>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</si>
  <si>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</si>
  <si>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</si>
  <si>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</si>
  <si>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</si>
  <si>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</si>
  <si>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</si>
  <si>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</si>
  <si>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</si>
  <si>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</si>
  <si>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</si>
  <si>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</si>
  <si>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</si>
  <si>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</si>
  <si>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</si>
  <si>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</si>
  <si>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</si>
  <si>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</si>
  <si>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</si>
  <si>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</si>
  <si>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</si>
  <si>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</si>
  <si>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</si>
  <si>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</si>
  <si>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</si>
  <si>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</si>
  <si>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</si>
  <si>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</si>
  <si>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</si>
  <si>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</si>
  <si>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</si>
  <si>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</si>
  <si>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</si>
  <si>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</si>
  <si>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</si>
  <si>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</si>
  <si>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</si>
  <si>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</si>
  <si>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</si>
  <si>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</si>
  <si>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</si>
  <si>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</si>
  <si>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</si>
  <si>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</si>
  <si>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</si>
  <si>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</si>
  <si>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</si>
  <si>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</si>
  <si>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</si>
  <si>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</si>
  <si>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</si>
  <si>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</si>
  <si>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</si>
  <si>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</si>
  <si>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</si>
  <si>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</si>
  <si>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</si>
  <si>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</si>
  <si>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</si>
  <si>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</si>
  <si>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</si>
  <si>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</si>
  <si>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</si>
  <si>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</si>
  <si>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</si>
  <si>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</si>
  <si>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</si>
  <si>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</si>
  <si>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</si>
  <si>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</si>
  <si>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</si>
  <si>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</si>
  <si>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</si>
  <si>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</si>
  <si>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</si>
  <si>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</si>
  <si>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</si>
  <si>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</si>
  <si>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</si>
  <si>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</si>
  <si>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</si>
  <si>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</si>
  <si>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</si>
  <si>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</si>
  <si>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</si>
  <si>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</si>
  <si>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</si>
  <si>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</si>
  <si>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</si>
  <si>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</si>
  <si>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</si>
  <si>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</si>
  <si>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</si>
  <si>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</si>
  <si>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</si>
  <si>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</si>
  <si>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</si>
  <si>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</si>
  <si>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</si>
  <si>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</si>
  <si>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</si>
  <si>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</si>
  <si>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</si>
  <si>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</si>
  <si>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</si>
  <si>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</si>
  <si>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</si>
  <si>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</si>
  <si>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</si>
  <si>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</si>
  <si>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</si>
  <si>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</si>
  <si>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</si>
  <si>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</si>
  <si>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</si>
  <si>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</si>
  <si>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</si>
  <si>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</si>
  <si>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</si>
  <si>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</si>
  <si>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</si>
  <si>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</si>
  <si>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</si>
  <si>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</si>
  <si>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</si>
  <si>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</si>
  <si>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</si>
  <si>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</si>
  <si>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</si>
  <si>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</si>
  <si>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</si>
  <si>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</si>
  <si>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</si>
  <si>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</si>
  <si>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</si>
  <si>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</si>
  <si>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</si>
  <si>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</si>
  <si>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</si>
  <si>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</si>
  <si>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</si>
  <si>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</si>
  <si>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</si>
  <si>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</si>
  <si>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</si>
  <si>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</si>
  <si>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</si>
  <si>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</si>
  <si>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</si>
  <si>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</si>
  <si>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</si>
  <si>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</si>
  <si>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</si>
  <si>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</si>
  <si>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</si>
  <si>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</si>
  <si>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</si>
  <si>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</si>
  <si>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</si>
  <si>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</si>
  <si>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</si>
  <si>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</si>
  <si>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</si>
  <si>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</si>
  <si>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</si>
  <si>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</si>
  <si>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</si>
  <si>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</si>
  <si>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</si>
  <si>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</si>
  <si>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</si>
  <si>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</si>
  <si>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</si>
  <si>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</si>
  <si>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</si>
  <si>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</si>
  <si>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</si>
  <si>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</si>
  <si>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</si>
  <si>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</si>
  <si>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</si>
  <si>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</si>
  <si>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</si>
  <si>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</si>
  <si>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</si>
  <si>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</si>
  <si>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</si>
  <si>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</si>
  <si>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</si>
  <si>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</si>
  <si>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</si>
  <si>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</si>
  <si>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</si>
  <si>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</si>
  <si>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</si>
  <si>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</si>
  <si>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</si>
  <si>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</si>
  <si>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</si>
  <si>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</si>
  <si>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</si>
  <si>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</si>
  <si>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</si>
  <si>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</si>
  <si>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</si>
  <si>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</si>
  <si>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</si>
  <si>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</si>
  <si>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</si>
  <si>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</si>
  <si>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</si>
  <si>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</si>
  <si>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</si>
  <si>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</si>
  <si>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</si>
  <si>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</si>
  <si>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</si>
  <si>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</si>
  <si>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</si>
  <si>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</si>
  <si>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</si>
  <si>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</si>
  <si>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</si>
  <si>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</si>
  <si>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</si>
  <si>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</si>
  <si>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</si>
  <si>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</si>
  <si>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</si>
  <si>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</si>
  <si>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</si>
  <si>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</si>
  <si>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</si>
  <si>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</si>
  <si>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</si>
  <si>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</si>
  <si>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</si>
  <si>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</si>
  <si>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</si>
  <si>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</si>
  <si>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</si>
  <si>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</si>
  <si>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</si>
  <si>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</si>
  <si>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</si>
  <si>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</si>
  <si>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</si>
  <si>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</si>
  <si>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</si>
  <si>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</si>
  <si>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</si>
  <si>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</si>
  <si>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</si>
  <si>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</si>
  <si>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</si>
  <si>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</si>
  <si>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</si>
  <si>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</si>
  <si>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</si>
  <si>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</si>
  <si>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</si>
  <si>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</si>
  <si>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</si>
  <si>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</si>
  <si>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</si>
  <si>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</si>
  <si>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</si>
  <si>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</si>
  <si>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</si>
  <si>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</si>
  <si>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</si>
  <si>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</si>
  <si>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</si>
  <si>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</si>
  <si>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</si>
  <si>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</si>
  <si>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</si>
  <si>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</si>
  <si>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</si>
  <si>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</si>
  <si>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</si>
  <si>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</si>
  <si>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</si>
  <si>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</si>
  <si>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</si>
  <si>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</si>
  <si>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</si>
  <si>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</si>
  <si>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</si>
  <si>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</si>
  <si>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</si>
  <si>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</si>
  <si>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</si>
  <si>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</si>
  <si>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</si>
  <si>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</si>
  <si>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</si>
  <si>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</si>
  <si>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</si>
  <si>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</si>
  <si>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</si>
  <si>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</si>
  <si>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</si>
  <si>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</si>
  <si>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</si>
  <si>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</si>
  <si>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</si>
  <si>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</si>
  <si>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</si>
  <si>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</si>
  <si>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</si>
  <si>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</si>
  <si>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</si>
  <si>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</si>
  <si>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</si>
  <si>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</si>
  <si>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</si>
  <si>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</si>
  <si>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</si>
  <si>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</si>
  <si>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</si>
  <si>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</si>
  <si>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</si>
  <si>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</si>
  <si>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</si>
  <si>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</si>
  <si>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</si>
  <si>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</si>
  <si>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</si>
  <si>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</si>
  <si>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</si>
  <si>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</si>
  <si>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</si>
  <si>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</si>
  <si>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</si>
  <si>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</si>
  <si>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</si>
  <si>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</si>
  <si>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</si>
  <si>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</si>
  <si>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</si>
  <si>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</si>
  <si>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</si>
  <si>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</si>
  <si>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</si>
  <si>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</si>
  <si>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</si>
  <si>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</si>
  <si>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</si>
  <si>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</si>
  <si>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</si>
  <si>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</si>
  <si>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</si>
  <si>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</si>
  <si>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</si>
  <si>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</si>
  <si>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</si>
  <si>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</si>
  <si>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</si>
  <si>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</si>
  <si>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</si>
  <si>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</si>
  <si>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</si>
  <si>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</si>
  <si>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</si>
  <si>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</si>
  <si>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</si>
  <si>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</si>
  <si>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</si>
  <si>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</si>
  <si>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</si>
  <si>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</si>
  <si>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</si>
  <si>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</si>
  <si>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</si>
  <si>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</si>
  <si>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</si>
  <si>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</si>
  <si>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</si>
  <si>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</si>
  <si>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</si>
  <si>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</si>
  <si>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</si>
  <si>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</si>
  <si>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</si>
  <si>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</si>
  <si>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</si>
  <si>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</si>
  <si>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</si>
  <si>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</si>
  <si>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</si>
  <si>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</si>
  <si>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</si>
  <si>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</si>
  <si>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</si>
  <si>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</si>
  <si>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</si>
  <si>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</si>
  <si>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</si>
  <si>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</si>
  <si>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</si>
  <si>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</si>
  <si>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</si>
  <si>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</si>
  <si>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</si>
  <si>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</si>
  <si>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</si>
  <si>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</si>
  <si>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</si>
  <si>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</si>
  <si>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</si>
  <si>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</si>
  <si>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</si>
  <si>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</si>
  <si>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</si>
  <si>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</si>
  <si>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</si>
  <si>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</si>
  <si>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</si>
  <si>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</si>
  <si>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</si>
  <si>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</si>
  <si>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</si>
  <si>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</si>
  <si>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</si>
  <si>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</si>
  <si>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</si>
  <si>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</si>
  <si>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</si>
  <si>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</si>
  <si>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</si>
  <si>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</si>
  <si>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</si>
  <si>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</si>
  <si>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</si>
  <si>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</si>
  <si>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</si>
  <si>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</si>
  <si>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</si>
  <si>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</si>
  <si>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</si>
  <si>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</si>
  <si>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</si>
  <si>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</si>
  <si>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</si>
  <si>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</si>
  <si>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</si>
  <si>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</si>
  <si>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</si>
  <si>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</si>
  <si>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</si>
  <si>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</si>
  <si>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</si>
  <si>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</si>
  <si>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</si>
  <si>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</si>
  <si>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</si>
  <si>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</si>
  <si>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</si>
  <si>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</si>
  <si>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</si>
  <si>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</si>
  <si>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</si>
  <si>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</si>
  <si>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</si>
  <si>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</si>
  <si>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</si>
  <si>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</si>
  <si>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</si>
  <si>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</si>
  <si>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</si>
  <si>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</si>
  <si>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</si>
  <si>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</si>
  <si>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</si>
  <si>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</si>
  <si>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</si>
  <si>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</si>
  <si>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</si>
  <si>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</si>
  <si>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</si>
  <si>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</si>
  <si>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</si>
  <si>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</si>
  <si>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</si>
  <si>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</si>
  <si>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</si>
  <si>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</si>
  <si>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</si>
  <si>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</si>
  <si>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</si>
  <si>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</si>
  <si>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</si>
  <si>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</si>
  <si>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</si>
  <si>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</si>
  <si>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</si>
  <si>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</si>
  <si>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</si>
  <si>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</si>
  <si>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</si>
  <si>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</si>
  <si>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</si>
  <si>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</si>
  <si>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</si>
  <si>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</si>
  <si>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</si>
  <si>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</si>
  <si>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</si>
  <si>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</si>
  <si>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</si>
  <si>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</si>
  <si>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</si>
  <si>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</si>
  <si>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</si>
  <si>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</si>
  <si>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</si>
  <si>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</si>
  <si>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</si>
  <si>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</si>
  <si>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</si>
  <si>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</si>
  <si>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</si>
  <si>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</si>
  <si>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</si>
  <si>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</si>
  <si>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</si>
  <si>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</si>
  <si>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</si>
  <si>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</si>
  <si>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</si>
  <si>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</si>
  <si>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</si>
  <si>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</si>
  <si>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</si>
  <si>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</si>
  <si>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</si>
  <si>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</si>
  <si>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</si>
  <si>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</si>
  <si>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</si>
  <si>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</si>
  <si>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</si>
  <si>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</si>
  <si>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</si>
  <si>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</si>
  <si>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</si>
  <si>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</si>
  <si>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</si>
  <si>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</si>
  <si>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</si>
  <si>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</si>
  <si>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</si>
  <si>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</si>
  <si>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</si>
  <si>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</si>
  <si>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</si>
  <si>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</si>
  <si>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</si>
  <si>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</si>
  <si>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</si>
  <si>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</si>
  <si>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</si>
  <si>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</si>
  <si>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</si>
  <si>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</si>
  <si>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</si>
  <si>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</si>
  <si>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</si>
  <si>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</si>
  <si>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</si>
  <si>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</si>
  <si>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</si>
  <si>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</si>
  <si>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</si>
  <si>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</si>
  <si>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</si>
  <si>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</si>
  <si>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</si>
  <si>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</si>
  <si>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</si>
  <si>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</si>
  <si>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</si>
  <si>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</si>
  <si>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</si>
  <si>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</si>
  <si>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</si>
  <si>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</si>
  <si>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</si>
  <si>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</si>
  <si>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</si>
  <si>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</si>
  <si>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</si>
  <si>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</si>
  <si>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</si>
  <si>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</si>
  <si>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</si>
  <si>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</si>
  <si>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</si>
  <si>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</si>
  <si>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</si>
  <si>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</si>
  <si>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</si>
  <si>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</si>
  <si>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</si>
  <si>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</si>
  <si>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</si>
  <si>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</si>
  <si>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</si>
  <si>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</si>
  <si>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</si>
  <si>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</si>
  <si>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</si>
  <si>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</si>
  <si>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</si>
  <si>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</si>
  <si>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</si>
  <si>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</si>
  <si>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</si>
  <si>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</si>
  <si>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</si>
  <si>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</si>
  <si>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</si>
  <si>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</si>
  <si>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</si>
  <si>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</si>
  <si>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</si>
  <si>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</si>
  <si>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</si>
  <si>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</si>
  <si>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</si>
  <si>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</si>
  <si>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</si>
  <si>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</si>
  <si>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</si>
  <si>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</si>
  <si>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</si>
  <si>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</si>
  <si>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</si>
  <si>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</si>
  <si>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</si>
  <si>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</si>
  <si>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</si>
  <si>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</si>
  <si>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</si>
  <si>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</si>
  <si>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</si>
  <si>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</si>
  <si>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</si>
  <si>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</si>
  <si>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</si>
  <si>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</si>
  <si>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</si>
  <si>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</si>
  <si>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</si>
  <si>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</si>
  <si>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</si>
  <si>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</si>
  <si>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</si>
  <si>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</si>
  <si>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</si>
  <si>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</si>
  <si>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</si>
  <si>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</si>
  <si>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</si>
  <si>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</si>
  <si>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</si>
  <si>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</si>
  <si>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</si>
  <si>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</si>
  <si>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</si>
  <si>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</si>
  <si>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</si>
  <si>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</si>
  <si>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</si>
  <si>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</si>
  <si>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</si>
  <si>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</si>
  <si>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</si>
  <si>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</si>
  <si>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</si>
  <si>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</si>
  <si>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</si>
  <si>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</si>
  <si>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</si>
  <si>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</si>
  <si>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</si>
  <si>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</si>
  <si>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</si>
  <si>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</si>
  <si>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</si>
  <si>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</si>
  <si>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</si>
  <si>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</si>
  <si>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</si>
  <si>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</si>
  <si>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</si>
  <si>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</si>
  <si>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</si>
  <si>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</si>
  <si>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</si>
  <si>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</si>
  <si>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</si>
  <si>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</si>
  <si>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</si>
  <si>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</si>
  <si>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</si>
  <si>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</si>
  <si>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</si>
  <si>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</si>
  <si>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</si>
  <si>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</si>
  <si>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</si>
  <si>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</si>
  <si>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</si>
  <si>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</si>
  <si>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</si>
  <si>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</si>
  <si>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</si>
  <si>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</si>
  <si>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</si>
  <si>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</si>
  <si>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</si>
  <si>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</si>
  <si>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</si>
  <si>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</si>
  <si>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</si>
  <si>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</si>
  <si>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</si>
  <si>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</si>
  <si>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</si>
  <si>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</si>
  <si>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</si>
  <si>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</si>
  <si>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</si>
  <si>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</si>
  <si>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</si>
  <si>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</si>
  <si>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</si>
  <si>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</si>
  <si>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</si>
  <si>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</si>
  <si>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</si>
  <si>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</si>
  <si>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</si>
  <si>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</si>
  <si>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</si>
  <si>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</si>
  <si>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</si>
  <si>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</si>
  <si>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</si>
  <si>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</si>
  <si>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</si>
  <si>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</si>
  <si>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</si>
  <si>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</si>
  <si>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</si>
  <si>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</si>
  <si>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</si>
  <si>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</si>
  <si>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</si>
  <si>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</si>
  <si>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</si>
  <si>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</si>
  <si>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</si>
  <si>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</si>
  <si>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</si>
  <si>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</si>
  <si>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</si>
  <si>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</si>
  <si>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</si>
  <si>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</si>
  <si>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</si>
  <si>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</si>
  <si>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</si>
  <si>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</si>
  <si>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</si>
  <si>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</si>
  <si>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</si>
  <si>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</si>
  <si>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</si>
  <si>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</si>
  <si>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</si>
  <si>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</si>
  <si>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</si>
  <si>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</si>
  <si>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</si>
  <si>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</si>
  <si>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</si>
  <si>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</si>
  <si>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</si>
  <si>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</si>
  <si>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</si>
  <si>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</si>
  <si>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</si>
  <si>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</si>
  <si>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</si>
  <si>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</si>
  <si>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</si>
  <si>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</si>
  <si>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</si>
  <si>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</si>
  <si>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</si>
  <si>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</si>
  <si>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</si>
  <si>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</si>
  <si>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</si>
  <si>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</si>
  <si>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</si>
  <si>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</si>
  <si>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</si>
  <si>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</si>
  <si>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</si>
  <si>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</si>
  <si>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</si>
  <si>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</si>
  <si>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</si>
  <si>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</si>
  <si>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</si>
  <si>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</si>
  <si>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</si>
  <si>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</si>
  <si>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</si>
  <si>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</si>
  <si>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</si>
  <si>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</si>
  <si>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</si>
  <si>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</si>
  <si>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</si>
  <si>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</si>
  <si>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</si>
  <si>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</si>
  <si>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</si>
  <si>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</si>
  <si>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</si>
  <si>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</si>
  <si>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</si>
  <si>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</si>
  <si>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</si>
  <si>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</si>
  <si>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</si>
  <si>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</si>
  <si>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</si>
  <si>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</si>
  <si>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</si>
  <si>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</si>
  <si>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</si>
  <si>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</si>
  <si>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</si>
  <si>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</si>
  <si>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</si>
  <si>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</si>
  <si>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</si>
  <si>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</si>
  <si>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</si>
  <si>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</si>
  <si>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</si>
  <si>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</si>
  <si>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</si>
  <si>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</si>
  <si>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</si>
  <si>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</si>
  <si>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</si>
  <si>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</si>
  <si>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</si>
  <si>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</si>
  <si>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</si>
  <si>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</si>
  <si>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</si>
  <si>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</si>
  <si>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</si>
  <si>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</si>
  <si>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</si>
  <si>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</si>
  <si>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</si>
  <si>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</si>
  <si>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</si>
  <si>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</si>
  <si>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</si>
  <si>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</si>
  <si>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</si>
  <si>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</si>
  <si>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</si>
  <si>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</si>
  <si>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</si>
  <si>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</si>
  <si>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</si>
  <si>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</si>
  <si>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</si>
  <si>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</si>
  <si>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</si>
  <si>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</si>
  <si>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</si>
  <si>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</si>
  <si>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</si>
  <si>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</si>
  <si>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</si>
  <si>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</si>
  <si>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</si>
  <si>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</si>
  <si>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</si>
  <si>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</si>
  <si>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</si>
  <si>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</si>
  <si>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</si>
  <si>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</si>
  <si>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</si>
  <si>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</si>
  <si>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</si>
  <si>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</si>
  <si>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</si>
  <si>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</si>
  <si>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</si>
  <si>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</si>
  <si>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</si>
  <si>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</si>
  <si>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</si>
  <si>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</si>
  <si>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</si>
  <si>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</si>
  <si>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</si>
  <si>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</si>
  <si>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</si>
  <si>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</si>
  <si>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</si>
  <si>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</si>
  <si>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</si>
  <si>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</si>
  <si>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</si>
  <si>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</si>
  <si>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</si>
  <si>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</si>
  <si>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</si>
  <si>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</si>
  <si>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</si>
  <si>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</si>
  <si>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</si>
  <si>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</si>
  <si>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</si>
  <si>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</si>
  <si>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</si>
  <si>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</si>
  <si>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</si>
  <si>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</si>
  <si>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</si>
  <si>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</si>
  <si>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</si>
  <si>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</si>
  <si>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</si>
  <si>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</si>
  <si>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</si>
  <si>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</si>
  <si>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</si>
  <si>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</si>
  <si>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</si>
  <si>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</si>
  <si>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</si>
  <si>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</si>
  <si>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</si>
  <si>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</si>
  <si>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</si>
  <si>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</si>
  <si>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</si>
  <si>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</si>
  <si>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</si>
  <si>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</si>
  <si>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</si>
  <si>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</si>
  <si>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</si>
  <si>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</si>
  <si>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</si>
  <si>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</si>
  <si>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</si>
  <si>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</si>
  <si>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</si>
  <si>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</si>
  <si>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</si>
  <si>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</si>
  <si>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</si>
  <si>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</si>
  <si>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</si>
  <si>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</si>
  <si>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</si>
  <si>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</si>
  <si>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</si>
  <si>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</si>
  <si>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</si>
  <si>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</si>
  <si>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</si>
  <si>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</si>
  <si>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</si>
  <si>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</si>
  <si>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</si>
  <si>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</si>
  <si>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</si>
  <si>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</si>
  <si>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</si>
  <si>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</si>
  <si>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</si>
  <si>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</si>
  <si>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</si>
  <si>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</si>
  <si>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</si>
  <si>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</si>
  <si>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</si>
  <si>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</si>
  <si>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</si>
  <si>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</si>
  <si>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</si>
  <si>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</si>
  <si>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</si>
  <si>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</si>
  <si>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</si>
  <si>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</si>
  <si>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</si>
  <si>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</si>
  <si>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</si>
  <si>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</si>
  <si>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</si>
  <si>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</si>
  <si>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</si>
  <si>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</si>
  <si>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</si>
  <si>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</si>
  <si>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</si>
  <si>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</si>
  <si>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</si>
  <si>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</si>
  <si>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</si>
  <si>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</si>
  <si>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</si>
  <si>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</si>
  <si>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</si>
  <si>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</si>
  <si>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</si>
  <si>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</si>
  <si>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</si>
  <si>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</si>
  <si>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</si>
  <si>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</si>
  <si>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</si>
  <si>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</si>
  <si>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</si>
  <si>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</si>
  <si>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</si>
  <si>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</si>
  <si>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</si>
  <si>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</si>
  <si>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</si>
  <si>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</si>
  <si>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</si>
  <si>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</si>
  <si>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</si>
  <si>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</si>
  <si>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</si>
  <si>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</si>
  <si>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</si>
  <si>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</si>
  <si>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</si>
  <si>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</si>
  <si>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</si>
  <si>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</si>
  <si>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</si>
  <si>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</si>
  <si>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</si>
  <si>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</si>
  <si>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</si>
  <si>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</si>
  <si>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</si>
  <si>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</si>
  <si>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</si>
  <si>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</si>
  <si>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</si>
  <si>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</si>
  <si>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</si>
  <si>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</si>
  <si>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</si>
  <si>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</si>
  <si>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</si>
  <si>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</si>
  <si>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</si>
  <si>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</si>
  <si>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</si>
  <si>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</si>
  <si>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</si>
  <si>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</si>
  <si>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</si>
  <si>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</si>
  <si>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</si>
  <si>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</si>
  <si>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</si>
  <si>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</si>
  <si>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</si>
  <si>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</si>
  <si>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</si>
  <si>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</si>
  <si>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</si>
  <si>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</si>
  <si>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</si>
  <si>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</si>
  <si>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</si>
  <si>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</si>
  <si>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</si>
  <si>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</si>
  <si>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</si>
  <si>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</si>
  <si>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</si>
  <si>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</si>
  <si>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</si>
  <si>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</si>
  <si>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</si>
  <si>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</si>
  <si>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</si>
  <si>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</si>
  <si>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</si>
  <si>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</si>
  <si>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</si>
  <si>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</si>
  <si>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</si>
  <si>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</si>
  <si>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</si>
  <si>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</si>
  <si>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</si>
  <si>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</si>
  <si>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</si>
  <si>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</si>
  <si>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</si>
  <si>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</si>
  <si>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</si>
  <si>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</si>
  <si>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</si>
  <si>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</si>
  <si>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</si>
  <si>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</si>
  <si>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</si>
  <si>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</si>
  <si>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</si>
  <si>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</si>
  <si>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</si>
  <si>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</si>
  <si>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</si>
  <si>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</si>
  <si>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</si>
  <si>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</si>
  <si>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</si>
  <si>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</si>
  <si>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</si>
  <si>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</si>
  <si>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</si>
  <si>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</si>
  <si>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</si>
  <si>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</si>
  <si>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</si>
  <si>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</si>
  <si>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</si>
  <si>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</si>
  <si>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</si>
  <si>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</si>
  <si>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</si>
  <si>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</si>
  <si>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</si>
  <si>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</si>
  <si>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</si>
  <si>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</si>
  <si>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</si>
  <si>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</si>
  <si>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</si>
  <si>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</si>
  <si>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</si>
  <si>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</si>
  <si>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</si>
  <si>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</si>
  <si>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</si>
  <si>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</si>
  <si>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</si>
  <si>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</si>
  <si>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</si>
  <si>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</si>
  <si>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</si>
  <si>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</si>
  <si>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</si>
  <si>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</si>
  <si>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</si>
  <si>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</si>
  <si>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</si>
  <si>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</si>
  <si>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</si>
  <si>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</si>
  <si>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</si>
  <si>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</si>
  <si>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</si>
  <si>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</si>
  <si>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</si>
  <si>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</si>
  <si>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</si>
  <si>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</si>
  <si>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</si>
  <si>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</si>
  <si>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</si>
  <si>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</si>
  <si>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</si>
  <si>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</si>
  <si>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</si>
  <si>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</si>
  <si>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</si>
  <si>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</si>
  <si>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</si>
  <si>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</si>
  <si>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</si>
  <si>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</si>
  <si>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</si>
  <si>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</si>
  <si>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</si>
  <si>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</si>
  <si>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</si>
  <si>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</si>
  <si>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</si>
  <si>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</si>
  <si>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</si>
  <si>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</si>
  <si>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</si>
  <si>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</si>
  <si>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</si>
  <si>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</si>
  <si>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</si>
  <si>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</si>
  <si>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</si>
  <si>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</si>
  <si>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</si>
  <si>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</si>
  <si>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</si>
  <si>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</si>
  <si>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</si>
  <si>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</si>
  <si>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</si>
  <si>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</si>
  <si>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</si>
  <si>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</si>
  <si>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</si>
  <si>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</si>
  <si>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</si>
  <si>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</si>
  <si>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</si>
  <si>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</si>
  <si>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</si>
  <si>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</si>
  <si>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</si>
  <si>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</si>
  <si>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</si>
  <si>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</si>
  <si>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</si>
  <si>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</si>
  <si>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</si>
  <si>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</si>
  <si>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</si>
  <si>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</si>
  <si>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</si>
  <si>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</si>
  <si>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</si>
  <si>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</si>
  <si>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</si>
  <si>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</si>
  <si>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</si>
  <si>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</si>
  <si>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</si>
  <si>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</si>
  <si>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</si>
  <si>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</si>
  <si>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</si>
  <si>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</si>
  <si>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</si>
  <si>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</si>
  <si>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</si>
  <si>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</si>
  <si>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</si>
  <si>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</si>
  <si>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</si>
  <si>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</si>
  <si>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</si>
  <si>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</si>
  <si>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</si>
  <si>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</si>
  <si>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</si>
  <si>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</si>
  <si>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</si>
  <si>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</si>
  <si>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</si>
  <si>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</si>
  <si>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</si>
  <si>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</si>
  <si>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</si>
  <si>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</si>
  <si>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</si>
  <si>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</si>
  <si>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</si>
  <si>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</si>
  <si>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</si>
  <si>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</si>
  <si>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</si>
  <si>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</si>
  <si>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</si>
  <si>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</si>
  <si>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</si>
  <si>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</si>
  <si>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</si>
  <si>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</si>
  <si>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</si>
  <si>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</si>
  <si>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</si>
  <si>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</si>
  <si>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</si>
  <si>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</si>
  <si>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</si>
  <si>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</si>
  <si>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</si>
  <si>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</si>
  <si>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</si>
  <si>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</si>
  <si>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</si>
  <si>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</si>
  <si>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</si>
  <si>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</si>
  <si>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</si>
  <si>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</si>
  <si>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</si>
  <si>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</si>
  <si>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</si>
  <si>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</si>
  <si>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</si>
  <si>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</si>
  <si>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</si>
  <si>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</si>
  <si>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</si>
  <si>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</si>
  <si>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</si>
  <si>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</si>
  <si>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</si>
  <si>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</si>
  <si>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</si>
  <si>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</si>
  <si>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</si>
  <si>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</si>
  <si>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</si>
  <si>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</si>
  <si>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</si>
  <si>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</si>
  <si>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</si>
  <si>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</si>
  <si>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</si>
  <si>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</si>
  <si>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</si>
  <si>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</si>
  <si>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</si>
  <si>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</si>
  <si>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</si>
  <si>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</si>
  <si>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</si>
  <si>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</si>
  <si>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</si>
  <si>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</si>
  <si>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</si>
  <si>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</si>
  <si>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</si>
  <si>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</si>
  <si>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</si>
  <si>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</si>
  <si>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</si>
  <si>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</si>
  <si>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</si>
  <si>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</si>
  <si>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</si>
  <si>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</si>
  <si>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</si>
  <si>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</si>
  <si>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</si>
  <si>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</si>
  <si>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</si>
  <si>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</si>
  <si>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</si>
  <si>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</si>
  <si>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</si>
  <si>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</si>
  <si>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</si>
  <si>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</si>
  <si>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</si>
  <si>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</si>
  <si>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</si>
  <si>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</si>
  <si>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</si>
  <si>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</si>
  <si>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</si>
  <si>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</si>
  <si>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</si>
  <si>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</si>
  <si>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</si>
  <si>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</si>
  <si>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</si>
  <si>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</si>
  <si>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</si>
  <si>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</si>
  <si>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</si>
  <si>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</si>
  <si>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</si>
  <si>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</si>
  <si>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</si>
  <si>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</si>
  <si>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</si>
  <si>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</si>
  <si>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</si>
  <si>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</si>
  <si>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</si>
  <si>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</si>
  <si>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</si>
  <si>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</si>
  <si>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</si>
  <si>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</si>
  <si>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</si>
  <si>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</si>
  <si>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</si>
  <si>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</si>
  <si>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</si>
  <si>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</si>
  <si>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</si>
  <si>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</si>
  <si>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</si>
  <si>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</si>
  <si>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</si>
  <si>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</si>
  <si>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</si>
  <si>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</si>
  <si>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</si>
  <si>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</si>
  <si>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</si>
  <si>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</si>
  <si>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</si>
  <si>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</si>
  <si>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</si>
  <si>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</si>
  <si>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</si>
  <si>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</si>
  <si>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</si>
  <si>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</si>
  <si>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</si>
  <si>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</si>
  <si>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</si>
  <si>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</si>
  <si>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</si>
  <si>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</si>
  <si>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</si>
  <si>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</si>
  <si>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</si>
  <si>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</si>
  <si>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</si>
  <si>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</si>
  <si>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</si>
  <si>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</si>
  <si>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</si>
  <si>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</si>
  <si>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</si>
  <si>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</si>
  <si>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</si>
  <si>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</si>
  <si>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</si>
  <si>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</si>
  <si>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</si>
  <si>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</si>
  <si>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</si>
  <si>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</si>
  <si>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</si>
  <si>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</si>
  <si>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</si>
  <si>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</si>
  <si>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</si>
  <si>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</si>
  <si>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</si>
  <si>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</si>
  <si>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</si>
  <si>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</si>
  <si>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</si>
  <si>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</si>
  <si>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</si>
  <si>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</si>
  <si>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</si>
  <si>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</si>
  <si>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</si>
  <si>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</si>
  <si>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</si>
  <si>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</si>
  <si>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</si>
  <si>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</si>
  <si>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</si>
  <si>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</si>
  <si>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</si>
  <si>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</si>
  <si>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</si>
  <si>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</si>
  <si>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</si>
  <si>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</si>
  <si>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</si>
  <si>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</si>
  <si>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</si>
  <si>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</si>
  <si>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</si>
  <si>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</si>
  <si>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</si>
  <si>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</si>
  <si>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</si>
  <si>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</si>
  <si>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</si>
  <si>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</si>
  <si>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</si>
  <si>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</si>
  <si>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</si>
  <si>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</si>
  <si>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</si>
  <si>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</si>
  <si>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</si>
  <si>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</si>
  <si>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</si>
  <si>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</si>
  <si>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</si>
  <si>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</si>
  <si>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</si>
  <si>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</si>
  <si>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</si>
  <si>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</si>
  <si>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</si>
  <si>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</si>
  <si>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</si>
  <si>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</si>
  <si>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</si>
  <si>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</si>
  <si>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</si>
  <si>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</si>
  <si>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</si>
  <si>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</si>
  <si>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</si>
  <si>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</si>
  <si>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</si>
  <si>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</si>
  <si>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</si>
  <si>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</si>
  <si>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</si>
  <si>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</si>
  <si>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</si>
  <si>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</si>
  <si>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</si>
  <si>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</si>
  <si>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</si>
  <si>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</si>
  <si>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</si>
  <si>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</si>
  <si>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</si>
  <si>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</si>
  <si>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</si>
  <si>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</si>
  <si>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</si>
  <si>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</si>
  <si>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</si>
  <si>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</si>
  <si>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</si>
  <si>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</si>
  <si>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</si>
  <si>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</si>
  <si>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</si>
  <si>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</si>
  <si>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</si>
  <si>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</si>
  <si>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</si>
  <si>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</si>
  <si>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</si>
  <si>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</si>
  <si>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</si>
  <si>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</si>
  <si>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</si>
  <si>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</si>
  <si>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</si>
  <si>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</si>
  <si>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</si>
  <si>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</si>
  <si>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</si>
  <si>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</si>
  <si>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</si>
  <si>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</si>
  <si>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</si>
  <si>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</si>
  <si>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</si>
  <si>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</si>
  <si>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</si>
  <si>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</si>
  <si>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</si>
  <si>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</si>
  <si>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</si>
  <si>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</si>
  <si>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</si>
  <si>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</si>
  <si>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</si>
  <si>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</si>
  <si>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</si>
  <si>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</si>
  <si>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</si>
  <si>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</si>
  <si>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</si>
  <si>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</si>
  <si>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</si>
  <si>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</si>
  <si>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</si>
  <si>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</si>
  <si>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</si>
  <si>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</si>
  <si>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</si>
  <si>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</si>
  <si>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</si>
  <si>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</si>
  <si>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</si>
  <si>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</si>
  <si>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</si>
  <si>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</si>
  <si>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</si>
  <si>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</si>
  <si>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</si>
  <si>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</si>
  <si>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</si>
  <si>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</si>
  <si>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</si>
  <si>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</si>
  <si>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</si>
  <si>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</si>
  <si>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</si>
  <si>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</si>
  <si>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</si>
  <si>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</si>
  <si>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</si>
  <si>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</si>
  <si>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</si>
  <si>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</si>
  <si>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</si>
  <si>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</si>
  <si>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</si>
  <si>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</si>
  <si>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</si>
  <si>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</si>
  <si>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</si>
  <si>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</si>
  <si>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</si>
  <si>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</si>
  <si>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</si>
  <si>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</si>
  <si>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</si>
  <si>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</si>
  <si>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</si>
  <si>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</si>
  <si>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</si>
  <si>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</si>
  <si>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</si>
  <si>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</si>
  <si>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</si>
  <si>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</si>
  <si>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</si>
  <si>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</si>
  <si>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</si>
  <si>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</si>
  <si>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</si>
  <si>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</si>
  <si>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</si>
  <si>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</si>
  <si>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</si>
  <si>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</si>
  <si>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</si>
  <si>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</si>
  <si>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</si>
  <si>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</si>
  <si>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</si>
  <si>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</si>
  <si>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</si>
  <si>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</si>
  <si>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</si>
  <si>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</si>
  <si>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</si>
  <si>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</si>
  <si>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</si>
  <si>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</si>
  <si>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</si>
  <si>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</si>
  <si>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</si>
  <si>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</si>
  <si>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</si>
  <si>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</si>
  <si>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</si>
  <si>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</si>
  <si>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</si>
  <si>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</si>
  <si>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</si>
  <si>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</si>
  <si>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</si>
  <si>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</si>
  <si>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</si>
  <si>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</si>
  <si>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</si>
  <si>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</si>
  <si>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</si>
  <si>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</si>
  <si>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</si>
  <si>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</si>
  <si>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</si>
  <si>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</si>
  <si>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</si>
  <si>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</si>
  <si>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</si>
  <si>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</si>
  <si>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</si>
  <si>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</si>
  <si>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</si>
  <si>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</si>
  <si>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</si>
  <si>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</si>
  <si>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</si>
  <si>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</si>
  <si>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</si>
  <si>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</si>
  <si>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</si>
  <si>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</si>
  <si>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</si>
  <si>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</si>
  <si>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</si>
  <si>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</si>
  <si>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</si>
  <si>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</si>
  <si>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</si>
  <si>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</si>
  <si>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</si>
  <si>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</si>
  <si>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</si>
  <si>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</si>
  <si>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</si>
  <si>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</si>
  <si>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</si>
  <si>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</si>
  <si>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</si>
  <si>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</si>
  <si>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</si>
  <si>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</si>
  <si>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</si>
  <si>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</si>
  <si>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</si>
  <si>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</si>
  <si>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</si>
  <si>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</si>
  <si>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</si>
  <si>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</si>
  <si>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</si>
  <si>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</si>
  <si>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</si>
  <si>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</si>
  <si>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</si>
  <si>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</si>
  <si>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</si>
  <si>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</si>
  <si>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</si>
  <si>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</si>
  <si>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</si>
  <si>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</si>
  <si>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</si>
  <si>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</si>
  <si>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</si>
  <si>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</si>
  <si>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</si>
  <si>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</si>
  <si>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</si>
  <si>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</si>
  <si>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</si>
  <si>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</si>
  <si>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</si>
  <si>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</si>
  <si>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</si>
  <si>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</si>
  <si>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</si>
  <si>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</si>
  <si>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</si>
  <si>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</si>
  <si>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</si>
  <si>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</si>
  <si>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</si>
  <si>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</si>
  <si>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</si>
  <si>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</si>
  <si>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</si>
  <si>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</si>
  <si>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</si>
  <si>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</si>
  <si>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</si>
  <si>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</si>
  <si>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</si>
  <si>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</si>
  <si>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</si>
  <si>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</si>
  <si>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</si>
  <si>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</si>
  <si>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</si>
  <si>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</si>
  <si>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</si>
  <si>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</si>
  <si>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</si>
  <si>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</si>
  <si>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</si>
  <si>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</si>
  <si>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</si>
  <si>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</si>
  <si>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</si>
  <si>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</si>
  <si>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</si>
  <si>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</si>
  <si>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</si>
  <si>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</si>
  <si>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</si>
  <si>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</si>
  <si>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</si>
  <si>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</si>
  <si>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</si>
  <si>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</si>
  <si>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</si>
  <si>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</si>
  <si>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</si>
  <si>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</si>
  <si>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</si>
  <si>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</si>
  <si>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</si>
  <si>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</si>
  <si>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</si>
  <si>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</si>
  <si>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</si>
  <si>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</si>
  <si>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</si>
  <si>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</si>
  <si>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</si>
  <si>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</si>
  <si>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</si>
  <si>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</si>
  <si>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</si>
  <si>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</si>
  <si>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</si>
  <si>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</si>
  <si>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</si>
  <si>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</si>
  <si>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</si>
  <si>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</si>
  <si>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</si>
  <si>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</si>
  <si>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</si>
  <si>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</si>
  <si>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</si>
  <si>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</si>
  <si>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</si>
  <si>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</si>
  <si>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</si>
  <si>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</si>
  <si>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</si>
  <si>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</si>
  <si>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</si>
  <si>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</si>
  <si>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</si>
  <si>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</si>
  <si>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</si>
  <si>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</si>
  <si>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</si>
  <si>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</si>
  <si>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</si>
  <si>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</si>
  <si>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</si>
  <si>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</si>
  <si>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</si>
  <si>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</si>
  <si>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</si>
  <si>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</si>
  <si>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</si>
  <si>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</si>
  <si>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</si>
  <si>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</si>
  <si>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</si>
  <si>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</si>
  <si>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</si>
  <si>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</si>
  <si>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</si>
  <si>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</si>
  <si>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</si>
  <si>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</si>
  <si>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</si>
  <si>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</si>
  <si>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</si>
  <si>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</si>
  <si>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</si>
  <si>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</si>
  <si>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</si>
  <si>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</si>
  <si>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</si>
  <si>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</si>
  <si>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</si>
  <si>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</si>
  <si>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</si>
  <si>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</si>
  <si>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</si>
  <si>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</si>
  <si>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</si>
  <si>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</si>
  <si>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</si>
  <si>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</si>
  <si>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</si>
  <si>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</si>
  <si>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</si>
  <si>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</si>
  <si>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</si>
  <si>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</si>
  <si>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</si>
  <si>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</si>
  <si>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</si>
  <si>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</si>
  <si>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</si>
  <si>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</si>
  <si>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</si>
  <si>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</si>
  <si>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</si>
  <si>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</si>
  <si>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</si>
  <si>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</si>
  <si>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</si>
  <si>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</si>
  <si>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</si>
  <si>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</si>
  <si>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</si>
  <si>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</si>
  <si>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</si>
  <si>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</si>
  <si>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</si>
  <si>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</si>
  <si>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</si>
  <si>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</si>
  <si>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</si>
  <si>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</si>
  <si>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</si>
  <si>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</si>
  <si>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</si>
  <si>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</si>
  <si>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</si>
  <si>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</si>
  <si>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</si>
  <si>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</si>
  <si>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</si>
  <si>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</si>
  <si>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</si>
  <si>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</si>
  <si>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</si>
  <si>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</si>
  <si>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</si>
  <si>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</si>
  <si>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</si>
  <si>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</si>
  <si>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</si>
  <si>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</si>
  <si>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</si>
  <si>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</si>
  <si>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</si>
  <si>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</si>
  <si>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</si>
  <si>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</si>
  <si>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</si>
  <si>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</si>
  <si>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</si>
  <si>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</si>
  <si>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</si>
  <si>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</si>
  <si>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</si>
  <si>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</si>
  <si>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</si>
  <si>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</si>
  <si>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</si>
  <si>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</si>
  <si>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</si>
  <si>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</si>
  <si>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</si>
  <si>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</si>
  <si>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</si>
  <si>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</si>
  <si>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</si>
  <si>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</si>
  <si>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</si>
  <si>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</si>
  <si>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</si>
  <si>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</si>
  <si>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</si>
  <si>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</si>
  <si>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</si>
  <si>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</si>
  <si>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</si>
  <si>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</si>
  <si>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</si>
  <si>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</si>
  <si>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</si>
  <si>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</si>
  <si>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</si>
  <si>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</si>
  <si>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</si>
  <si>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</si>
  <si>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</si>
  <si>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</si>
  <si>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</si>
  <si>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</si>
  <si>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</si>
  <si>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</si>
  <si>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</si>
  <si>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</si>
  <si>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</si>
  <si>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</si>
  <si>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</si>
  <si>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</si>
  <si>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</si>
  <si>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</si>
  <si>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</si>
  <si>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</si>
  <si>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</si>
  <si>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</si>
  <si>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</si>
  <si>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</si>
  <si>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</si>
  <si>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</si>
  <si>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</si>
  <si>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</si>
  <si>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</si>
  <si>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</si>
  <si>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</si>
  <si>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</si>
  <si>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</si>
  <si>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</si>
  <si>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</si>
  <si>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</si>
  <si>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</si>
  <si>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</si>
  <si>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</si>
  <si>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</si>
  <si>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</si>
  <si>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</si>
  <si>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</si>
  <si>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</si>
  <si>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</si>
  <si>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</si>
  <si>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</si>
  <si>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</si>
  <si>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</si>
  <si>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</si>
  <si>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</si>
  <si>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</si>
  <si>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</si>
  <si>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</si>
  <si>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</si>
  <si>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</si>
  <si>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</si>
  <si>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</si>
  <si>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</si>
  <si>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</si>
  <si>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</si>
  <si>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</si>
  <si>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</si>
  <si>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</si>
  <si>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</si>
  <si>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</si>
  <si>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</si>
  <si>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</si>
  <si>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</si>
  <si>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</si>
  <si>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</si>
  <si>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</si>
  <si>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</si>
  <si>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</si>
  <si>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</si>
  <si>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</si>
  <si>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</si>
  <si>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</si>
  <si>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</si>
  <si>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</si>
  <si>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</si>
  <si>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</si>
  <si>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</si>
  <si>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</si>
  <si>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</si>
  <si>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</si>
  <si>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</si>
  <si>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</si>
  <si>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</si>
  <si>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</si>
  <si>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</si>
  <si>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</si>
  <si>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</si>
  <si>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</si>
  <si>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</si>
  <si>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</si>
  <si>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</si>
  <si>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</si>
  <si>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</si>
  <si>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</si>
  <si>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</si>
  <si>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</si>
  <si>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</si>
  <si>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</si>
  <si>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</si>
  <si>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</si>
  <si>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</si>
  <si>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</si>
  <si>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</si>
  <si>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</si>
  <si>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</si>
  <si>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</si>
  <si>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</si>
  <si>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</si>
  <si>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</si>
  <si>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</si>
  <si>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</si>
  <si>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</si>
  <si>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</si>
  <si>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</si>
  <si>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</si>
  <si>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</si>
  <si>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</si>
  <si>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</si>
  <si>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</si>
  <si>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</si>
  <si>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</si>
  <si>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</si>
  <si>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</si>
  <si>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</si>
  <si>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</si>
  <si>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</si>
  <si>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</si>
  <si>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</si>
  <si>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</si>
  <si>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</si>
  <si>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</si>
  <si>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</si>
  <si>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</si>
  <si>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</si>
  <si>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</si>
  <si>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</si>
  <si>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</si>
  <si>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</si>
  <si>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</si>
  <si>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</si>
  <si>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</si>
  <si>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</si>
  <si>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</si>
  <si>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</si>
  <si>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</si>
  <si>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</si>
  <si>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</si>
  <si>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</si>
  <si>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</si>
  <si>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</si>
  <si>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</si>
  <si>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</si>
  <si>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</si>
  <si>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</si>
  <si>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</si>
  <si>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</si>
  <si>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</si>
  <si>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</si>
  <si>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</si>
  <si>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</si>
  <si>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</si>
  <si>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</si>
  <si>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</si>
  <si>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</si>
  <si>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</si>
  <si>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</si>
  <si>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</si>
  <si>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</si>
  <si>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</si>
  <si>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</si>
  <si>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</si>
  <si>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</si>
  <si>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</si>
  <si>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</si>
  <si>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</si>
  <si>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</si>
  <si>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</si>
  <si>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</si>
  <si>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</si>
  <si>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</si>
  <si>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</si>
  <si>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</si>
  <si>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</si>
  <si>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</si>
  <si>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</si>
  <si>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</si>
  <si>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</si>
  <si>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</si>
  <si>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</si>
  <si>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</si>
  <si>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</si>
  <si>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</si>
  <si>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</si>
  <si>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</si>
  <si>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</si>
  <si>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</si>
  <si>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</si>
  <si>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</si>
  <si>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</si>
  <si>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</si>
  <si>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</si>
  <si>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</si>
  <si>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</si>
  <si>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</si>
  <si>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</si>
  <si>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</si>
  <si>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</si>
  <si>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</si>
  <si>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</si>
  <si>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</si>
  <si>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</si>
  <si>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</si>
  <si>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</si>
  <si>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</si>
  <si>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</si>
  <si>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</si>
  <si>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</si>
  <si>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</si>
  <si>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</si>
  <si>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</si>
  <si>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</si>
  <si>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</si>
  <si>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</si>
  <si>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</si>
  <si>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</si>
  <si>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</si>
  <si>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</si>
  <si>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</si>
  <si>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</si>
  <si>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</si>
  <si>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</si>
  <si>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</si>
  <si>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</si>
  <si>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</si>
  <si>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</si>
  <si>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</si>
  <si>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</si>
  <si>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</si>
  <si>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</si>
  <si>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</si>
  <si>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</si>
  <si>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</si>
  <si>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</si>
  <si>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</si>
  <si>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</si>
  <si>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</si>
  <si>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</si>
  <si>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</si>
  <si>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</si>
  <si>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</si>
  <si>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</si>
  <si>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</si>
  <si>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</si>
  <si>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</si>
  <si>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</si>
  <si>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</si>
  <si>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</si>
  <si>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</si>
  <si>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</si>
  <si>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</si>
  <si>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</si>
  <si>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</si>
  <si>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</si>
  <si>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</si>
  <si>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</si>
  <si>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</si>
  <si>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</si>
  <si>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</si>
  <si>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</si>
  <si>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</si>
  <si>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</si>
  <si>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</si>
  <si>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</si>
  <si>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</si>
  <si>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</si>
  <si>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</si>
  <si>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</si>
  <si>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</si>
  <si>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</si>
  <si>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</si>
  <si>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</si>
  <si>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</si>
  <si>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</si>
  <si>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</si>
  <si>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</si>
  <si>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</si>
  <si>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</si>
  <si>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</si>
  <si>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</si>
  <si>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</si>
  <si>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</si>
  <si>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</si>
  <si>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</si>
  <si>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</si>
  <si>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</si>
  <si>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</si>
  <si>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</si>
  <si>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</si>
  <si>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</si>
  <si>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</si>
  <si>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</si>
  <si>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</si>
  <si>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</si>
  <si>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</si>
  <si>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</si>
  <si>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</si>
  <si>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</si>
  <si>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</si>
  <si>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</si>
  <si>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</si>
  <si>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</si>
  <si>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</si>
  <si>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</si>
  <si>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</si>
  <si>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</si>
  <si>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</si>
  <si>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</si>
  <si>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</si>
  <si>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</si>
  <si>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</si>
  <si>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</si>
  <si>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</si>
  <si>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</si>
  <si>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</si>
  <si>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</si>
  <si>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</si>
  <si>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</si>
  <si>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</si>
  <si>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</si>
  <si>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</si>
  <si>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</si>
  <si>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</si>
  <si>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</si>
  <si>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</si>
  <si>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</si>
  <si>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</si>
  <si>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</si>
  <si>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</si>
  <si>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</si>
  <si>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</si>
  <si>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</si>
  <si>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</si>
  <si>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</si>
  <si>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</si>
  <si>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</si>
  <si>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</si>
  <si>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</si>
  <si>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</si>
  <si>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</si>
  <si>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</si>
  <si>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</si>
  <si>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</si>
  <si>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</si>
  <si>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</si>
  <si>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</si>
  <si>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</si>
  <si>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</si>
  <si>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</si>
  <si>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</si>
  <si>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</si>
  <si>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</si>
  <si>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</si>
  <si>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</si>
  <si>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</si>
  <si>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</si>
  <si>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</si>
  <si>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</si>
  <si>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</si>
  <si>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</si>
  <si>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</si>
  <si>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</si>
  <si>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</si>
  <si>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</si>
  <si>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</si>
  <si>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</si>
  <si>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</si>
  <si>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</si>
  <si>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</si>
  <si>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</si>
  <si>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</si>
  <si>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</si>
  <si>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</si>
  <si>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</si>
  <si>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</si>
  <si>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</si>
  <si>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</si>
  <si>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</si>
  <si>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</si>
  <si>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</si>
  <si>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</si>
  <si>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</si>
  <si>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</si>
  <si>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</si>
  <si>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</si>
  <si>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</si>
  <si>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</si>
  <si>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</si>
  <si>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</si>
  <si>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</si>
  <si>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</si>
  <si>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</si>
  <si>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</si>
  <si>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</si>
  <si>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</si>
  <si>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</si>
  <si>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</si>
  <si>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</si>
  <si>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</si>
  <si>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</si>
  <si>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</si>
  <si>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</si>
  <si>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</si>
  <si>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</si>
  <si>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</si>
  <si>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</si>
  <si>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</si>
  <si>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</si>
  <si>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</si>
  <si>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</si>
  <si>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</si>
  <si>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</si>
  <si>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</si>
  <si>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</si>
  <si>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</si>
  <si>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</si>
  <si>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</si>
  <si>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</si>
  <si>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</si>
  <si>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</si>
  <si>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</si>
  <si>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</si>
  <si>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</si>
  <si>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</si>
  <si>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</si>
  <si>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</si>
  <si>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</si>
  <si>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</si>
  <si>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</si>
  <si>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</si>
  <si>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</si>
  <si>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</si>
  <si>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</si>
  <si>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</si>
  <si>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</si>
  <si>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</si>
  <si>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</si>
  <si>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</si>
  <si>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</si>
  <si>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</si>
  <si>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</si>
  <si>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</si>
  <si>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</si>
  <si>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</si>
  <si>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</si>
  <si>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</si>
  <si>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</si>
  <si>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</si>
  <si>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</si>
  <si>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</si>
  <si>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</si>
  <si>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</si>
  <si>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</si>
  <si>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</si>
  <si>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</si>
  <si>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</si>
  <si>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</si>
  <si>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</si>
  <si>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</si>
  <si>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</si>
  <si>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</si>
  <si>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</si>
  <si>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</si>
  <si>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</si>
  <si>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</si>
  <si>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</si>
  <si>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</si>
  <si>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</si>
  <si>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</si>
  <si>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</si>
  <si>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</si>
  <si>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</si>
  <si>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</si>
  <si>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</si>
  <si>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</si>
  <si>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</si>
  <si>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</si>
  <si>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</si>
  <si>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</si>
  <si>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</si>
  <si>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</si>
  <si>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</si>
  <si>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</si>
  <si>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</si>
  <si>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</si>
  <si>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</si>
  <si>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</si>
  <si>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</si>
  <si>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</si>
  <si>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</si>
  <si>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</si>
  <si>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</si>
  <si>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</si>
  <si>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</si>
  <si>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</si>
  <si>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</si>
  <si>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</si>
  <si>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</si>
  <si>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</si>
  <si>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</si>
  <si>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</si>
  <si>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</si>
  <si>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</si>
  <si>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</si>
  <si>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</si>
  <si>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</si>
  <si>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</si>
  <si>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</si>
  <si>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</si>
  <si>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</si>
  <si>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</si>
  <si>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</si>
  <si>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</si>
  <si>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</si>
  <si>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</si>
  <si>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</si>
  <si>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</si>
  <si>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</si>
  <si>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</si>
  <si>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</si>
  <si>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</si>
  <si>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</si>
  <si>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</si>
  <si>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</si>
  <si>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</si>
  <si>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</si>
  <si>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</si>
  <si>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</si>
  <si>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</si>
  <si>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</si>
  <si>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</si>
  <si>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</si>
  <si>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</si>
  <si>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</si>
  <si>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</si>
  <si>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</si>
  <si>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</si>
  <si>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</si>
  <si>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</si>
  <si>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</si>
  <si>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</si>
  <si>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</si>
  <si>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</si>
  <si>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</si>
  <si>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</si>
  <si>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</si>
  <si>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</si>
  <si>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</si>
  <si>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</si>
  <si>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</si>
  <si>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</si>
  <si>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</si>
  <si>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</si>
  <si>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</si>
  <si>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</si>
  <si>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</si>
  <si>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</si>
  <si>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</si>
  <si>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</si>
  <si>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</si>
  <si>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</si>
  <si>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</si>
  <si>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</si>
  <si>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</si>
  <si>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</si>
  <si>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</si>
  <si>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</si>
  <si>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</si>
  <si>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</si>
  <si>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</si>
  <si>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</si>
  <si>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</si>
  <si>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</si>
  <si>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</si>
  <si>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</si>
  <si>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</si>
  <si>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</si>
  <si>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</si>
  <si>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</si>
  <si>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</si>
  <si>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</si>
  <si>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</si>
  <si>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</si>
  <si>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</si>
  <si>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</si>
  <si>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</si>
  <si>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</si>
  <si>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</si>
  <si>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</si>
  <si>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</si>
  <si>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</si>
  <si>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</si>
  <si>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</si>
  <si>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</si>
  <si>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</si>
  <si>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</si>
  <si>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</si>
  <si>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</si>
  <si>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</si>
  <si>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</si>
  <si>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</si>
  <si>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</si>
  <si>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</si>
  <si>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</si>
  <si>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</si>
  <si>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</si>
  <si>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</si>
  <si>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</si>
  <si>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</si>
  <si>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</si>
  <si>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</si>
  <si>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</si>
  <si>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</si>
  <si>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</si>
  <si>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</si>
  <si>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</si>
  <si>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</si>
  <si>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</si>
  <si>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</si>
  <si>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</si>
  <si>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</si>
  <si>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</si>
  <si>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</si>
  <si>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</si>
  <si>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</si>
  <si>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</si>
  <si>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</si>
  <si>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</si>
  <si>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</si>
  <si>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</si>
  <si>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</si>
  <si>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</si>
  <si>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</si>
  <si>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</si>
  <si>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</si>
  <si>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</si>
  <si>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</si>
  <si>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</si>
  <si>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</si>
  <si>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</si>
  <si>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</si>
  <si>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</si>
  <si>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</si>
  <si>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</si>
  <si>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</si>
  <si>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</si>
  <si>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</si>
  <si>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</si>
  <si>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</si>
  <si>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</si>
  <si>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</si>
  <si>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</si>
  <si>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</si>
  <si>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</si>
  <si>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</si>
  <si>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</si>
  <si>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</si>
  <si>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</si>
  <si>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</si>
  <si>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</si>
  <si>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</si>
  <si>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</si>
  <si>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</si>
  <si>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</si>
  <si>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</si>
  <si>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</si>
  <si>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</si>
  <si>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</si>
  <si>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</si>
  <si>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</si>
  <si>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</si>
  <si>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</si>
  <si>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</si>
  <si>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</si>
  <si>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</si>
  <si>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</si>
  <si>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</si>
  <si>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</si>
  <si>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</si>
  <si>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</si>
  <si>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</si>
  <si>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</si>
  <si>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</si>
  <si>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</si>
  <si>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</si>
  <si>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</si>
  <si>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</si>
  <si>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</si>
  <si>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</si>
  <si>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</si>
  <si>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</si>
  <si>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</si>
  <si>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</si>
  <si>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</si>
  <si>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</si>
  <si>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</si>
  <si>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</si>
  <si>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</si>
  <si>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</si>
  <si>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</si>
  <si>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</si>
  <si>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</si>
  <si>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</si>
  <si>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</si>
  <si>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</si>
  <si>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</si>
  <si>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</si>
  <si>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</si>
  <si>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</si>
  <si>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</si>
  <si>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</si>
  <si>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</si>
  <si>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</si>
  <si>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</si>
  <si>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</si>
  <si>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</si>
  <si>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</si>
  <si>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</si>
  <si>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</si>
  <si>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</si>
  <si>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</si>
  <si>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</si>
  <si>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</si>
  <si>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</si>
  <si>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</si>
  <si>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</si>
  <si>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</si>
  <si>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</si>
  <si>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</si>
  <si>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</si>
  <si>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</si>
  <si>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</si>
  <si>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</si>
  <si>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</si>
  <si>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</si>
  <si>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</si>
  <si>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</si>
  <si>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</si>
  <si>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</si>
  <si>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</si>
  <si>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</si>
  <si>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</si>
  <si>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</si>
  <si>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</si>
  <si>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</si>
  <si>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</si>
  <si>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</si>
  <si>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</si>
  <si>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</si>
  <si>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</si>
  <si>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</si>
  <si>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</si>
  <si>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</si>
  <si>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</si>
  <si>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</si>
  <si>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</si>
  <si>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</si>
  <si>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</si>
  <si>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</si>
  <si>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</si>
  <si>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</si>
  <si>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</si>
  <si>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</si>
  <si>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</si>
  <si>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</si>
  <si>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</si>
  <si>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</si>
  <si>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</si>
  <si>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</si>
  <si>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</si>
  <si>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</si>
  <si>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</si>
  <si>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</si>
  <si>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</si>
  <si>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</si>
  <si>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</si>
  <si>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</si>
  <si>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</si>
  <si>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</si>
  <si>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</si>
  <si>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</si>
  <si>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</si>
  <si>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</si>
  <si>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</si>
  <si>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</si>
  <si>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</si>
  <si>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</si>
  <si>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</si>
  <si>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</si>
  <si>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</si>
  <si>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</si>
  <si>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</si>
  <si>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</si>
  <si>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</si>
  <si>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</si>
  <si>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</si>
  <si>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</si>
  <si>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</si>
  <si>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</si>
  <si>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</si>
  <si>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</si>
  <si>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</si>
  <si>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</si>
  <si>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</si>
  <si>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</si>
  <si>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</si>
  <si>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</si>
  <si>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</si>
  <si>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</si>
  <si>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</si>
  <si>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</si>
  <si>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</si>
  <si>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</si>
  <si>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</si>
  <si>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</si>
  <si>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</si>
  <si>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</si>
  <si>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</si>
  <si>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</si>
  <si>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</si>
  <si>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</si>
  <si>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</si>
  <si>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</si>
  <si>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</si>
  <si>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</si>
  <si>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</si>
  <si>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</si>
  <si>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</si>
  <si>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</si>
  <si>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</si>
  <si>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</si>
  <si>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</si>
  <si>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</si>
  <si>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</si>
  <si>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</si>
  <si>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</si>
  <si>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</si>
  <si>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</si>
  <si>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</si>
  <si>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</si>
  <si>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</si>
  <si>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</si>
  <si>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</si>
  <si>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</si>
  <si>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</si>
  <si>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</si>
  <si>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</si>
  <si>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</si>
  <si>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</si>
  <si>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</si>
  <si>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</si>
  <si>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</si>
  <si>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</si>
  <si>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</si>
  <si>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</si>
  <si>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</si>
  <si>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</si>
  <si>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</si>
  <si>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</si>
  <si>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</si>
  <si>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</si>
  <si>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</si>
  <si>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</si>
  <si>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</si>
  <si>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</si>
  <si>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</si>
  <si>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</si>
  <si>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</si>
  <si>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</si>
  <si>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</si>
  <si>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</si>
  <si>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</si>
  <si>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</si>
  <si>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</si>
  <si>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</si>
  <si>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</si>
  <si>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</si>
  <si>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</si>
  <si>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</si>
  <si>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</si>
  <si>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</si>
  <si>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</si>
  <si>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</si>
  <si>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</si>
  <si>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</si>
  <si>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</si>
  <si>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</si>
  <si>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</si>
  <si>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</si>
  <si>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</si>
  <si>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</si>
  <si>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</si>
  <si>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</si>
  <si>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</si>
  <si>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</si>
  <si>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</si>
  <si>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</si>
  <si>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</si>
  <si>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</si>
  <si>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</si>
  <si>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</si>
  <si>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</si>
  <si>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</si>
  <si>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</si>
  <si>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</si>
  <si>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</si>
  <si>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</si>
  <si>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</si>
  <si>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</si>
  <si>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</si>
  <si>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</si>
  <si>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</si>
  <si>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</si>
  <si>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</si>
  <si>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</si>
  <si>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</si>
  <si>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</si>
  <si>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</si>
  <si>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</si>
  <si>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</si>
  <si>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</si>
  <si>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</si>
  <si>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</si>
  <si>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</si>
  <si>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</si>
  <si>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</si>
  <si>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</si>
  <si>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</si>
  <si>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</si>
  <si>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</si>
  <si>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</si>
  <si>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</si>
  <si>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</si>
  <si>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</si>
  <si>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</si>
  <si>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</si>
  <si>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</si>
  <si>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</si>
  <si>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</si>
  <si>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</si>
  <si>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</si>
  <si>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</si>
  <si>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</si>
  <si>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</si>
  <si>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</si>
  <si>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</si>
  <si>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</si>
  <si>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</si>
  <si>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</si>
  <si>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</si>
  <si>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</si>
  <si>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</si>
  <si>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</si>
  <si>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</si>
  <si>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</si>
  <si>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</si>
  <si>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</si>
  <si>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</si>
  <si>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</si>
  <si>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</si>
  <si>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</si>
  <si>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</si>
  <si>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</si>
  <si>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</si>
  <si>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</si>
  <si>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</si>
  <si>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</si>
  <si>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</si>
  <si>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</si>
  <si>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</si>
  <si>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</si>
  <si>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</si>
  <si>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</si>
  <si>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</si>
  <si>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</si>
  <si>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</si>
  <si>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</si>
  <si>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</si>
  <si>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</si>
  <si>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</si>
  <si>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</si>
  <si>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</si>
  <si>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</si>
  <si>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</si>
  <si>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</si>
  <si>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</si>
  <si>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</si>
  <si>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</si>
  <si>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</si>
  <si>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</si>
  <si>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</si>
  <si>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</si>
  <si>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</si>
  <si>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</si>
  <si>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</si>
  <si>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</si>
  <si>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</si>
  <si>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</si>
  <si>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</si>
  <si>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</si>
  <si>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</si>
  <si>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</si>
  <si>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</si>
  <si>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</si>
  <si>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</si>
  <si>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</si>
  <si>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</si>
  <si>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</si>
  <si>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</si>
  <si>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</si>
  <si>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</si>
  <si>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</si>
  <si>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</si>
  <si>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</si>
  <si>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</si>
  <si>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</si>
  <si>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</si>
  <si>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</si>
  <si>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</si>
  <si>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</si>
  <si>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</si>
  <si>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</si>
  <si>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</si>
  <si>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</si>
  <si>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</si>
  <si>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</si>
  <si>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</si>
  <si>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</si>
  <si>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</si>
  <si>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</si>
  <si>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</si>
  <si>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</si>
  <si>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</si>
  <si>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</si>
  <si>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</si>
  <si>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</si>
  <si>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</si>
  <si>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</si>
  <si>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</si>
  <si>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</si>
  <si>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</si>
  <si>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</si>
  <si>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</si>
  <si>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</si>
  <si>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</si>
  <si>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</si>
  <si>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</si>
  <si>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</si>
  <si>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</si>
  <si>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</si>
  <si>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</si>
  <si>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</si>
  <si>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</si>
  <si>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</si>
  <si>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</si>
  <si>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</si>
  <si>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</si>
  <si>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</si>
  <si>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</si>
  <si>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</si>
  <si>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</si>
  <si>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</si>
  <si>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</si>
  <si>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</si>
  <si>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</si>
  <si>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</si>
  <si>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</si>
  <si>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</si>
  <si>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</si>
  <si>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</si>
  <si>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</si>
  <si>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</si>
  <si>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</si>
  <si>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</si>
  <si>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</si>
  <si>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</si>
  <si>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</si>
  <si>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</si>
  <si>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</si>
  <si>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</si>
  <si>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</si>
  <si>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</si>
  <si>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</si>
  <si>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</si>
  <si>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</si>
  <si>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</si>
  <si>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</si>
  <si>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</si>
  <si>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</si>
  <si>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</si>
  <si>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</si>
  <si>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</si>
  <si>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</si>
  <si>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</si>
  <si>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</si>
  <si>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</si>
  <si>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</si>
  <si>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</si>
  <si>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</si>
  <si>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</si>
  <si>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</si>
  <si>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</si>
  <si>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</si>
  <si>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</si>
  <si>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</si>
  <si>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</si>
  <si>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</si>
  <si>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</si>
  <si>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</si>
  <si>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</si>
  <si>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</si>
  <si>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</si>
  <si>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</si>
  <si>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</si>
  <si>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</si>
  <si>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</si>
  <si>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</si>
  <si>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</si>
  <si>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</si>
  <si>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</si>
  <si>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</si>
  <si>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</si>
  <si>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</si>
  <si>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</si>
  <si>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</si>
  <si>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</si>
  <si>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</si>
  <si>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</si>
  <si>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</si>
  <si>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</si>
  <si>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</si>
  <si>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</si>
  <si>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</si>
  <si>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</si>
  <si>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</si>
  <si>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</si>
  <si>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</si>
  <si>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</si>
  <si>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</si>
  <si>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</si>
  <si>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</si>
  <si>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</si>
  <si>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</si>
  <si>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</si>
  <si>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</si>
  <si>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</si>
  <si>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</si>
  <si>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</si>
  <si>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</si>
  <si>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</si>
  <si>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</si>
  <si>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</si>
  <si>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</si>
  <si>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</si>
  <si>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</si>
  <si>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</si>
  <si>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</si>
  <si>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</si>
  <si>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</si>
  <si>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</si>
  <si>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</si>
  <si>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</si>
  <si>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</si>
  <si>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</si>
  <si>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</si>
  <si>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</si>
  <si>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</si>
  <si>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</si>
  <si>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</si>
  <si>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</si>
  <si>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</si>
  <si>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</si>
  <si>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</si>
  <si>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</si>
  <si>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</si>
  <si>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</si>
  <si>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</si>
  <si>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</si>
  <si>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</si>
  <si>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</si>
  <si>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</si>
  <si>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</si>
  <si>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</si>
  <si>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</si>
  <si>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</si>
  <si>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</si>
  <si>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</si>
  <si>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</si>
  <si>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</si>
  <si>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</si>
  <si>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</si>
  <si>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</si>
  <si>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</si>
  <si>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</si>
  <si>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</si>
  <si>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</si>
  <si>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</si>
  <si>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</si>
  <si>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</si>
  <si>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</si>
  <si>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</si>
  <si>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</si>
  <si>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</si>
  <si>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</si>
  <si>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</si>
  <si>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</si>
  <si>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</si>
  <si>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</si>
  <si>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</si>
  <si>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</si>
  <si>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</si>
  <si>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</si>
  <si>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</si>
  <si>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</si>
  <si>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</si>
  <si>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</si>
  <si>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</si>
  <si>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</si>
  <si>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</si>
  <si>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</si>
  <si>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</si>
  <si>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</si>
  <si>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</si>
  <si>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</si>
  <si>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</si>
  <si>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</si>
  <si>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</si>
  <si>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</si>
  <si>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</si>
  <si>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</si>
  <si>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</si>
  <si>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</si>
  <si>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</si>
  <si>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</si>
  <si>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</si>
  <si>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</si>
  <si>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</si>
  <si>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</si>
  <si>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</si>
  <si>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</si>
  <si>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</si>
  <si>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</si>
  <si>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</si>
  <si>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</si>
  <si>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</si>
  <si>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</si>
  <si>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</si>
  <si>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</si>
  <si>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</si>
  <si>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</si>
  <si>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</si>
  <si>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</si>
  <si>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</si>
  <si>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</si>
  <si>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</si>
  <si>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</si>
  <si>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</si>
  <si>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</si>
  <si>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</si>
  <si>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</si>
  <si>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</si>
  <si>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</si>
  <si>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</si>
  <si>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</si>
  <si>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</si>
  <si>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</si>
  <si>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</si>
  <si>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</si>
  <si>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</si>
  <si>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</si>
  <si>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</si>
  <si>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</si>
  <si>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</si>
  <si>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</si>
  <si>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</si>
  <si>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</si>
  <si>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</si>
  <si>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</si>
  <si>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</si>
  <si>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</si>
  <si>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</si>
  <si>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</si>
  <si>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</si>
  <si>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</si>
  <si>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</si>
  <si>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</si>
  <si>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</si>
  <si>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</si>
  <si>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</si>
  <si>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</si>
  <si>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</si>
  <si>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</si>
  <si>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</si>
  <si>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</si>
  <si>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</si>
  <si>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</si>
  <si>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</si>
  <si>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</si>
  <si>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</si>
  <si>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</si>
  <si>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</si>
  <si>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</si>
  <si>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</si>
  <si>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</si>
  <si>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</si>
  <si>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</si>
  <si>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</si>
  <si>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</si>
  <si>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</si>
  <si>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</si>
  <si>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</si>
  <si>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</si>
  <si>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</si>
  <si>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</si>
  <si>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</si>
  <si>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</si>
  <si>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</si>
  <si>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</si>
  <si>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</si>
  <si>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</si>
  <si>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</si>
  <si>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</si>
  <si>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</si>
  <si>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</si>
  <si>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</si>
  <si>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</si>
  <si>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</si>
  <si>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</si>
  <si>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</si>
  <si>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</si>
  <si>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</si>
  <si>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</si>
  <si>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</si>
  <si>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</si>
  <si>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</si>
  <si>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</si>
  <si>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</si>
  <si>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</si>
  <si>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</si>
  <si>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</si>
  <si>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</si>
  <si>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</si>
  <si>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</si>
  <si>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</si>
  <si>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</si>
  <si>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</si>
  <si>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</si>
  <si>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</si>
  <si>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</si>
  <si>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</si>
  <si>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</si>
  <si>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</si>
  <si>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</si>
  <si>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</si>
  <si>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</si>
  <si>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</si>
  <si>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</si>
  <si>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</si>
  <si>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</si>
  <si>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</si>
  <si>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</si>
  <si>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</si>
  <si>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</si>
  <si>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</si>
  <si>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</si>
  <si>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</si>
  <si>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</si>
  <si>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</si>
  <si>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</si>
  <si>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</si>
  <si>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</si>
  <si>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</si>
  <si>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</si>
  <si>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</si>
  <si>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</si>
  <si>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</si>
  <si>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</si>
  <si>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</si>
  <si>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</si>
  <si>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</si>
  <si>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</si>
  <si>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</si>
  <si>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</si>
  <si>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</si>
  <si>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</si>
  <si>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</si>
  <si>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</si>
  <si>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</si>
  <si>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</si>
  <si>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</si>
  <si>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</si>
  <si>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</si>
  <si>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</si>
  <si>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</si>
  <si>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</si>
  <si>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</si>
  <si>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</si>
  <si>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</si>
  <si>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</si>
  <si>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</si>
  <si>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</si>
  <si>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</si>
  <si>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</si>
  <si>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</si>
  <si>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</si>
  <si>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</si>
  <si>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</si>
  <si>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</si>
  <si>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</si>
  <si>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</si>
  <si>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</si>
  <si>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</si>
  <si>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</si>
  <si>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</si>
  <si>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</si>
  <si>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</si>
  <si>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</si>
  <si>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</si>
  <si>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</si>
  <si>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</si>
  <si>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</si>
  <si>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</si>
  <si>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</si>
  <si>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</si>
  <si>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</si>
  <si>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</si>
  <si>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</si>
  <si>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</si>
  <si>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</si>
  <si>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</si>
  <si>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</si>
  <si>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</si>
  <si>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</si>
  <si>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</si>
  <si>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</si>
  <si>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</si>
  <si>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</si>
  <si>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</si>
  <si>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</si>
  <si>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</si>
  <si>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</si>
  <si>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</si>
  <si>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</si>
  <si>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</si>
  <si>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</si>
  <si>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</si>
  <si>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</si>
  <si>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</si>
  <si>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</si>
  <si>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</si>
  <si>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</si>
  <si>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</si>
  <si>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</si>
  <si>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</si>
  <si>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</si>
  <si>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</si>
  <si>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</si>
  <si>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</si>
  <si>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</si>
  <si>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</si>
  <si>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</si>
  <si>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</si>
  <si>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</si>
  <si>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</si>
  <si>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</si>
  <si>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</si>
  <si>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</si>
  <si>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</si>
  <si>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</si>
  <si>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</si>
  <si>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</si>
  <si>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</si>
  <si>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</si>
  <si>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</si>
  <si>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</si>
  <si>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</si>
  <si>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</si>
  <si>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</si>
  <si>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</si>
  <si>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</si>
  <si>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</si>
  <si>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</si>
  <si>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</si>
  <si>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</si>
  <si>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</si>
  <si>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</si>
  <si>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</si>
  <si>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</si>
  <si>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</si>
  <si>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</si>
  <si>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</si>
  <si>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</si>
  <si>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</si>
  <si>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</si>
  <si>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</si>
  <si>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</si>
  <si>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</si>
  <si>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</si>
  <si>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</si>
  <si>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</si>
  <si>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</si>
  <si>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</si>
  <si>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</si>
  <si>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</si>
  <si>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</si>
  <si>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</si>
  <si>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</si>
  <si>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</si>
  <si>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</si>
  <si>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</si>
  <si>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</si>
  <si>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</si>
  <si>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</si>
  <si>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</si>
  <si>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</si>
  <si>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</si>
  <si>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</si>
  <si>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</si>
  <si>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</si>
  <si>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</si>
  <si>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</si>
  <si>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</si>
  <si>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</si>
  <si>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</si>
  <si>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</si>
  <si>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</si>
  <si>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</si>
  <si>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</si>
  <si>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</si>
  <si>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</si>
  <si>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</si>
  <si>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</si>
  <si>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</si>
  <si>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</si>
  <si>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</si>
  <si>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</si>
  <si>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</si>
  <si>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</si>
  <si>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</si>
  <si>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</si>
  <si>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</si>
  <si>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</si>
  <si>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</si>
  <si>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</si>
  <si>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</si>
  <si>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</si>
  <si>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</si>
  <si>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</si>
  <si>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</si>
  <si>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</si>
  <si>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</si>
  <si>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</si>
  <si>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</si>
  <si>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</si>
  <si>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</si>
  <si>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</si>
  <si>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</si>
  <si>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</si>
  <si>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</si>
  <si>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</si>
  <si>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</si>
  <si>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</si>
  <si>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</si>
  <si>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</si>
  <si>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</si>
  <si>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</si>
  <si>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</si>
  <si>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</si>
  <si>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</si>
  <si>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</si>
  <si>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</si>
  <si>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</si>
  <si>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</si>
  <si>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</si>
  <si>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</si>
  <si>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</si>
  <si>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</si>
  <si>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</si>
  <si>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</si>
  <si>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</si>
  <si>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</si>
  <si>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</si>
  <si>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</si>
  <si>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</si>
  <si>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</si>
  <si>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</si>
  <si>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</si>
  <si>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</si>
  <si>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</si>
  <si>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</si>
  <si>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</si>
  <si>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</si>
  <si>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</si>
  <si>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</si>
  <si>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</si>
  <si>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</si>
  <si>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</si>
  <si>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</si>
  <si>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</si>
  <si>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</si>
  <si>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</si>
  <si>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</si>
  <si>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</si>
  <si>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</si>
  <si>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</si>
  <si>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</si>
  <si>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</si>
  <si>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</si>
  <si>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</si>
  <si>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</si>
  <si>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</si>
  <si>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</si>
  <si>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</si>
  <si>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</si>
  <si>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</si>
  <si>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</si>
  <si>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</si>
  <si>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</si>
  <si>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</si>
  <si>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</si>
  <si>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</si>
  <si>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</si>
  <si>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</si>
  <si>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</si>
  <si>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</si>
  <si>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</si>
  <si>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</si>
  <si>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</si>
  <si>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</si>
  <si>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</si>
  <si>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</si>
  <si>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</si>
  <si>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</si>
  <si>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</si>
  <si>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</si>
  <si>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</si>
  <si>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</si>
  <si>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</si>
  <si>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</si>
  <si>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</si>
  <si>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</si>
  <si>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</si>
  <si>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</si>
  <si>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</si>
  <si>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</si>
  <si>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</si>
  <si>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</si>
  <si>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</si>
  <si>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</si>
  <si>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</si>
  <si>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</si>
  <si>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</si>
  <si>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</si>
  <si>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</si>
  <si>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</si>
  <si>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</si>
  <si>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</si>
  <si>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</si>
  <si>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</si>
  <si>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</si>
  <si>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</si>
  <si>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</si>
  <si>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</si>
  <si>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</si>
  <si>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</si>
  <si>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</si>
  <si>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</si>
  <si>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</si>
  <si>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</si>
  <si>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</si>
  <si>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</si>
  <si>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</si>
  <si>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</si>
  <si>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</si>
  <si>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</si>
  <si>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</si>
  <si>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</si>
  <si>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</si>
  <si>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</si>
  <si>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</si>
  <si>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</si>
  <si>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</si>
  <si>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</si>
  <si>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</si>
  <si>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</si>
  <si>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</si>
  <si>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</si>
  <si>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</si>
  <si>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</si>
  <si>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</si>
  <si>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</si>
  <si>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</si>
  <si>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</si>
  <si>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</si>
  <si>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</si>
  <si>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</si>
  <si>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</si>
  <si>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</si>
  <si>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</si>
  <si>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</si>
  <si>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</si>
  <si>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</si>
  <si>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</si>
  <si>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</si>
  <si>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</si>
  <si>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</si>
  <si>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</si>
  <si>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</si>
  <si>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</si>
  <si>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</si>
  <si>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</si>
  <si>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</si>
  <si>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</si>
  <si>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</si>
  <si>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</si>
  <si>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</si>
  <si>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</si>
  <si>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</si>
  <si>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</si>
  <si>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</si>
  <si>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</si>
  <si>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</si>
  <si>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</si>
  <si>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</si>
  <si>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</si>
  <si>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</si>
  <si>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</si>
  <si>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</si>
  <si>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</si>
  <si>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</si>
  <si>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</si>
  <si>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</si>
  <si>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</si>
  <si>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</si>
  <si>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</si>
  <si>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</si>
  <si>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</si>
  <si>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</si>
  <si>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</si>
  <si>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</si>
  <si>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</si>
  <si>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</si>
  <si>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</si>
  <si>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</si>
  <si>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</si>
  <si>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</si>
  <si>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</si>
  <si>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</si>
  <si>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</si>
  <si>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</si>
  <si>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</si>
  <si>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</si>
  <si>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</si>
  <si>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</si>
  <si>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</si>
  <si>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</si>
  <si>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</si>
  <si>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</si>
  <si>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</si>
  <si>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</si>
  <si>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</si>
  <si>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</si>
  <si>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</si>
  <si>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</si>
  <si>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</si>
  <si>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</si>
  <si>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</si>
  <si>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</si>
  <si>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</si>
  <si>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</si>
  <si>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</si>
  <si>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</si>
  <si>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</si>
  <si>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</si>
  <si>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</si>
  <si>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</si>
  <si>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</si>
  <si>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</si>
  <si>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</si>
  <si>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</si>
  <si>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</si>
  <si>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</si>
  <si>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</si>
  <si>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</si>
  <si>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</si>
  <si>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</si>
  <si>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</si>
  <si>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</si>
  <si>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</si>
  <si>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</si>
  <si>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</si>
  <si>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</si>
  <si>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</si>
  <si>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</si>
  <si>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</si>
  <si>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</si>
  <si>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</si>
  <si>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</si>
  <si>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</si>
  <si>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</si>
  <si>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</si>
  <si>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</si>
  <si>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</si>
  <si>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</si>
  <si>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</si>
  <si>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</si>
  <si>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</si>
  <si>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</si>
  <si>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</si>
  <si>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</si>
  <si>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</si>
  <si>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</si>
  <si>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</si>
  <si>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</si>
  <si>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</si>
  <si>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</si>
  <si>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</si>
  <si>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</si>
  <si>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</si>
  <si>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</si>
  <si>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</si>
  <si>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</si>
  <si>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</si>
  <si>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</si>
  <si>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</si>
  <si>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</si>
  <si>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</si>
  <si>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</si>
  <si>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</si>
  <si>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</si>
  <si>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</si>
  <si>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</si>
  <si>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</si>
  <si>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</si>
  <si>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</si>
  <si>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</si>
  <si>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</si>
  <si>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</si>
  <si>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</si>
  <si>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</si>
  <si>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</si>
  <si>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</si>
  <si>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</si>
  <si>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</si>
  <si>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</si>
  <si>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</si>
  <si>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</si>
  <si>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</si>
  <si>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</si>
  <si>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</si>
  <si>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</si>
  <si>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</si>
  <si>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</si>
  <si>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</si>
  <si>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</si>
  <si>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</si>
  <si>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</si>
  <si>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</si>
  <si>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</si>
  <si>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</si>
  <si>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</si>
  <si>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</si>
  <si>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</si>
  <si>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</si>
  <si>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</si>
  <si>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</si>
  <si>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</si>
  <si>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</si>
  <si>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</si>
  <si>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</si>
  <si>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</si>
  <si>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</si>
  <si>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</si>
  <si>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</si>
  <si>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</si>
  <si>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</si>
  <si>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</si>
  <si>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</si>
  <si>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</si>
  <si>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</si>
  <si>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</si>
  <si>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</si>
  <si>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</si>
  <si>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</si>
  <si>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</si>
  <si>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</si>
  <si>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</si>
  <si>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</si>
  <si>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</si>
  <si>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</si>
  <si>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</si>
  <si>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</si>
  <si>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</si>
  <si>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</si>
  <si>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</si>
  <si>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</si>
  <si>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</si>
  <si>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</si>
  <si>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</si>
  <si>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</si>
  <si>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</si>
  <si>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</si>
  <si>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</si>
  <si>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</si>
  <si>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</si>
  <si>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</si>
  <si>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</si>
  <si>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</si>
  <si>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</si>
  <si>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</si>
  <si>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</si>
  <si>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</si>
  <si>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</si>
  <si>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</si>
  <si>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</si>
  <si>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</si>
  <si>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</si>
  <si>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</si>
  <si>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</si>
  <si>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</si>
  <si>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</si>
  <si>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</si>
  <si>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</si>
  <si>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</si>
  <si>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</si>
  <si>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</si>
  <si>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</si>
  <si>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</si>
  <si>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</si>
  <si>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</si>
  <si>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</si>
  <si>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</si>
  <si>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</si>
  <si>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</si>
  <si>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</si>
  <si>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</si>
  <si>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</si>
  <si>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</si>
  <si>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</si>
  <si>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</si>
  <si>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</si>
  <si>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</si>
  <si>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</si>
  <si>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</si>
  <si>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</si>
  <si>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</si>
  <si>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</si>
  <si>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</si>
  <si>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</si>
  <si>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</si>
  <si>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</si>
  <si>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</si>
  <si>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</si>
  <si>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</si>
  <si>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</si>
  <si>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</si>
  <si>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</si>
  <si>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</si>
  <si>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</si>
  <si>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</si>
  <si>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</si>
  <si>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</si>
  <si>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</si>
  <si>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</si>
  <si>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</si>
  <si>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</si>
  <si>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</si>
  <si>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</si>
  <si>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</si>
  <si>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</si>
  <si>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</si>
  <si>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</si>
  <si>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</si>
  <si>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</si>
  <si>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</si>
  <si>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</si>
  <si>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</si>
  <si>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</si>
  <si>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</si>
  <si>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</si>
  <si>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</si>
  <si>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</si>
  <si>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</si>
  <si>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</si>
  <si>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</si>
  <si>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</si>
  <si>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</si>
  <si>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</si>
  <si>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</si>
  <si>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</si>
  <si>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</si>
  <si>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</si>
  <si>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</si>
  <si>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</si>
  <si>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</si>
  <si>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</si>
  <si>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</si>
  <si>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</si>
  <si>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</si>
  <si>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</si>
  <si>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</si>
  <si>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</si>
  <si>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</si>
  <si>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</si>
  <si>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</si>
  <si>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</si>
  <si>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</si>
  <si>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</si>
  <si>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</si>
  <si>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</si>
  <si>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</si>
  <si>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</si>
  <si>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</si>
  <si>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</si>
  <si>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</si>
  <si>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</si>
  <si>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</si>
  <si>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</si>
  <si>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</si>
  <si>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</si>
  <si>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</si>
  <si>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</si>
  <si>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</si>
  <si>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</si>
  <si>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</si>
  <si>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</si>
  <si>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</si>
  <si>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</si>
  <si>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</si>
  <si>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</si>
  <si>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</si>
  <si>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</si>
  <si>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</si>
  <si>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</si>
  <si>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</si>
  <si>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</si>
  <si>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</si>
  <si>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</si>
  <si>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</si>
  <si>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</si>
  <si>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</si>
  <si>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</si>
  <si>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</si>
  <si>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</si>
  <si>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</si>
  <si>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</si>
  <si>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</si>
  <si>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</si>
  <si>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</si>
  <si>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</si>
  <si>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</si>
  <si>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</si>
  <si>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</si>
  <si>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</si>
  <si>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</si>
  <si>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</si>
  <si>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</si>
  <si>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</si>
  <si>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</si>
  <si>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</si>
  <si>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</si>
  <si>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</si>
  <si>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</si>
  <si>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</si>
  <si>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</si>
  <si>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</si>
  <si>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</si>
  <si>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</si>
  <si>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</si>
  <si>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</si>
  <si>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</si>
  <si>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</si>
  <si>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</si>
  <si>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</si>
  <si>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</si>
  <si>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</si>
  <si>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</si>
  <si>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</si>
  <si>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</si>
  <si>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</si>
  <si>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</si>
  <si>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</si>
  <si>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</si>
  <si>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</si>
  <si>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</si>
  <si>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</si>
  <si>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</si>
  <si>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</si>
  <si>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</si>
  <si>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</si>
  <si>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</si>
  <si>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</si>
  <si>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</si>
  <si>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</si>
  <si>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</si>
  <si>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</si>
  <si>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</si>
  <si>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</si>
  <si>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</si>
  <si>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</si>
  <si>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</si>
  <si>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</si>
  <si>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</si>
  <si>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</si>
  <si>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</si>
  <si>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</si>
  <si>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</si>
  <si>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</si>
  <si>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</si>
  <si>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</si>
  <si>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</si>
  <si>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</si>
  <si>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</si>
  <si>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</si>
  <si>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</si>
  <si>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</si>
  <si>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</si>
  <si>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</si>
  <si>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</si>
  <si>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</si>
  <si>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</si>
  <si>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</si>
  <si>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</si>
  <si>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</si>
  <si>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</si>
  <si>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</si>
  <si>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</si>
  <si>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</si>
  <si>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</si>
  <si>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</si>
  <si>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</si>
  <si>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</si>
  <si>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</si>
  <si>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</si>
  <si>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</si>
  <si>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</si>
  <si>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</si>
  <si>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</si>
  <si>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</si>
  <si>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</si>
  <si>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</si>
  <si>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</si>
  <si>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</si>
  <si>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</si>
  <si>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</si>
  <si>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</si>
  <si>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</si>
  <si>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</si>
  <si>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</si>
  <si>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</si>
  <si>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</si>
  <si>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</si>
  <si>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</si>
  <si>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</si>
  <si>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</si>
  <si>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</si>
  <si>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</si>
  <si>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</si>
  <si>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</si>
  <si>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</si>
  <si>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</si>
  <si>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</si>
  <si>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</si>
  <si>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</si>
  <si>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</si>
  <si>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</si>
  <si>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</si>
  <si>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</si>
  <si>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</si>
  <si>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</si>
  <si>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</si>
  <si>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</si>
  <si>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</si>
  <si>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</si>
  <si>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</si>
  <si>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</si>
  <si>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</si>
  <si>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</si>
  <si>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</si>
  <si>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</si>
  <si>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</si>
  <si>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</si>
  <si>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</si>
  <si>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</si>
  <si>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</si>
  <si>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</si>
  <si>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</si>
  <si>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</si>
  <si>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</si>
  <si>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</si>
  <si>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</si>
  <si>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</si>
  <si>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</si>
  <si>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</si>
  <si>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</si>
  <si>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</si>
  <si>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</si>
  <si>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</si>
  <si>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</si>
  <si>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</si>
  <si>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</si>
  <si>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</si>
  <si>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</si>
  <si>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</si>
  <si>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</si>
  <si>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</si>
  <si>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</si>
  <si>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</si>
  <si>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</si>
  <si>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</si>
  <si>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</si>
  <si>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</si>
  <si>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</si>
  <si>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</si>
  <si>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</si>
  <si>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</si>
  <si>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</si>
  <si>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</si>
  <si>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</si>
  <si>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</si>
  <si>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</si>
  <si>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</si>
  <si>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</si>
  <si>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</si>
  <si>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</si>
  <si>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</si>
  <si>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</si>
  <si>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</si>
  <si>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</si>
  <si>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</si>
  <si>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</si>
  <si>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</si>
  <si>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</si>
  <si>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</si>
  <si>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</si>
  <si>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</si>
  <si>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</si>
  <si>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</si>
  <si>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</si>
  <si>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</si>
  <si>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</si>
  <si>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</si>
  <si>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</si>
  <si>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</si>
  <si>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</si>
  <si>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</si>
  <si>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</si>
  <si>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</si>
  <si>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</si>
  <si>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</si>
  <si>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</si>
  <si>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</si>
  <si>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</si>
  <si>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</si>
  <si>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</si>
  <si>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</si>
  <si>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</si>
  <si>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</si>
  <si>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</si>
  <si>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</si>
  <si>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</si>
  <si>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</si>
  <si>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</si>
  <si>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</si>
  <si>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</si>
  <si>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</si>
  <si>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</si>
  <si>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</si>
  <si>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</si>
  <si>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</si>
  <si>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</si>
  <si>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</si>
  <si>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</si>
  <si>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</si>
  <si>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</si>
  <si>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</si>
  <si>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</si>
  <si>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</si>
  <si>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</si>
  <si>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</si>
  <si>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</si>
  <si>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</si>
  <si>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</si>
  <si>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</si>
  <si>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</si>
  <si>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</si>
  <si>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</si>
  <si>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</si>
  <si>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</si>
  <si>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</si>
  <si>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</si>
  <si>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</si>
  <si>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</si>
  <si>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</si>
  <si>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</si>
  <si>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</si>
  <si>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</si>
  <si>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</si>
  <si>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</si>
  <si>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</si>
  <si>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</si>
  <si>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</si>
  <si>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</si>
  <si>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</si>
  <si>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</si>
  <si>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</si>
  <si>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</si>
  <si>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</si>
  <si>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</si>
  <si>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</si>
  <si>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</si>
  <si>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</si>
  <si>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</si>
  <si>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</si>
  <si>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</si>
  <si>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</si>
  <si>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</si>
  <si>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</si>
  <si>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</si>
  <si>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</si>
  <si>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</si>
  <si>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</si>
  <si>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</si>
  <si>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</si>
  <si>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</si>
  <si>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</si>
  <si>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</si>
  <si>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</si>
  <si>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</si>
  <si>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</si>
  <si>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</si>
  <si>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</si>
  <si>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</si>
  <si>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</si>
  <si>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</si>
  <si>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</si>
  <si>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</si>
  <si>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</si>
  <si>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</si>
  <si>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</si>
  <si>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</si>
  <si>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</si>
  <si>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</si>
  <si>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</si>
  <si>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</si>
  <si>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</si>
  <si>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</si>
  <si>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</si>
  <si>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</si>
  <si>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</si>
  <si>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</si>
  <si>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</si>
  <si>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</si>
  <si>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</si>
  <si>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</si>
  <si>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</si>
  <si>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</si>
  <si>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</si>
  <si>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</si>
  <si>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</si>
  <si>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</si>
  <si>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</si>
  <si>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</si>
  <si>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</si>
  <si>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</si>
  <si>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</si>
  <si>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</si>
  <si>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</si>
  <si>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</si>
  <si>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</si>
  <si>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</si>
  <si>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</si>
  <si>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</si>
  <si>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</si>
  <si>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</si>
  <si>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</si>
  <si>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</si>
  <si>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</si>
  <si>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</si>
  <si>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</si>
  <si>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</si>
  <si>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</si>
  <si>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</si>
  <si>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</si>
  <si>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</si>
  <si>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</si>
  <si>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</si>
  <si>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</si>
  <si>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</si>
  <si>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</si>
  <si>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</si>
  <si>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</si>
  <si>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</si>
  <si>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</si>
  <si>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</si>
  <si>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</si>
  <si>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</si>
  <si>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</si>
  <si>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</si>
  <si>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</si>
  <si>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</si>
  <si>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</si>
  <si>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</si>
  <si>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</si>
  <si>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</si>
  <si>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</si>
  <si>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</si>
  <si>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</si>
  <si>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</si>
  <si>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</si>
  <si>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</si>
  <si>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</si>
  <si>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</si>
  <si>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</si>
  <si>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</si>
  <si>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</si>
  <si>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</si>
  <si>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</si>
  <si>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</si>
  <si>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</si>
  <si>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</si>
  <si>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</si>
  <si>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</si>
  <si>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</si>
  <si>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</si>
  <si>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</si>
  <si>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</si>
  <si>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</si>
  <si>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</si>
  <si>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</si>
  <si>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</si>
  <si>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</si>
  <si>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</si>
  <si>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</si>
  <si>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</si>
  <si>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</si>
  <si>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</si>
  <si>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</si>
  <si>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</si>
  <si>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</si>
  <si>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</si>
  <si>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</si>
  <si>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</si>
  <si>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</si>
  <si>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</si>
  <si>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</si>
  <si>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</si>
  <si>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</si>
  <si>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</si>
  <si>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</si>
  <si>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</si>
  <si>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</si>
  <si>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</si>
  <si>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</si>
  <si>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</si>
  <si>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</si>
  <si>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</si>
  <si>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</si>
  <si>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</si>
  <si>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</si>
  <si>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</si>
  <si>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</si>
  <si>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</si>
  <si>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</si>
  <si>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</si>
  <si>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</si>
  <si>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</si>
  <si>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</si>
  <si>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</si>
  <si>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</si>
  <si>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</si>
  <si>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</si>
  <si>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</si>
  <si>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</si>
  <si>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</si>
  <si>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</si>
  <si>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</si>
  <si>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</si>
  <si>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</si>
  <si>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</si>
  <si>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</si>
  <si>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</si>
  <si>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</si>
  <si>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</si>
  <si>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</si>
  <si>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</si>
  <si>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</si>
  <si>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</si>
  <si>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</si>
  <si>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</si>
  <si>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</si>
  <si>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</si>
  <si>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</si>
  <si>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</si>
  <si>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</si>
  <si>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</si>
  <si>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</si>
  <si>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</si>
  <si>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</si>
  <si>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</si>
  <si>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</si>
  <si>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</si>
  <si>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</si>
  <si>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</si>
  <si>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</si>
  <si>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</si>
  <si>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</si>
  <si>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</si>
  <si>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</si>
  <si>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</si>
  <si>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</si>
  <si>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</si>
  <si>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</si>
  <si>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</si>
  <si>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</si>
  <si>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</si>
  <si>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</si>
  <si>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</si>
  <si>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</si>
  <si>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</si>
  <si>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</si>
  <si>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</si>
  <si>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</si>
  <si>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</si>
  <si>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</si>
  <si>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</si>
  <si>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</si>
  <si>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</si>
  <si>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</si>
  <si>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</si>
  <si>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</si>
  <si>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</si>
  <si>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</si>
  <si>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</si>
  <si>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</si>
  <si>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</si>
  <si>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</si>
  <si>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</si>
  <si>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</si>
  <si>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</si>
  <si>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</si>
  <si>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</si>
  <si>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</si>
  <si>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</si>
  <si>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</si>
  <si>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</si>
  <si>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</si>
  <si>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</si>
  <si>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</si>
  <si>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</si>
  <si>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</si>
  <si>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</si>
  <si>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</si>
  <si>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</si>
  <si>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</si>
  <si>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</si>
  <si>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</si>
  <si>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</si>
  <si>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</si>
  <si>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</si>
  <si>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</si>
  <si>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</si>
  <si>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</si>
  <si>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</si>
  <si>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</si>
  <si>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</si>
  <si>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</si>
  <si>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</si>
  <si>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</si>
  <si>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</si>
  <si>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</si>
  <si>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</si>
  <si>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</si>
  <si>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</si>
  <si>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</si>
  <si>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</si>
  <si>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</si>
  <si>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</si>
  <si>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</si>
  <si>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</si>
  <si>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</si>
  <si>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</si>
  <si>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</si>
  <si>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</si>
  <si>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</si>
  <si>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</si>
  <si>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</si>
  <si>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</si>
  <si>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</si>
  <si>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</si>
  <si>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</si>
  <si>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</si>
  <si>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</si>
  <si>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</si>
  <si>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</si>
  <si>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</si>
  <si>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</si>
  <si>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</si>
  <si>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</si>
  <si>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</si>
  <si>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</si>
  <si>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</si>
  <si>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</si>
  <si>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</si>
  <si>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</si>
  <si>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</si>
  <si>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</si>
  <si>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</si>
  <si>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</si>
  <si>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</si>
  <si>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</si>
  <si>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</si>
  <si>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</si>
  <si>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</si>
  <si>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</si>
  <si>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</si>
  <si>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</si>
  <si>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</si>
  <si>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</si>
  <si>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</si>
  <si>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</si>
  <si>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</si>
  <si>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</si>
  <si>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</si>
  <si>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</si>
  <si>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</si>
  <si>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</si>
  <si>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</si>
  <si>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</si>
  <si>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</si>
  <si>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</si>
  <si>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</si>
  <si>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</si>
  <si>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</si>
  <si>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</si>
  <si>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</si>
  <si>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</si>
  <si>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</si>
  <si>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</si>
  <si>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</si>
  <si>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</si>
  <si>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</si>
  <si>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</si>
  <si>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</si>
  <si>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</si>
  <si>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</si>
  <si>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</si>
  <si>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</si>
  <si>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</si>
  <si>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</si>
  <si>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</si>
  <si>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</si>
  <si>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</si>
  <si>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</si>
  <si>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</si>
  <si>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</si>
  <si>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</si>
  <si>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</si>
  <si>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</si>
  <si>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</si>
  <si>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</si>
  <si>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</si>
  <si>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</si>
  <si>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</si>
  <si>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</si>
  <si>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</si>
  <si>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</si>
  <si>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</si>
  <si>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</si>
  <si>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</si>
  <si>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</si>
  <si>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</si>
  <si>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</si>
  <si>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</si>
  <si>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</si>
  <si>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</si>
  <si>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</si>
  <si>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</si>
  <si>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</si>
  <si>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</si>
  <si>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</si>
  <si>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</si>
  <si>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</si>
  <si>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</si>
  <si>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</si>
  <si>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</si>
  <si>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</si>
  <si>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</si>
  <si>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</si>
  <si>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</si>
  <si>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</si>
  <si>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</si>
  <si>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</si>
  <si>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</si>
  <si>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</si>
  <si>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</si>
  <si>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</si>
  <si>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</si>
  <si>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</si>
  <si>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</si>
  <si>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</si>
  <si>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</si>
  <si>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</si>
  <si>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</si>
  <si>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</si>
  <si>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</si>
  <si>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</si>
  <si>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</si>
  <si>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</si>
  <si>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</si>
  <si>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</si>
  <si>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</si>
  <si>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</si>
  <si>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</si>
  <si>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</si>
  <si>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</si>
  <si>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</si>
  <si>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</si>
  <si>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</si>
  <si>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</si>
  <si>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</si>
  <si>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</si>
  <si>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</si>
  <si>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</si>
  <si>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</si>
  <si>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</si>
  <si>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</si>
  <si>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</si>
  <si>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</si>
  <si>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</si>
  <si>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</si>
  <si>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</si>
  <si>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</si>
  <si>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</si>
  <si>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</si>
  <si>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</si>
  <si>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</si>
  <si>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</si>
  <si>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</si>
  <si>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</si>
  <si>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</si>
  <si>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</si>
  <si>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</si>
  <si>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</si>
  <si>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</si>
  <si>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</si>
  <si>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</si>
  <si>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</si>
  <si>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</si>
  <si>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</si>
  <si>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</si>
  <si>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</si>
  <si>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</si>
  <si>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</si>
  <si>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</si>
  <si>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</si>
  <si>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</si>
  <si>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</si>
  <si>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</si>
  <si>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</si>
  <si>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</si>
  <si>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</si>
  <si>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</si>
  <si>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</si>
  <si>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</si>
  <si>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</si>
  <si>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</si>
  <si>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</si>
  <si>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</si>
  <si>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</si>
  <si>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</si>
  <si>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</si>
  <si>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</si>
  <si>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</si>
  <si>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</si>
  <si>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</si>
  <si>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</si>
  <si>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</si>
  <si>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</si>
  <si>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</si>
  <si>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</si>
  <si>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</si>
  <si>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</si>
  <si>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</si>
  <si>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</si>
  <si>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</si>
  <si>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</si>
  <si>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</si>
  <si>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</si>
  <si>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</si>
  <si>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</si>
  <si>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</si>
  <si>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</si>
  <si>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</si>
  <si>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</si>
  <si>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</si>
  <si>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</si>
  <si>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</si>
  <si>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</si>
  <si>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</si>
  <si>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</si>
  <si>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</si>
  <si>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</si>
  <si>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</si>
  <si>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</si>
  <si>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</si>
  <si>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</si>
  <si>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</si>
  <si>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</si>
  <si>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</si>
  <si>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</si>
  <si>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</si>
  <si>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</si>
  <si>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</si>
  <si>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</si>
  <si>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</si>
  <si>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</si>
  <si>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</si>
  <si>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</si>
  <si>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</si>
  <si>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</si>
  <si>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</si>
  <si>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</si>
  <si>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</si>
  <si>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</si>
  <si>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</si>
  <si>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</si>
  <si>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</si>
  <si>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</si>
  <si>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</si>
  <si>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</si>
  <si>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</si>
  <si>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</si>
  <si>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</si>
  <si>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</si>
  <si>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</si>
  <si>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</si>
  <si>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</si>
  <si>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</si>
  <si>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</si>
  <si>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</si>
  <si>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</si>
  <si>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</si>
  <si>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</si>
  <si>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</si>
  <si>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</si>
  <si>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</si>
  <si>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</si>
  <si>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</si>
  <si>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</si>
  <si>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</si>
  <si>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</si>
  <si>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</si>
  <si>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</si>
  <si>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</si>
  <si>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</si>
  <si>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</si>
  <si>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</si>
  <si>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</si>
  <si>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</si>
  <si>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</si>
  <si>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</si>
  <si>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</si>
  <si>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</si>
  <si>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</si>
  <si>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</si>
  <si>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</si>
  <si>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</si>
  <si>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</si>
  <si>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</si>
  <si>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</si>
  <si>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</si>
  <si>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</si>
  <si>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</si>
  <si>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</si>
  <si>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</si>
  <si>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</si>
  <si>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</si>
  <si>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</si>
  <si>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</si>
  <si>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</si>
  <si>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</si>
  <si>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</si>
  <si>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</si>
  <si>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</si>
  <si>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</si>
  <si>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</si>
  <si>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</si>
  <si>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</si>
  <si>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</si>
  <si>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</si>
  <si>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</si>
  <si>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</si>
  <si>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</si>
  <si>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</si>
  <si>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</si>
  <si>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</si>
  <si>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</si>
  <si>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</si>
  <si>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</si>
  <si>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</si>
  <si>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</si>
  <si>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</si>
  <si>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</si>
  <si>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</si>
  <si>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</si>
  <si>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</si>
  <si>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</si>
  <si>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</si>
  <si>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</si>
  <si>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</si>
  <si>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</si>
  <si>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</si>
  <si>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</si>
  <si>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</si>
  <si>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</si>
  <si>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</si>
  <si>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</si>
  <si>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</si>
  <si>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</si>
  <si>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</si>
  <si>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</si>
  <si>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</si>
  <si>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</si>
  <si>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</si>
  <si>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</si>
  <si>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</si>
  <si>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</si>
  <si>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</si>
  <si>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</si>
  <si>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</si>
  <si>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</si>
  <si>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</si>
  <si>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</si>
  <si>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</si>
  <si>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</si>
  <si>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</si>
  <si>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</si>
  <si>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</si>
  <si>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</si>
  <si>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</si>
  <si>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</si>
  <si>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</si>
  <si>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</si>
  <si>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</si>
  <si>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</si>
  <si>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</si>
  <si>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</si>
  <si>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</si>
  <si>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</si>
  <si>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</si>
  <si>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</si>
  <si>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</si>
  <si>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</si>
  <si>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</si>
  <si>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</si>
  <si>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</si>
  <si>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</si>
  <si>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</si>
  <si>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</si>
  <si>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</si>
  <si>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</si>
  <si>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</si>
  <si>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</si>
  <si>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</si>
  <si>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</si>
  <si>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</si>
  <si>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</si>
  <si>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</si>
  <si>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</si>
  <si>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</si>
  <si>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</si>
  <si>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</si>
  <si>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</si>
  <si>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</si>
  <si>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</si>
  <si>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</si>
  <si>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</si>
  <si>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</si>
  <si>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</si>
  <si>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</si>
  <si>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</si>
  <si>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</si>
  <si>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</si>
  <si>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</si>
  <si>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</si>
  <si>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</si>
  <si>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</si>
  <si>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</si>
  <si>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</si>
  <si>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</si>
  <si>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</si>
  <si>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</si>
  <si>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</si>
  <si>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</si>
  <si>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</si>
  <si>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</si>
  <si>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</si>
  <si>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</si>
  <si>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</si>
  <si>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</si>
  <si>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</si>
  <si>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</si>
  <si>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</si>
  <si>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</si>
  <si>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</si>
  <si>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</si>
  <si>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</si>
  <si>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</si>
  <si>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</si>
  <si>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</si>
  <si>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</si>
  <si>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</si>
  <si>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</si>
  <si>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</si>
  <si>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</si>
  <si>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</si>
  <si>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</si>
  <si>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</si>
  <si>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</si>
  <si>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</si>
  <si>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</si>
  <si>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</si>
  <si>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</si>
  <si>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</si>
  <si>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</si>
  <si>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</si>
  <si>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</si>
  <si>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</si>
  <si>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</si>
  <si>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</si>
  <si>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</si>
  <si>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</si>
  <si>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</si>
  <si>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</si>
  <si>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</si>
  <si>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</si>
  <si>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</si>
  <si>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</si>
  <si>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</si>
  <si>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</si>
  <si>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</si>
  <si>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</si>
  <si>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</si>
  <si>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</si>
  <si>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</si>
  <si>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</si>
  <si>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</si>
  <si>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</si>
  <si>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</si>
  <si>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</si>
  <si>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</si>
  <si>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</si>
  <si>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</si>
  <si>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</si>
  <si>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</si>
  <si>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</si>
  <si>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</si>
  <si>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</si>
  <si>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</si>
  <si>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</si>
  <si>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</si>
  <si>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</si>
  <si>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</si>
  <si>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</si>
  <si>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</si>
  <si>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</si>
  <si>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</si>
  <si>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</si>
  <si>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</si>
  <si>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</si>
  <si>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</si>
  <si>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</si>
  <si>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</si>
  <si>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</si>
  <si>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</si>
  <si>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</si>
  <si>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</si>
  <si>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</si>
  <si>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</si>
  <si>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</si>
  <si>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</si>
  <si>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</si>
  <si>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</si>
  <si>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</si>
  <si>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</si>
  <si>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</si>
  <si>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</si>
  <si>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</si>
  <si>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</si>
  <si>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</si>
  <si>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</si>
  <si>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</si>
  <si>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</si>
  <si>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</si>
  <si>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</si>
  <si>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</si>
  <si>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</si>
  <si>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</si>
  <si>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</si>
  <si>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</si>
  <si>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</si>
  <si>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</si>
  <si>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</si>
  <si>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</si>
  <si>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</si>
  <si>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</si>
  <si>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</si>
  <si>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</si>
  <si>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</si>
  <si>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</si>
  <si>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</si>
  <si>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</si>
  <si>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</si>
  <si>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</si>
  <si>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</si>
  <si>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</si>
  <si>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</si>
  <si>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</si>
  <si>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</si>
  <si>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</si>
  <si>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</si>
  <si>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</si>
  <si>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</si>
  <si>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</si>
  <si>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</si>
  <si>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</si>
  <si>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</si>
  <si>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</si>
  <si>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</si>
  <si>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</si>
  <si>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</si>
  <si>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</si>
  <si>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</si>
  <si>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</si>
  <si>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</si>
  <si>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</si>
  <si>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</si>
  <si>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</si>
  <si>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</si>
  <si>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</si>
  <si>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</si>
  <si>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</si>
  <si>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</si>
  <si>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</si>
  <si>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</si>
  <si>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</si>
  <si>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</si>
  <si>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</si>
  <si>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</si>
  <si>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</si>
  <si>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</si>
  <si>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</si>
  <si>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</si>
  <si>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</si>
  <si>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</si>
  <si>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</si>
  <si>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</si>
  <si>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</si>
  <si>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</si>
  <si>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</si>
  <si>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</si>
  <si>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</si>
  <si>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</si>
  <si>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</si>
  <si>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</si>
  <si>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</si>
  <si>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</si>
  <si>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</si>
  <si>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</si>
  <si>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</si>
  <si>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</si>
  <si>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</si>
  <si>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</si>
  <si>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</si>
  <si>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</si>
  <si>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</si>
  <si>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</si>
  <si>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</si>
  <si>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</si>
  <si>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</si>
  <si>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</si>
  <si>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</si>
  <si>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</si>
  <si>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</si>
  <si>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</si>
  <si>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</si>
  <si>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</si>
  <si>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</si>
  <si>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</si>
  <si>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</si>
  <si>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</si>
  <si>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</si>
  <si>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</si>
  <si>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</si>
  <si>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</si>
  <si>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</si>
  <si>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</si>
  <si>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</si>
  <si>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</si>
  <si>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</si>
  <si>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</si>
  <si>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</si>
  <si>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</si>
  <si>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</si>
  <si>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</si>
  <si>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</si>
  <si>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</si>
  <si>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</si>
  <si>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</si>
  <si>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</si>
  <si>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</si>
  <si>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</si>
  <si>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</si>
  <si>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</si>
  <si>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</si>
  <si>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</si>
  <si>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</si>
  <si>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</si>
  <si>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</si>
  <si>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</si>
  <si>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</si>
  <si>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</si>
  <si>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</si>
  <si>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</si>
  <si>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</si>
  <si>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</si>
  <si>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</si>
  <si>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</si>
  <si>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</si>
  <si>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</si>
  <si>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</si>
  <si>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</si>
  <si>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</si>
  <si>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</si>
  <si>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</si>
  <si>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</si>
  <si>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</si>
  <si>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</si>
  <si>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</si>
  <si>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</si>
  <si>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</si>
  <si>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</si>
  <si>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</si>
  <si>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</si>
  <si>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</si>
  <si>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</si>
  <si>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</si>
  <si>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</si>
  <si>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</si>
  <si>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</si>
  <si>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</si>
  <si>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</si>
  <si>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</si>
  <si>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</si>
  <si>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</si>
  <si>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</si>
  <si>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</si>
  <si>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</si>
  <si>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</si>
  <si>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</si>
  <si>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</si>
  <si>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</si>
  <si>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</si>
  <si>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</si>
  <si>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</si>
  <si>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</si>
  <si>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</si>
  <si>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</si>
  <si>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</si>
  <si>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</si>
  <si>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</si>
  <si>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</si>
  <si>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</si>
  <si>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</si>
  <si>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</si>
  <si>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</si>
  <si>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</si>
  <si>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</si>
  <si>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</si>
  <si>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</si>
  <si>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</si>
  <si>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</si>
  <si>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</si>
  <si>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</si>
  <si>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</si>
  <si>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</si>
  <si>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</si>
  <si>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</si>
  <si>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</si>
  <si>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</si>
  <si>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</si>
  <si>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</si>
  <si>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</si>
  <si>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</si>
  <si>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</si>
  <si>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</si>
  <si>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</si>
  <si>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</si>
  <si>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</si>
  <si>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</si>
  <si>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</si>
  <si>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</si>
  <si>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</si>
  <si>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</si>
  <si>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</si>
  <si>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</si>
  <si>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</si>
  <si>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</si>
  <si>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</si>
  <si>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</si>
  <si>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</si>
  <si>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</si>
  <si>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</si>
  <si>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</si>
  <si>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</si>
  <si>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</si>
  <si>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</si>
  <si>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</si>
  <si>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</si>
  <si>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</si>
  <si>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</si>
  <si>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</si>
  <si>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</si>
  <si>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</si>
  <si>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</si>
  <si>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</si>
  <si>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</si>
  <si>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</si>
  <si>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</si>
  <si>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</si>
  <si>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</si>
  <si>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</si>
  <si>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</si>
  <si>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</si>
  <si>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</si>
  <si>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</si>
  <si>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</si>
  <si>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</si>
  <si>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</si>
  <si>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</si>
  <si>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</si>
  <si>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</si>
  <si>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</si>
  <si>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</si>
  <si>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</si>
  <si>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</si>
  <si>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</si>
  <si>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</si>
  <si>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</si>
  <si>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</si>
  <si>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</si>
  <si>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</si>
  <si>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</si>
  <si>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</si>
  <si>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</si>
  <si>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</si>
  <si>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</si>
  <si>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</si>
  <si>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</si>
  <si>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</si>
  <si>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</si>
  <si>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</si>
  <si>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</si>
  <si>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</si>
  <si>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</si>
  <si>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</si>
  <si>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</si>
  <si>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</si>
  <si>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</si>
  <si>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</si>
  <si>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</si>
  <si>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</si>
  <si>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</si>
  <si>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</si>
  <si>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</si>
  <si>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</si>
  <si>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</si>
  <si>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</si>
  <si>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</si>
  <si>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</si>
  <si>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</si>
  <si>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</si>
  <si>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</si>
  <si>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</si>
  <si>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</si>
  <si>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</si>
  <si>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</si>
  <si>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</si>
  <si>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</si>
  <si>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</si>
  <si>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</si>
  <si>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</si>
  <si>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</si>
  <si>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</si>
  <si>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</si>
  <si>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</si>
  <si>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</si>
  <si>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</si>
  <si>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</si>
  <si>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</si>
  <si>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</si>
  <si>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</si>
  <si>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</si>
  <si>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</si>
  <si>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</si>
  <si>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</si>
  <si>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</si>
  <si>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</si>
  <si>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</si>
  <si>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</si>
  <si>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</si>
  <si>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</si>
  <si>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</si>
  <si>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</si>
  <si>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</si>
  <si>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</si>
  <si>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</si>
  <si>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</si>
  <si>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</si>
  <si>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</si>
  <si>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</si>
  <si>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</si>
  <si>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</si>
  <si>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</si>
  <si>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</si>
  <si>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</si>
  <si>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</si>
  <si>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</si>
  <si>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</si>
  <si>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</si>
  <si>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</si>
  <si>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</si>
  <si>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</si>
  <si>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</si>
  <si>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</si>
  <si>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</si>
  <si>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</si>
  <si>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</si>
  <si>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</si>
  <si>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</si>
  <si>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</si>
  <si>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</si>
  <si>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</si>
  <si>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</si>
  <si>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</si>
  <si>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</si>
  <si>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</si>
  <si>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</si>
  <si>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</si>
  <si>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</si>
  <si>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</si>
  <si>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</si>
  <si>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</si>
  <si>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</si>
  <si>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</si>
  <si>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</si>
  <si>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</si>
  <si>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</si>
  <si>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</si>
  <si>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</si>
  <si>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</si>
  <si>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</si>
  <si>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</si>
  <si>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</si>
  <si>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</si>
  <si>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</si>
  <si>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</si>
  <si>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</si>
  <si>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</si>
  <si>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</si>
  <si>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</si>
  <si>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</si>
  <si>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</si>
  <si>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</si>
  <si>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</si>
  <si>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</si>
  <si>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</si>
  <si>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</si>
  <si>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</si>
  <si>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</si>
  <si>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</si>
  <si>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</si>
  <si>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</si>
  <si>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</si>
  <si>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</si>
  <si>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</si>
  <si>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</si>
  <si>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</si>
  <si>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</si>
  <si>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</si>
  <si>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</si>
  <si>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</si>
  <si>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</si>
  <si>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</si>
  <si>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</si>
  <si>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</si>
  <si>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</si>
  <si>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</si>
  <si>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</si>
  <si>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</si>
  <si>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</si>
  <si>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</si>
  <si>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</si>
  <si>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</si>
  <si>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</si>
  <si>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</si>
  <si>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</si>
  <si>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</si>
  <si>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</si>
  <si>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</si>
  <si>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</si>
  <si>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</si>
  <si>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</si>
  <si>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</si>
  <si>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</si>
  <si>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</si>
  <si>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</si>
  <si>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</si>
  <si>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</si>
  <si>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</si>
  <si>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</si>
  <si>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</si>
  <si>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</si>
  <si>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</si>
  <si>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</si>
  <si>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</si>
  <si>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</si>
  <si>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</si>
  <si>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</si>
  <si>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</si>
  <si>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</si>
  <si>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</si>
  <si>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</si>
  <si>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</si>
  <si>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</si>
  <si>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</si>
  <si>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</si>
  <si>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</si>
  <si>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</si>
  <si>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</si>
  <si>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</si>
  <si>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</si>
  <si>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</si>
  <si>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</si>
  <si>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</si>
  <si>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</si>
  <si>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</si>
  <si>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</si>
  <si>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</si>
  <si>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</si>
  <si>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</si>
  <si>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</si>
  <si>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</si>
  <si>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</si>
  <si>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</si>
  <si>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</si>
  <si>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</si>
  <si>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</si>
  <si>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</si>
  <si>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</si>
  <si>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</si>
  <si>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</si>
  <si>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</si>
  <si>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</si>
  <si>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</si>
  <si>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</si>
  <si>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</si>
  <si>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</si>
  <si>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</si>
  <si>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</si>
  <si>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</si>
  <si>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</si>
  <si>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</si>
  <si>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</si>
  <si>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</si>
  <si>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</si>
  <si>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</si>
  <si>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</si>
  <si>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</si>
  <si>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</si>
  <si>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</si>
  <si>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</si>
  <si>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</si>
  <si>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</si>
  <si>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</si>
  <si>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</si>
  <si>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</si>
  <si>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</si>
  <si>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</si>
  <si>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</si>
  <si>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</si>
  <si>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</si>
  <si>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</si>
  <si>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</si>
  <si>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</si>
  <si>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</si>
  <si>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</si>
  <si>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</si>
  <si>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</si>
  <si>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</si>
  <si>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</si>
  <si>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</si>
  <si>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</si>
  <si>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</si>
  <si>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</si>
  <si>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</si>
  <si>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</si>
  <si>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</si>
  <si>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</si>
  <si>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</si>
  <si>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</si>
  <si>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</si>
  <si>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</si>
  <si>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</si>
  <si>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</si>
  <si>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</si>
  <si>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</si>
  <si>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</si>
  <si>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</si>
  <si>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</si>
  <si>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</si>
  <si>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</si>
  <si>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</si>
  <si>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</si>
  <si>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</si>
  <si>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</si>
  <si>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</si>
  <si>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</si>
  <si>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</si>
  <si>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</si>
  <si>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</si>
  <si>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</si>
  <si>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</si>
  <si>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</si>
  <si>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</si>
  <si>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</si>
  <si>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</si>
  <si>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</si>
  <si>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</si>
  <si>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</si>
  <si>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</si>
  <si>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</si>
  <si>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</si>
  <si>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</si>
  <si>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</si>
  <si>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</si>
  <si>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</si>
  <si>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</si>
  <si>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</si>
  <si>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</si>
  <si>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</si>
  <si>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</si>
  <si>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</si>
  <si>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</si>
  <si>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</si>
  <si>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</si>
  <si>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</si>
  <si>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</si>
  <si>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</si>
  <si>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</si>
  <si>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</si>
  <si>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</si>
  <si>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</si>
  <si>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</si>
  <si>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</si>
  <si>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</si>
  <si>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</si>
  <si>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</si>
  <si>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</si>
  <si>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</si>
  <si>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</si>
  <si>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</si>
  <si>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</si>
  <si>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</si>
  <si>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</si>
  <si>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</si>
  <si>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</si>
  <si>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</si>
  <si>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</si>
  <si>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</si>
  <si>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</si>
  <si>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</si>
  <si>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</si>
  <si>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</si>
  <si>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</si>
  <si>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</si>
  <si>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</si>
  <si>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</si>
  <si>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</si>
  <si>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</si>
  <si>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</si>
  <si>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</si>
  <si>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</si>
  <si>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</si>
  <si>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</si>
  <si>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</si>
  <si>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</si>
  <si>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</si>
  <si>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</si>
  <si>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</si>
  <si>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</si>
  <si>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</si>
  <si>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</si>
  <si>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</si>
  <si>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</si>
  <si>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</si>
  <si>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</si>
  <si>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</si>
  <si>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</si>
  <si>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</si>
  <si>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</si>
  <si>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</si>
  <si>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</si>
  <si>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</si>
  <si>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</si>
  <si>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</si>
  <si>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</si>
  <si>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</si>
  <si>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</si>
  <si>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</si>
  <si>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</si>
  <si>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</si>
  <si>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</si>
  <si>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</si>
  <si>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</si>
  <si>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</si>
  <si>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</si>
  <si>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</si>
  <si>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</si>
  <si>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</si>
  <si>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</si>
  <si>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</si>
  <si>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</si>
  <si>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</si>
  <si>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</si>
  <si>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</si>
  <si>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</si>
  <si>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</si>
  <si>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</si>
  <si>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</si>
  <si>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</si>
  <si>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</si>
  <si>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</si>
  <si>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</si>
  <si>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</si>
  <si>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</si>
  <si>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</si>
  <si>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</si>
  <si>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</si>
  <si>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</si>
  <si>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</si>
  <si>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</si>
  <si>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</si>
  <si>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</si>
  <si>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</si>
  <si>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</si>
  <si>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</si>
  <si>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</si>
  <si>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</si>
  <si>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</si>
  <si>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</si>
  <si>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</si>
  <si>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</si>
  <si>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</si>
  <si>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</si>
  <si>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</si>
  <si>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</si>
  <si>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</si>
  <si>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</si>
  <si>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</si>
  <si>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</si>
  <si>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</si>
  <si>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</si>
  <si>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</si>
  <si>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</si>
  <si>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</si>
  <si>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</si>
  <si>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</si>
  <si>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</si>
  <si>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</si>
  <si>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</si>
  <si>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</si>
  <si>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</si>
  <si>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</si>
  <si>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</si>
  <si>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</si>
  <si>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</si>
  <si>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</si>
  <si>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</si>
  <si>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</si>
  <si>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</si>
  <si>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</si>
  <si>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</si>
  <si>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</si>
  <si>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</si>
  <si>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</si>
  <si>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</si>
  <si>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</si>
  <si>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</si>
  <si>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</si>
  <si>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</si>
  <si>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</si>
  <si>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</si>
  <si>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</si>
  <si>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</si>
  <si>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</si>
  <si>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</si>
  <si>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</si>
  <si>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</si>
  <si>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</si>
  <si>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</si>
  <si>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</si>
  <si>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</si>
  <si>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</si>
  <si>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</si>
  <si>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</si>
  <si>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</si>
  <si>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</si>
  <si>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</si>
  <si>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</si>
  <si>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</si>
  <si>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</si>
  <si>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</si>
  <si>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</si>
  <si>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</si>
  <si>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</si>
  <si>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</si>
  <si>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</si>
  <si>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</si>
  <si>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</si>
  <si>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</si>
  <si>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</si>
  <si>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</si>
  <si>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</si>
  <si>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</si>
  <si>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</si>
  <si>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</si>
  <si>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</si>
  <si>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</si>
  <si>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</si>
  <si>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</si>
  <si>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</si>
  <si>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</si>
  <si>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</si>
  <si>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</si>
  <si>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</si>
  <si>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</si>
  <si>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</si>
  <si>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</si>
  <si>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</si>
  <si>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</si>
  <si>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</si>
  <si>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</si>
  <si>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</si>
  <si>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</si>
  <si>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</si>
  <si>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</si>
  <si>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</si>
  <si>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</si>
  <si>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</si>
  <si>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</si>
  <si>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</si>
  <si>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</si>
  <si>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</si>
  <si>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</si>
  <si>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</si>
  <si>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</si>
  <si>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</si>
  <si>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</si>
  <si>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</si>
  <si>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</si>
  <si>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</si>
  <si>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</si>
  <si>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</si>
  <si>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</si>
  <si>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</si>
  <si>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</si>
  <si>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</si>
  <si>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</si>
  <si>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</si>
  <si>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</si>
  <si>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</si>
  <si>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</si>
  <si>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</si>
  <si>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</si>
  <si>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</si>
  <si>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</si>
  <si>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</si>
  <si>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</si>
  <si>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</si>
  <si>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</si>
  <si>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</si>
  <si>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</si>
  <si>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</si>
  <si>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</si>
  <si>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</si>
  <si>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</si>
  <si>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</si>
  <si>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</si>
  <si>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</si>
  <si>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</si>
  <si>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</si>
  <si>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</si>
  <si>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</si>
  <si>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</si>
  <si>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</si>
  <si>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</si>
  <si>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</si>
  <si>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</si>
  <si>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</si>
  <si>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</si>
  <si>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</si>
  <si>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</si>
  <si>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</si>
  <si>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</si>
  <si>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</si>
  <si>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</si>
  <si>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</si>
  <si>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</si>
  <si>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</si>
  <si>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</si>
  <si>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</si>
  <si>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</si>
  <si>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</si>
  <si>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</si>
  <si>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</si>
  <si>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</si>
  <si>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</si>
  <si>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</si>
  <si>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</si>
  <si>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</si>
  <si>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</si>
  <si>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</si>
  <si>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</si>
  <si>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</si>
  <si>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</si>
  <si>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</si>
  <si>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</si>
  <si>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</si>
  <si>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</si>
  <si>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</si>
  <si>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</si>
  <si>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</si>
  <si>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</si>
  <si>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</si>
  <si>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</si>
  <si>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</si>
  <si>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</si>
  <si>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</si>
  <si>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</si>
  <si>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</si>
  <si>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</si>
  <si>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</si>
  <si>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</si>
  <si>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</si>
  <si>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</si>
  <si>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</si>
  <si>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</si>
  <si>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</si>
  <si>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</si>
  <si>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</si>
  <si>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</si>
  <si>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</si>
  <si>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</si>
  <si>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</si>
  <si>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</si>
  <si>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</si>
  <si>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</si>
  <si>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</si>
  <si>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</si>
  <si>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</si>
  <si>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</si>
  <si>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</si>
  <si>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</si>
  <si>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</si>
  <si>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</si>
  <si>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</si>
  <si>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</si>
  <si>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</si>
  <si>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</si>
  <si>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</si>
  <si>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</si>
  <si>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</si>
  <si>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</si>
  <si>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</si>
  <si>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</si>
  <si>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</si>
  <si>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</si>
  <si>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</si>
  <si>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</si>
  <si>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</si>
  <si>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</si>
  <si>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</si>
  <si>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</si>
  <si>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</si>
  <si>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</si>
  <si>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</si>
  <si>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</si>
  <si>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</si>
  <si>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</si>
  <si>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</si>
  <si>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</si>
  <si>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</si>
  <si>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</si>
  <si>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</si>
  <si>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</si>
  <si>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</si>
  <si>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</si>
  <si>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</si>
  <si>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</si>
  <si>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</si>
  <si>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</si>
  <si>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</si>
  <si>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</si>
  <si>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</si>
  <si>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</si>
  <si>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</si>
  <si>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</si>
  <si>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</si>
  <si>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</si>
  <si>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</si>
  <si>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</si>
  <si>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</si>
  <si>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</si>
  <si>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</si>
  <si>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</si>
  <si>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</si>
  <si>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</si>
  <si>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</si>
  <si>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</si>
  <si>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</si>
  <si>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</si>
  <si>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</si>
  <si>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</si>
  <si>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</si>
  <si>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</si>
  <si>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</si>
  <si>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</si>
  <si>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</si>
  <si>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</si>
  <si>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</si>
  <si>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</si>
  <si>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</si>
  <si>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</si>
  <si>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</si>
  <si>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</si>
  <si>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</si>
  <si>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</si>
  <si>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</si>
  <si>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</si>
  <si>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</si>
  <si>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</si>
  <si>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</si>
  <si>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</si>
  <si>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</si>
  <si>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</si>
  <si>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</si>
  <si>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</si>
  <si>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</si>
  <si>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</si>
  <si>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</si>
  <si>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</si>
  <si>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</si>
  <si>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</si>
  <si>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</si>
  <si>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</si>
  <si>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</si>
  <si>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</si>
  <si>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</si>
  <si>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</si>
  <si>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</si>
  <si>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</si>
  <si>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</si>
  <si>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</si>
  <si>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</si>
  <si>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</si>
  <si>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</si>
  <si>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</si>
  <si>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</si>
  <si>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</si>
  <si>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</si>
  <si>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</si>
  <si>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</si>
  <si>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</si>
  <si>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</si>
  <si>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</si>
  <si>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</si>
  <si>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</si>
  <si>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</si>
  <si>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</si>
  <si>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</si>
  <si>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</si>
  <si>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</si>
  <si>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</si>
  <si>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</si>
  <si>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</si>
  <si>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</si>
  <si>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</si>
  <si>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</si>
  <si>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</si>
  <si>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</si>
  <si>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</si>
  <si>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</si>
  <si>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</si>
  <si>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</si>
  <si>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</si>
  <si>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</si>
  <si>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</si>
  <si>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</si>
  <si>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</si>
  <si>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</si>
  <si>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</si>
  <si>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</si>
  <si>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</si>
  <si>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</si>
  <si>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</si>
  <si>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</si>
  <si>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</si>
  <si>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</si>
  <si>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</si>
  <si>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</si>
  <si>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</si>
  <si>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</si>
  <si>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</si>
  <si>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</si>
  <si>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</si>
  <si>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</si>
  <si>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</si>
  <si>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</si>
  <si>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</si>
  <si>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</si>
  <si>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</si>
  <si>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</si>
  <si>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</si>
  <si>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</si>
  <si>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</si>
  <si>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</si>
  <si>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</si>
  <si>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</si>
  <si>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</si>
  <si>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</si>
  <si>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</si>
  <si>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</si>
  <si>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</si>
  <si>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</si>
  <si>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</si>
  <si>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</si>
  <si>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</si>
  <si>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</si>
  <si>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</si>
  <si>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</si>
  <si>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</si>
  <si>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</si>
  <si>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</si>
  <si>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</si>
  <si>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</si>
  <si>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</si>
  <si>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</si>
  <si>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</si>
  <si>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</si>
  <si>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</si>
  <si>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</si>
  <si>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</si>
  <si>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</si>
  <si>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</si>
  <si>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</si>
  <si>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</si>
  <si>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</si>
  <si>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</si>
  <si>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</si>
  <si>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</si>
  <si>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</si>
  <si>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</si>
  <si>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</si>
  <si>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</si>
  <si>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</si>
  <si>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</si>
  <si>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</si>
  <si>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</si>
  <si>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</si>
  <si>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</si>
  <si>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</si>
  <si>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</si>
  <si>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</si>
  <si>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</si>
  <si>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</si>
  <si>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</si>
  <si>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</si>
  <si>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</si>
  <si>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</si>
  <si>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</si>
  <si>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</si>
  <si>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</si>
  <si>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</si>
  <si>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</si>
  <si>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</si>
  <si>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</si>
  <si>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</si>
  <si>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</si>
  <si>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</si>
  <si>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</si>
  <si>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</si>
  <si>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</si>
  <si>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</si>
  <si>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</si>
  <si>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</si>
  <si>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</si>
  <si>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</si>
  <si>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</si>
  <si>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</si>
  <si>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</si>
  <si>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</si>
  <si>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</si>
  <si>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</si>
  <si>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</si>
  <si>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</si>
  <si>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</si>
  <si>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</si>
  <si>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</si>
  <si>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</si>
  <si>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</si>
  <si>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</si>
  <si>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</si>
  <si>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</si>
  <si>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</si>
  <si>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</si>
  <si>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</si>
  <si>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</si>
  <si>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</si>
  <si>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</si>
  <si>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</si>
  <si>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</si>
  <si>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</si>
  <si>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</si>
  <si>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</si>
  <si>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</si>
  <si>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</si>
  <si>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</si>
  <si>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</si>
  <si>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</si>
  <si>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</si>
  <si>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</si>
  <si>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</si>
  <si>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</si>
  <si>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</si>
  <si>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</si>
  <si>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</si>
  <si>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</si>
  <si>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</si>
  <si>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</si>
  <si>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</si>
  <si>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</si>
  <si>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</si>
  <si>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</si>
  <si>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</si>
  <si>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</si>
  <si>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</si>
  <si>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</si>
  <si>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</si>
  <si>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</si>
  <si>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</si>
  <si>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</si>
  <si>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</si>
  <si>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</si>
  <si>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</si>
  <si>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</si>
  <si>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</si>
  <si>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</si>
  <si>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</si>
  <si>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</si>
  <si>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</si>
  <si>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</si>
  <si>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</si>
  <si>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</si>
  <si>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</si>
  <si>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</si>
  <si>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</si>
  <si>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</si>
  <si>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</si>
  <si>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</si>
  <si>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</si>
  <si>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</si>
  <si>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</si>
  <si>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</si>
  <si>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</si>
  <si>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</si>
  <si>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</si>
  <si>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</si>
  <si>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</si>
  <si>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</si>
  <si>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</si>
  <si>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</si>
  <si>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</si>
  <si>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</si>
  <si>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</si>
  <si>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</si>
  <si>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</si>
  <si>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</si>
  <si>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</si>
  <si>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</si>
  <si>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</si>
  <si>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</si>
  <si>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</si>
  <si>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</si>
  <si>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</si>
  <si>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</si>
  <si>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</si>
  <si>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</si>
  <si>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</si>
  <si>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</si>
  <si>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</si>
  <si>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</si>
  <si>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</si>
  <si>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</si>
  <si>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</si>
  <si>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</si>
  <si>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</si>
  <si>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</si>
  <si>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</si>
  <si>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</si>
  <si>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</si>
  <si>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</si>
  <si>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</si>
  <si>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</si>
  <si>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</si>
  <si>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</si>
  <si>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</si>
  <si>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</si>
  <si>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</si>
  <si>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</si>
  <si>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</si>
  <si>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</si>
  <si>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</si>
  <si>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</si>
  <si>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</si>
  <si>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</si>
  <si>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</si>
  <si>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</si>
  <si>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</si>
  <si>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</si>
  <si>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</si>
  <si>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</si>
  <si>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</si>
  <si>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</si>
  <si>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</si>
  <si>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</si>
  <si>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</si>
  <si>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</si>
  <si>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</si>
  <si>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</si>
  <si>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</si>
  <si>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</si>
  <si>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</si>
  <si>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</si>
  <si>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</si>
  <si>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</si>
  <si>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</si>
  <si>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</si>
  <si>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</si>
  <si>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</si>
  <si>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</si>
  <si>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</si>
  <si>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</si>
  <si>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</si>
  <si>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</si>
  <si>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</si>
  <si>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</si>
  <si>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</si>
  <si>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</si>
  <si>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</si>
  <si>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</si>
  <si>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</si>
  <si>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</si>
  <si>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</si>
  <si>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</si>
  <si>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</si>
  <si>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</si>
  <si>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</si>
  <si>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</si>
  <si>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</si>
  <si>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</si>
  <si>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</si>
  <si>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</si>
  <si>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</si>
  <si>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</si>
  <si>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</si>
  <si>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</si>
  <si>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</si>
  <si>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</si>
  <si>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</si>
  <si>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</si>
  <si>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</si>
  <si>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</si>
  <si>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</si>
  <si>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</si>
  <si>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</si>
  <si>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</si>
  <si>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</si>
  <si>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</si>
  <si>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</si>
  <si>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</si>
  <si>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</si>
  <si>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</si>
  <si>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</si>
  <si>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</si>
  <si>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</si>
  <si>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</si>
  <si>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</si>
  <si>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</si>
  <si>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</si>
  <si>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</si>
  <si>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</si>
  <si>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</si>
  <si>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</si>
  <si>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</si>
  <si>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</si>
  <si>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</si>
  <si>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</si>
  <si>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</si>
  <si>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</si>
  <si>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</si>
  <si>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</si>
  <si>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</si>
  <si>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</si>
  <si>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</si>
  <si>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</si>
  <si>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</si>
  <si>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</si>
  <si>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</si>
  <si>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</si>
  <si>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</si>
  <si>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</si>
  <si>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</si>
  <si>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</si>
  <si>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</si>
  <si>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</si>
  <si>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</si>
  <si>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</si>
  <si>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</si>
  <si>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</si>
  <si>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</si>
  <si>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</si>
  <si>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</si>
  <si>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</si>
  <si>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</si>
  <si>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</si>
  <si>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</si>
  <si>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</si>
  <si>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</si>
  <si>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</si>
  <si>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</si>
  <si>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</si>
  <si>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</si>
  <si>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</si>
  <si>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</si>
  <si>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</si>
  <si>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</si>
  <si>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</si>
  <si>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</si>
  <si>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</si>
  <si>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</si>
  <si>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</si>
  <si>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</si>
  <si>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</si>
  <si>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</si>
  <si>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</si>
  <si>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</si>
  <si>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</si>
  <si>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</si>
  <si>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</si>
  <si>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</si>
  <si>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</si>
  <si>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</si>
  <si>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</si>
  <si>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</si>
  <si>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</si>
  <si>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</si>
  <si>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</si>
  <si>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</si>
  <si>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</si>
  <si>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</si>
  <si>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</si>
  <si>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</si>
  <si>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</si>
  <si>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</si>
  <si>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</si>
  <si>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</si>
  <si>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</si>
  <si>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</si>
  <si>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</si>
  <si>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</si>
  <si>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</si>
  <si>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</si>
  <si>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</si>
  <si>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</si>
  <si>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</si>
  <si>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</si>
  <si>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</si>
  <si>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</si>
  <si>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</si>
  <si>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</si>
  <si>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</si>
  <si>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</si>
  <si>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</si>
  <si>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</si>
  <si>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</si>
  <si>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</si>
  <si>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</si>
  <si>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</si>
  <si>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</si>
  <si>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</si>
  <si>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</si>
  <si>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</si>
  <si>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</si>
  <si>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</si>
  <si>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</si>
  <si>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</si>
  <si>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</si>
  <si>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</si>
  <si>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</si>
  <si>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</si>
  <si>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</si>
  <si>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</si>
  <si>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</si>
  <si>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</si>
  <si>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</si>
  <si>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</si>
  <si>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</si>
  <si>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</si>
  <si>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</si>
  <si>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</si>
  <si>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</si>
  <si>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</si>
  <si>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</si>
  <si>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</si>
  <si>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</si>
  <si>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</si>
  <si>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</si>
  <si>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</si>
  <si>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</si>
  <si>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</si>
  <si>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</si>
  <si>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</si>
  <si>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</si>
  <si>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</si>
  <si>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</si>
  <si>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</si>
  <si>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</si>
  <si>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</si>
  <si>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</si>
  <si>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</si>
  <si>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</si>
  <si>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</si>
  <si>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</si>
  <si>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</si>
  <si>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</si>
  <si>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</si>
  <si>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</si>
  <si>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</si>
  <si>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</si>
  <si>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</si>
  <si>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</si>
  <si>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</si>
  <si>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</si>
  <si>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</si>
  <si>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</si>
  <si>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</si>
  <si>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</si>
  <si>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</si>
  <si>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</si>
  <si>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</si>
  <si>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</si>
  <si>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</si>
  <si>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</si>
  <si>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</si>
  <si>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</si>
  <si>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</si>
  <si>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</si>
  <si>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</si>
  <si>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</si>
  <si>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</si>
  <si>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</si>
  <si>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</si>
  <si>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</si>
  <si>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</si>
  <si>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</si>
  <si>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</si>
  <si>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</si>
  <si>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</si>
  <si>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</si>
  <si>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</si>
  <si>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</si>
  <si>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</si>
  <si>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</si>
  <si>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</si>
  <si>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</si>
  <si>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</si>
  <si>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</si>
  <si>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</si>
  <si>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</si>
  <si>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</si>
  <si>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</si>
  <si>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</si>
  <si>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</si>
  <si>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</si>
  <si>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</si>
  <si>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</si>
  <si>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</si>
  <si>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</si>
  <si>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</si>
  <si>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</si>
  <si>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</si>
  <si>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</si>
  <si>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</si>
  <si>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</si>
  <si>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</si>
  <si>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</si>
  <si>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</si>
  <si>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</si>
  <si>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</si>
  <si>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</si>
  <si>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</si>
  <si>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</si>
  <si>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</si>
  <si>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</si>
  <si>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</si>
  <si>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</si>
  <si>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</si>
  <si>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</si>
  <si>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</si>
  <si>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</si>
  <si>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</si>
  <si>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</si>
  <si>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</si>
  <si>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</si>
  <si>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</si>
  <si>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</si>
  <si>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</si>
  <si>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</si>
  <si>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</si>
  <si>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</si>
  <si>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</si>
  <si>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</si>
  <si>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</si>
  <si>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</si>
  <si>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</si>
  <si>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</si>
  <si>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</si>
  <si>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</si>
  <si>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</si>
  <si>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</si>
  <si>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</si>
  <si>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</si>
  <si>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</si>
  <si>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</si>
  <si>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</si>
  <si>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</si>
  <si>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</si>
  <si>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</si>
  <si>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</si>
  <si>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</si>
  <si>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</si>
  <si>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</si>
  <si>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</si>
  <si>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</si>
  <si>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</si>
  <si>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</si>
  <si>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</si>
  <si>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</si>
  <si>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</si>
  <si>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</si>
  <si>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</si>
  <si>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</si>
  <si>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</si>
  <si>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</si>
  <si>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</si>
  <si>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</si>
  <si>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</si>
  <si>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</si>
  <si>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</si>
  <si>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</si>
  <si>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</si>
  <si>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</si>
  <si>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</si>
  <si>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</si>
  <si>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</si>
  <si>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</si>
  <si>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</si>
  <si>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</si>
  <si>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</si>
  <si>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</si>
  <si>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</si>
  <si>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</si>
  <si>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</si>
  <si>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</si>
  <si>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</si>
  <si>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</si>
  <si>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</si>
  <si>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</si>
  <si>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</si>
  <si>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</si>
  <si>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</si>
  <si>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</si>
  <si>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</si>
  <si>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</si>
  <si>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</si>
  <si>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</si>
  <si>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</si>
  <si>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</si>
  <si>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</si>
  <si>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</si>
  <si>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</si>
  <si>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</si>
  <si>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</si>
  <si>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</si>
  <si>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</si>
  <si>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</si>
  <si>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</si>
  <si>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</si>
  <si>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</si>
  <si>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</si>
  <si>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</si>
  <si>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</si>
  <si>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</si>
  <si>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</si>
  <si>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</si>
  <si>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</si>
  <si>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</si>
  <si>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</si>
  <si>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</si>
  <si>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</si>
  <si>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</si>
  <si>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</si>
  <si>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</si>
  <si>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</si>
  <si>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</si>
  <si>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</si>
  <si>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</si>
  <si>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</si>
  <si>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</si>
  <si>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</si>
  <si>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</si>
  <si>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</si>
  <si>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</si>
  <si>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</si>
  <si>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</si>
  <si>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</si>
  <si>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</si>
  <si>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</si>
  <si>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</si>
  <si>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</si>
  <si>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</si>
  <si>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</si>
  <si>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</si>
  <si>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</si>
  <si>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</si>
  <si>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</si>
  <si>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</si>
  <si>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</si>
  <si>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</si>
  <si>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</si>
  <si>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</si>
  <si>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</si>
  <si>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</si>
  <si>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</si>
  <si>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</si>
  <si>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</si>
  <si>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</si>
  <si>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</si>
  <si>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</si>
  <si>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</si>
  <si>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</si>
  <si>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</si>
  <si>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</si>
  <si>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</si>
  <si>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</si>
  <si>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</si>
  <si>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</si>
  <si>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</si>
  <si>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</si>
  <si>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</si>
  <si>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</si>
  <si>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</si>
  <si>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</si>
  <si>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</si>
  <si>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</si>
  <si>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</si>
  <si>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</si>
  <si>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</si>
  <si>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</si>
  <si>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</si>
  <si>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</si>
  <si>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</si>
  <si>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</si>
  <si>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</si>
  <si>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</si>
  <si>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</si>
  <si>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</si>
  <si>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</si>
  <si>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</si>
  <si>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</si>
  <si>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</si>
  <si>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</si>
  <si>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</si>
  <si>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</si>
  <si>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</si>
  <si>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</si>
  <si>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</si>
  <si>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</si>
  <si>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</si>
  <si>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</si>
  <si>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</si>
  <si>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</si>
  <si>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</si>
  <si>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</si>
  <si>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</si>
  <si>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</si>
  <si>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</si>
  <si>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</si>
  <si>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</si>
  <si>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</si>
  <si>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</si>
  <si>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</si>
  <si>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</si>
  <si>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</si>
  <si>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</si>
  <si>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</si>
  <si>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</si>
  <si>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</si>
  <si>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</si>
  <si>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</si>
  <si>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</si>
  <si>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</si>
  <si>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</si>
  <si>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</si>
  <si>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</si>
  <si>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</si>
  <si>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</si>
  <si>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</si>
  <si>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</si>
  <si>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</si>
  <si>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</si>
  <si>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</si>
  <si>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</si>
  <si>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</si>
  <si>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</si>
  <si>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</si>
  <si>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</si>
  <si>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</si>
  <si>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</si>
  <si>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</si>
  <si>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</si>
  <si>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</si>
  <si>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</si>
  <si>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</si>
  <si>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</si>
  <si>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</si>
  <si>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</si>
  <si>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</si>
  <si>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</si>
  <si>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</si>
  <si>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</si>
  <si>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</si>
  <si>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</si>
  <si>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</si>
  <si>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</si>
  <si>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</si>
  <si>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</si>
  <si>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</si>
  <si>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</si>
  <si>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</si>
  <si>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</si>
  <si>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</si>
  <si>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</si>
  <si>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</si>
  <si>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</si>
  <si>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</si>
  <si>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</si>
  <si>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</si>
  <si>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</si>
  <si>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</si>
  <si>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</si>
  <si>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</si>
  <si>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</si>
  <si>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</si>
  <si>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</si>
  <si>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</si>
  <si>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</si>
  <si>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</si>
  <si>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</si>
  <si>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</si>
  <si>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</si>
  <si>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</si>
  <si>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</si>
  <si>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</si>
  <si>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</si>
  <si>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</si>
  <si>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</si>
  <si>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</si>
  <si>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</si>
  <si>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</si>
  <si>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</si>
  <si>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</si>
  <si>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</si>
  <si>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</si>
  <si>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</si>
  <si>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</si>
  <si>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</si>
  <si>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</si>
  <si>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</si>
  <si>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</si>
  <si>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</si>
  <si>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</si>
  <si>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</si>
  <si>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</si>
  <si>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</si>
  <si>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</si>
  <si>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</si>
  <si>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</si>
  <si>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</si>
  <si>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</si>
  <si>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</si>
  <si>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</si>
  <si>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</si>
  <si>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</si>
  <si>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</si>
  <si>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</si>
  <si>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</si>
  <si>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</si>
  <si>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</si>
  <si>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</si>
  <si>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</si>
  <si>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</si>
  <si>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</si>
  <si>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</si>
  <si>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</si>
  <si>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</si>
  <si>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</si>
  <si>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</si>
  <si>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</si>
  <si>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</si>
  <si>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</si>
  <si>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</si>
  <si>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</si>
  <si>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</si>
  <si>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</si>
  <si>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</si>
  <si>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</si>
  <si>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</si>
  <si>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</si>
  <si>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</si>
  <si>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</si>
  <si>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</si>
  <si>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</si>
  <si>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</si>
  <si>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</si>
  <si>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</si>
  <si>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</si>
  <si>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</si>
  <si>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</si>
  <si>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</si>
  <si>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</si>
  <si>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</si>
  <si>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</si>
  <si>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</si>
  <si>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</si>
  <si>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</si>
  <si>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</si>
  <si>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</si>
  <si>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</si>
  <si>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</si>
  <si>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</si>
  <si>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</si>
  <si>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</si>
  <si>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</si>
  <si>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</si>
  <si>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</si>
  <si>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</si>
  <si>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</si>
  <si>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</si>
  <si>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</si>
  <si>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</si>
  <si>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</si>
  <si>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</si>
  <si>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</si>
  <si>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</si>
  <si>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</si>
  <si>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</si>
  <si>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</si>
  <si>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</si>
  <si>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</si>
  <si>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</si>
  <si>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</si>
  <si>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</si>
  <si>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</si>
  <si>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</si>
  <si>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</si>
  <si>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</si>
  <si>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</si>
  <si>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</si>
  <si>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</si>
  <si>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</si>
  <si>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</si>
  <si>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</si>
  <si>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</si>
  <si>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</si>
  <si>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</si>
  <si>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</si>
  <si>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</si>
  <si>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</si>
  <si>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</si>
  <si>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</si>
  <si>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</si>
  <si>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</si>
  <si>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</si>
  <si>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</si>
  <si>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</si>
  <si>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</si>
  <si>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</si>
  <si>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</si>
  <si>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</si>
  <si>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</si>
  <si>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</si>
  <si>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</si>
  <si>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</si>
  <si>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</si>
  <si>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</si>
  <si>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</si>
  <si>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</si>
  <si>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</si>
  <si>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</si>
  <si>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</si>
  <si>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</si>
  <si>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</si>
  <si>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</si>
  <si>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</si>
  <si>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</si>
  <si>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</si>
  <si>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</si>
  <si>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</si>
  <si>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</si>
  <si>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</si>
  <si>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</si>
  <si>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</si>
  <si>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</si>
  <si>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</si>
  <si>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</si>
  <si>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</si>
  <si>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</si>
  <si>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</si>
  <si>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</si>
  <si>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</si>
  <si>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</si>
  <si>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</si>
  <si>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</si>
  <si>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</si>
  <si>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</si>
  <si>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</si>
  <si>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</si>
  <si>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</si>
  <si>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</si>
  <si>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</si>
  <si>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</si>
  <si>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</si>
  <si>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</si>
  <si>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</si>
  <si>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</si>
  <si>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</si>
  <si>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</si>
  <si>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</si>
  <si>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</si>
  <si>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</si>
  <si>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</si>
  <si>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</si>
  <si>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</si>
  <si>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</si>
  <si>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</si>
  <si>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</si>
  <si>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</si>
  <si>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</si>
  <si>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</si>
  <si>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</si>
  <si>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</si>
  <si>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</si>
  <si>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</si>
  <si>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</si>
  <si>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</si>
  <si>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</si>
  <si>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</si>
  <si>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</si>
  <si>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</si>
  <si>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</si>
  <si>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</si>
  <si>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</si>
  <si>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</si>
  <si>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</si>
  <si>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</si>
  <si>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</si>
  <si>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</si>
  <si>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</si>
  <si>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</si>
  <si>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</si>
  <si>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</si>
  <si>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</si>
  <si>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</si>
  <si>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</si>
  <si>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</si>
  <si>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</si>
  <si>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</si>
  <si>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</si>
  <si>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</si>
  <si>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</si>
  <si>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</si>
  <si>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</si>
  <si>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</si>
  <si>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</si>
  <si>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</si>
  <si>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</si>
  <si>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</si>
  <si>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</si>
  <si>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</si>
  <si>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</si>
  <si>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</si>
  <si>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</si>
  <si>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</si>
  <si>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</si>
  <si>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</si>
  <si>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</si>
  <si>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</si>
  <si>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</si>
  <si>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</si>
  <si>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</si>
  <si>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</si>
  <si>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</si>
  <si>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</si>
  <si>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</si>
  <si>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</si>
  <si>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</si>
  <si>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</si>
  <si>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</si>
  <si>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</si>
  <si>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</si>
  <si>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</si>
  <si>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</si>
  <si>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</si>
  <si>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</si>
  <si>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</si>
  <si>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</si>
  <si>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</si>
  <si>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</si>
  <si>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</si>
  <si>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</si>
  <si>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</si>
  <si>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</si>
  <si>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</si>
  <si>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</si>
  <si>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</si>
  <si>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</si>
  <si>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</si>
  <si>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</si>
  <si>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</si>
  <si>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</si>
  <si>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</si>
  <si>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</si>
  <si>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</si>
  <si>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</si>
  <si>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</si>
  <si>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</si>
  <si>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</si>
  <si>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</si>
  <si>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</si>
  <si>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</si>
  <si>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</si>
  <si>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</si>
  <si>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</si>
  <si>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</si>
  <si>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</si>
  <si>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</si>
  <si>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</si>
  <si>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</si>
  <si>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</si>
  <si>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</si>
  <si>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</si>
  <si>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</si>
  <si>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</si>
  <si>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</si>
  <si>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</si>
  <si>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</si>
  <si>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</si>
  <si>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</si>
  <si>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</si>
  <si>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</si>
  <si>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</si>
  <si>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</si>
  <si>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</si>
  <si>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</si>
  <si>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</si>
  <si>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</si>
  <si>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</si>
  <si>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</si>
  <si>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</si>
  <si>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</si>
  <si>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</si>
  <si>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</si>
  <si>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</si>
  <si>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</si>
  <si>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</si>
  <si>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</si>
  <si>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</si>
  <si>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</si>
  <si>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</si>
  <si>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</si>
  <si>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</si>
  <si>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</si>
  <si>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</si>
  <si>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</si>
  <si>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</si>
  <si>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</si>
  <si>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</si>
  <si>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</si>
  <si>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</si>
  <si>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</si>
  <si>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</si>
  <si>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</si>
  <si>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</si>
  <si>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</si>
  <si>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</si>
  <si>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</si>
  <si>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</si>
  <si>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</si>
  <si>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</si>
  <si>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</si>
  <si>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</si>
  <si>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</si>
  <si>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</si>
  <si>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</si>
  <si>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</si>
  <si>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</si>
  <si>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</si>
  <si>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</si>
  <si>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</si>
  <si>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</si>
  <si>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</si>
  <si>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</si>
  <si>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</si>
  <si>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</si>
  <si>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</si>
  <si>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</si>
  <si>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</si>
  <si>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</si>
  <si>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</si>
  <si>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</si>
  <si>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</si>
  <si>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</si>
  <si>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</si>
  <si>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</si>
  <si>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</si>
  <si>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</si>
  <si>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</si>
  <si>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</si>
  <si>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</si>
  <si>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</si>
  <si>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</si>
  <si>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</si>
  <si>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</si>
  <si>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</si>
  <si>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</si>
  <si>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</si>
  <si>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</si>
  <si>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</si>
  <si>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</si>
  <si>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</si>
  <si>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</si>
  <si>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</si>
  <si>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</si>
  <si>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</si>
  <si>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</si>
  <si>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</si>
  <si>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</si>
  <si>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</si>
  <si>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</si>
  <si>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</si>
  <si>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</si>
  <si>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</si>
  <si>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</si>
  <si>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</si>
  <si>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</si>
  <si>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</si>
  <si>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</si>
  <si>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</si>
  <si>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</si>
  <si>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</si>
  <si>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</si>
  <si>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</si>
  <si>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</si>
  <si>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</si>
  <si>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</si>
  <si>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</si>
  <si>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</si>
  <si>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</si>
  <si>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</si>
  <si>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</si>
  <si>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</si>
  <si>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</si>
  <si>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</si>
  <si>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</si>
  <si>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</si>
  <si>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</si>
  <si>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</si>
  <si>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</si>
  <si>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</si>
  <si>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</si>
  <si>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</si>
  <si>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</si>
  <si>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</si>
  <si>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</si>
  <si>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</si>
  <si>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</si>
  <si>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</si>
  <si>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</si>
  <si>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</si>
  <si>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</si>
  <si>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</si>
  <si>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</si>
  <si>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</si>
  <si>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</si>
  <si>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</si>
  <si>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</si>
  <si>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</si>
  <si>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</si>
  <si>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</si>
  <si>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</si>
  <si>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</si>
  <si>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</si>
  <si>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</si>
  <si>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</si>
  <si>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</si>
  <si>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</si>
  <si>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</si>
  <si>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</si>
  <si>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</si>
  <si>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</si>
  <si>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</si>
  <si>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</si>
  <si>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</si>
  <si>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</si>
  <si>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</si>
  <si>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</si>
  <si>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</si>
  <si>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</si>
  <si>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</si>
  <si>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</si>
  <si>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</si>
  <si>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</si>
  <si>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</si>
  <si>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</si>
  <si>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</si>
  <si>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</si>
  <si>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</si>
  <si>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</si>
  <si>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</si>
  <si>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</si>
  <si>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</si>
  <si>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</si>
  <si>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</si>
  <si>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</si>
  <si>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</si>
  <si>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</si>
  <si>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</si>
  <si>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</si>
  <si>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</si>
  <si>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</si>
  <si>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</si>
  <si>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</si>
  <si>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</si>
  <si>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</si>
  <si>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</si>
  <si>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</si>
  <si>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</si>
  <si>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</si>
  <si>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</si>
  <si>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</si>
  <si>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</si>
  <si>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</si>
  <si>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</si>
  <si>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</si>
  <si>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</si>
  <si>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</si>
  <si>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</si>
  <si>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</si>
  <si>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</si>
  <si>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</si>
  <si>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</si>
  <si>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</si>
  <si>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</si>
  <si>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</si>
  <si>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</si>
  <si>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</si>
  <si>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</si>
  <si>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</si>
  <si>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</si>
  <si>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</si>
  <si>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</si>
  <si>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</si>
  <si>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</si>
  <si>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</si>
  <si>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</si>
  <si>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</si>
  <si>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</si>
  <si>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</si>
  <si>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</si>
  <si>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</si>
  <si>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</si>
  <si>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</si>
  <si>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</si>
  <si>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</si>
  <si>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</si>
  <si>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</si>
  <si>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</si>
  <si>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</si>
  <si>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</si>
  <si>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</si>
  <si>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</si>
  <si>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</si>
  <si>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</si>
  <si>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</si>
  <si>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</si>
  <si>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</si>
  <si>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</si>
  <si>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</si>
  <si>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</si>
  <si>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</si>
  <si>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</si>
  <si>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</si>
  <si>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</si>
  <si>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</si>
  <si>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</si>
  <si>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</si>
  <si>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</si>
  <si>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</si>
  <si>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</si>
  <si>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</si>
  <si>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</si>
  <si>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</si>
  <si>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</si>
  <si>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</si>
  <si>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</si>
  <si>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</si>
  <si>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</si>
  <si>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</si>
  <si>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</si>
  <si>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</si>
  <si>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</si>
  <si>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</si>
  <si>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</si>
  <si>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</si>
  <si>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</si>
  <si>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</si>
  <si>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</si>
  <si>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</si>
  <si>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</si>
  <si>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</si>
  <si>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</si>
  <si>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</si>
  <si>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</si>
  <si>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</si>
  <si>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</si>
  <si>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</si>
  <si>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</si>
  <si>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</si>
  <si>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</si>
  <si>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</si>
  <si>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</si>
  <si>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</si>
  <si>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</si>
  <si>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</si>
  <si>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</si>
  <si>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</si>
  <si>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</si>
  <si>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</si>
  <si>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</si>
  <si>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</si>
  <si>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</si>
  <si>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</si>
  <si>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</si>
  <si>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</si>
  <si>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</si>
  <si>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</si>
  <si>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</si>
  <si>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</si>
  <si>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</si>
  <si>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</si>
  <si>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</si>
  <si>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</si>
  <si>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</si>
  <si>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</si>
  <si>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</si>
  <si>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</si>
  <si>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</si>
  <si>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</si>
  <si>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</si>
  <si>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</si>
  <si>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</si>
  <si>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</si>
  <si>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</si>
  <si>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</si>
  <si>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</si>
  <si>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</si>
  <si>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</si>
  <si>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</si>
  <si>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</si>
  <si>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</si>
  <si>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</si>
  <si>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</si>
  <si>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</si>
  <si>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</si>
  <si>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</si>
  <si>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</si>
  <si>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</si>
  <si>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</si>
  <si>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</si>
  <si>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</si>
  <si>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</si>
  <si>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</si>
  <si>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</si>
  <si>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</si>
  <si>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</si>
  <si>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</si>
  <si>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</si>
  <si>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</si>
  <si>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</si>
  <si>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</si>
  <si>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</si>
  <si>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</si>
  <si>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</si>
  <si>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</si>
  <si>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</si>
  <si>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</si>
  <si>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</si>
  <si>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</si>
  <si>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</si>
  <si>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</si>
  <si>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</si>
  <si>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</si>
  <si>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</si>
  <si>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</si>
  <si>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</si>
  <si>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</si>
  <si>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</si>
  <si>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</si>
  <si>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</si>
  <si>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</si>
  <si>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</si>
  <si>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</si>
  <si>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</si>
  <si>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</si>
  <si>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</si>
  <si>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</si>
  <si>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</si>
  <si>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</si>
  <si>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</si>
  <si>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</si>
  <si>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</si>
  <si>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</si>
  <si>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</si>
  <si>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</si>
  <si>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</si>
  <si>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</si>
  <si>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</si>
  <si>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</si>
  <si>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</si>
  <si>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</si>
  <si>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</si>
  <si>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</si>
  <si>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</si>
  <si>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</si>
  <si>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</si>
  <si>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</si>
  <si>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</si>
  <si>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</si>
  <si>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</si>
  <si>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</si>
  <si>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</si>
  <si>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</si>
  <si>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</si>
  <si>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</si>
  <si>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</si>
  <si>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</si>
  <si>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</si>
  <si>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</si>
  <si>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</si>
  <si>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</si>
  <si>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</si>
  <si>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</si>
  <si>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</si>
  <si>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</si>
  <si>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</si>
  <si>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</si>
  <si>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</si>
  <si>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</si>
  <si>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</si>
  <si>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</si>
  <si>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</si>
  <si>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</si>
  <si>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</si>
  <si>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</si>
  <si>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</si>
  <si>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</si>
  <si>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</si>
  <si>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</si>
  <si>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</si>
  <si>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</si>
  <si>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</si>
  <si>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</si>
  <si>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</si>
  <si>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</si>
  <si>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</si>
  <si>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</si>
  <si>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</si>
  <si>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</si>
  <si>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</si>
  <si>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</si>
  <si>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</si>
  <si>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</si>
  <si>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</si>
  <si>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</si>
  <si>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</si>
  <si>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</si>
  <si>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</si>
  <si>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</si>
  <si>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</si>
  <si>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</si>
  <si>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</si>
  <si>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</si>
  <si>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</si>
  <si>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</si>
  <si>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</si>
  <si>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</si>
  <si>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</si>
  <si>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</si>
  <si>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</si>
  <si>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</si>
  <si>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</si>
  <si>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</si>
  <si>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</si>
  <si>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</si>
  <si>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</si>
  <si>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</si>
  <si>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</si>
  <si>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</si>
  <si>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</si>
  <si>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</si>
  <si>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</si>
  <si>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</si>
  <si>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</si>
  <si>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</si>
  <si>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</si>
  <si>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</si>
  <si>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</si>
  <si>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</si>
  <si>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</si>
  <si>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</si>
  <si>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</si>
  <si>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</si>
  <si>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</si>
  <si>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</si>
  <si>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</si>
  <si>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</si>
  <si>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</si>
  <si>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</si>
  <si>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</si>
  <si>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</si>
  <si>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</si>
  <si>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</si>
  <si>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</si>
  <si>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</si>
  <si>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</si>
  <si>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</si>
  <si>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</si>
  <si>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</si>
  <si>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</si>
  <si>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</si>
  <si>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</si>
  <si>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</si>
  <si>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</si>
  <si>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</si>
  <si>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</si>
  <si>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</si>
  <si>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</si>
  <si>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</si>
  <si>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</si>
  <si>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</si>
  <si>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</si>
  <si>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</si>
  <si>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</si>
  <si>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</si>
  <si>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</si>
  <si>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</si>
  <si>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</si>
  <si>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</si>
  <si>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</si>
  <si>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</si>
  <si>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</si>
  <si>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</si>
  <si>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</si>
  <si>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</si>
  <si>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</si>
  <si>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</si>
  <si>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</si>
  <si>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</si>
  <si>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</si>
  <si>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</si>
  <si>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</si>
  <si>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</si>
  <si>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</si>
  <si>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</si>
  <si>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</si>
  <si>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</si>
  <si>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</si>
  <si>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</si>
  <si>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</si>
  <si>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</si>
  <si>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</si>
  <si>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</si>
  <si>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</si>
  <si>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</si>
  <si>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</si>
  <si>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</si>
  <si>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</si>
  <si>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</si>
  <si>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</si>
  <si>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</si>
  <si>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</si>
  <si>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</si>
  <si>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</si>
  <si>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</si>
  <si>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</si>
  <si>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</si>
  <si>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</si>
  <si>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</si>
  <si>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</si>
  <si>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</si>
  <si>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</si>
  <si>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</si>
  <si>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</si>
  <si>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</si>
  <si>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</si>
  <si>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</si>
  <si>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</si>
  <si>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</si>
  <si>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</si>
  <si>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</si>
  <si>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</si>
  <si>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</si>
  <si>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</si>
  <si>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</si>
  <si>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</si>
  <si>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</si>
  <si>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</si>
  <si>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</si>
  <si>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</si>
  <si>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</si>
  <si>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</si>
  <si>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</si>
  <si>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</si>
  <si>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</si>
  <si>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</si>
  <si>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</si>
  <si>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</si>
  <si>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</si>
  <si>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</si>
  <si>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</si>
  <si>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</si>
  <si>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</si>
  <si>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</si>
  <si>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</si>
  <si>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</si>
  <si>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</si>
  <si>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</si>
  <si>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</si>
  <si>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</si>
  <si>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</si>
  <si>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</si>
  <si>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</si>
  <si>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</si>
  <si>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</si>
  <si>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</si>
  <si>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</si>
  <si>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</si>
  <si>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</si>
  <si>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</si>
  <si>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</si>
  <si>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</si>
  <si>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</si>
  <si>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</si>
  <si>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</si>
  <si>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</si>
  <si>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</si>
  <si>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</si>
  <si>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</si>
  <si>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</si>
  <si>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</si>
  <si>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</si>
  <si>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</si>
  <si>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</si>
  <si>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</si>
  <si>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</si>
  <si>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</si>
  <si>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</si>
  <si>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</si>
  <si>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</si>
  <si>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</si>
  <si>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</si>
  <si>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</si>
  <si>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</si>
  <si>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</si>
  <si>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</si>
  <si>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</si>
  <si>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</si>
  <si>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</si>
  <si>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</si>
  <si>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</si>
  <si>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</si>
  <si>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</si>
  <si>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</si>
  <si>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</si>
  <si>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</si>
  <si>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</si>
  <si>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</si>
  <si>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</si>
  <si>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</si>
  <si>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</si>
  <si>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</si>
  <si>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</si>
  <si>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</si>
  <si>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</si>
  <si>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</si>
  <si>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</si>
  <si>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</si>
  <si>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</si>
  <si>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</si>
  <si>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</si>
  <si>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</si>
  <si>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</si>
  <si>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</si>
  <si>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</si>
  <si>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</si>
  <si>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</si>
  <si>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</si>
  <si>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</si>
  <si>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</si>
  <si>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</si>
  <si>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</si>
  <si>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</si>
  <si>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</si>
  <si>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</si>
  <si>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</si>
  <si>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</si>
  <si>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</si>
  <si>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</si>
  <si>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</si>
  <si>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</si>
  <si>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</si>
  <si>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</si>
  <si>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</si>
  <si>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</si>
  <si>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</si>
  <si>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</si>
  <si>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</si>
  <si>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</si>
  <si>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</si>
  <si>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</si>
  <si>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</si>
  <si>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</si>
  <si>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</si>
  <si>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</si>
  <si>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</si>
  <si>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</si>
  <si>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</si>
  <si>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</si>
  <si>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</si>
  <si>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</si>
  <si>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</si>
  <si>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</si>
  <si>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</si>
  <si>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</si>
  <si>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</si>
  <si>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</si>
  <si>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</si>
  <si>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</si>
  <si>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</si>
  <si>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</si>
  <si>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</si>
  <si>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</si>
  <si>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</si>
  <si>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</si>
  <si>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</si>
  <si>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</si>
  <si>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</si>
  <si>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</si>
  <si>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</si>
  <si>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</si>
  <si>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</si>
  <si>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</si>
  <si>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</si>
  <si>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</si>
  <si>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</si>
  <si>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</si>
  <si>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</si>
  <si>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</si>
  <si>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</si>
  <si>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</si>
  <si>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</si>
  <si>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</si>
  <si>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</si>
  <si>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</si>
  <si>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</si>
  <si>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</si>
  <si>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</si>
  <si>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</si>
  <si>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</si>
  <si>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</si>
  <si>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</si>
  <si>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</si>
  <si>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</si>
  <si>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</si>
  <si>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</si>
  <si>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</si>
  <si>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</si>
  <si>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</si>
  <si>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</si>
  <si>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</si>
  <si>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</si>
  <si>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</si>
  <si>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</si>
  <si>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</si>
  <si>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</si>
  <si>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</si>
  <si>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</si>
  <si>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</si>
  <si>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</si>
  <si>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</si>
  <si>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</si>
  <si>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</si>
  <si>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</si>
  <si>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</si>
  <si>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</si>
  <si>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</si>
  <si>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</si>
  <si>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</si>
  <si>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</si>
  <si>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</si>
  <si>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</si>
  <si>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</si>
  <si>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</si>
  <si>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</si>
  <si>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</si>
  <si>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</si>
  <si>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</si>
  <si>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</si>
  <si>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</si>
  <si>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</si>
  <si>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</si>
  <si>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</si>
  <si>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</si>
  <si>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</si>
  <si>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</si>
  <si>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</si>
  <si>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</si>
  <si>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</si>
  <si>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</si>
  <si>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</si>
  <si>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</si>
  <si>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</si>
  <si>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</si>
  <si>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</si>
  <si>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</si>
  <si>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</si>
  <si>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</si>
  <si>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</si>
  <si>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</si>
  <si>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</si>
  <si>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</si>
  <si>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</si>
  <si>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</si>
  <si>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</si>
  <si>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</si>
  <si>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</si>
  <si>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</si>
  <si>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</si>
  <si>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</si>
  <si>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</si>
  <si>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</si>
  <si>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</si>
  <si>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</si>
  <si>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</si>
  <si>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</si>
  <si>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</si>
  <si>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</si>
  <si>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</si>
  <si>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</si>
  <si>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</si>
  <si>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</si>
  <si>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</si>
  <si>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</si>
  <si>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</si>
  <si>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</si>
  <si>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</si>
  <si>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</si>
  <si>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</si>
  <si>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</si>
  <si>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</si>
  <si>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</si>
  <si>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</si>
  <si>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</si>
  <si>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</si>
  <si>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</si>
  <si>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</si>
  <si>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</si>
  <si>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</si>
  <si>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</si>
  <si>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</si>
  <si>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</si>
  <si>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</si>
  <si>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</si>
  <si>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</si>
  <si>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</si>
  <si>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</si>
  <si>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</si>
  <si>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</si>
  <si>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</si>
  <si>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</si>
  <si>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</si>
  <si>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</si>
  <si>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</si>
  <si>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</si>
  <si>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</si>
  <si>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</si>
  <si>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</si>
  <si>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</si>
  <si>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</si>
  <si>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</si>
  <si>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</si>
  <si>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</si>
  <si>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</si>
  <si>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</si>
  <si>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</si>
  <si>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</si>
  <si>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</si>
  <si>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</si>
  <si>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</si>
  <si>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</si>
  <si>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</si>
  <si>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</si>
  <si>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</si>
  <si>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</si>
  <si>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</si>
  <si>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</si>
  <si>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</si>
  <si>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</si>
  <si>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</si>
  <si>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</si>
  <si>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</si>
  <si>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</si>
  <si>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</si>
  <si>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</si>
  <si>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</si>
  <si>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</si>
  <si>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</si>
  <si>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</si>
  <si>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</si>
  <si>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</si>
  <si>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</si>
  <si>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</si>
  <si>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</si>
  <si>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</si>
  <si>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</si>
  <si>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</si>
  <si>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</si>
  <si>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</si>
  <si>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</si>
  <si>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</si>
  <si>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</si>
  <si>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</si>
  <si>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</si>
  <si>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</si>
  <si>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</si>
  <si>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</si>
  <si>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</si>
  <si>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</si>
  <si>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</si>
  <si>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</si>
  <si>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</si>
  <si>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</si>
  <si>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</si>
  <si>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</si>
  <si>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</si>
  <si>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</si>
  <si>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</si>
  <si>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</si>
  <si>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</si>
  <si>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</si>
  <si>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</si>
  <si>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</si>
  <si>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</si>
  <si>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</si>
  <si>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</si>
  <si>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</si>
  <si>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</si>
  <si>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</si>
  <si>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</si>
  <si>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</si>
  <si>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</si>
  <si>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</si>
  <si>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</si>
  <si>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</si>
  <si>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</si>
  <si>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</si>
  <si>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</si>
  <si>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</si>
  <si>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</si>
  <si>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</si>
  <si>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</si>
  <si>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</si>
  <si>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</si>
  <si>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</si>
  <si>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</si>
  <si>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</si>
  <si>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</si>
  <si>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</si>
  <si>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</si>
  <si>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</si>
  <si>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</si>
  <si>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</si>
  <si>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</si>
  <si>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</si>
  <si>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</si>
  <si>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</si>
  <si>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</si>
  <si>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</si>
  <si>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</si>
  <si>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</si>
  <si>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</si>
  <si>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</si>
  <si>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</si>
  <si>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</si>
  <si>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</si>
  <si>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</si>
  <si>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</si>
  <si>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</si>
  <si>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</si>
  <si>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</si>
  <si>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</si>
  <si>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</si>
  <si>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</si>
  <si>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</si>
  <si>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</si>
  <si>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</si>
  <si>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</si>
  <si>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</si>
  <si>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</si>
  <si>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</si>
  <si>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</si>
  <si>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</si>
  <si>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</si>
  <si>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</si>
  <si>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</si>
  <si>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</si>
  <si>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</si>
  <si>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</si>
  <si>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</si>
  <si>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</si>
  <si>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</si>
  <si>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</si>
  <si>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</si>
  <si>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</si>
  <si>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</si>
  <si>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</si>
  <si>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</si>
  <si>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</si>
  <si>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</si>
  <si>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</si>
  <si>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</si>
  <si>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</si>
  <si>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</si>
  <si>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</si>
  <si>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</si>
  <si>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</si>
  <si>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</si>
  <si>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</si>
  <si>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</si>
  <si>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</si>
  <si>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</si>
  <si>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</si>
  <si>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</si>
  <si>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</si>
  <si>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</si>
  <si>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</si>
  <si>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</si>
  <si>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</si>
  <si>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</si>
  <si>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</si>
  <si>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</si>
  <si>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</si>
  <si>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</si>
  <si>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</si>
  <si>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</si>
  <si>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</si>
  <si>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</si>
  <si>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</si>
  <si>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</si>
  <si>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</si>
  <si>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</si>
  <si>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</si>
  <si>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</si>
  <si>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</si>
  <si>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</si>
  <si>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</si>
  <si>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</si>
  <si>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</si>
  <si>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</si>
  <si>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</si>
  <si>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</si>
  <si>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</si>
  <si>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</si>
  <si>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</si>
  <si>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</si>
  <si>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</si>
  <si>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</si>
  <si>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</si>
  <si>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</si>
  <si>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</si>
  <si>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</si>
  <si>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</si>
  <si>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</si>
  <si>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</si>
  <si>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</si>
  <si>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</si>
  <si>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</si>
  <si>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</si>
  <si>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</si>
  <si>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</si>
  <si>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</si>
  <si>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</si>
  <si>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</si>
  <si>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</si>
  <si>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</si>
  <si>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</si>
  <si>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</si>
  <si>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</si>
  <si>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</si>
  <si>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</si>
  <si>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</si>
  <si>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</si>
  <si>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</si>
  <si>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</si>
  <si>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</si>
  <si>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</si>
  <si>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</si>
  <si>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</si>
  <si>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</si>
  <si>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</si>
  <si>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</si>
  <si>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</si>
  <si>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</si>
  <si>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</si>
  <si>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</si>
  <si>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</si>
  <si>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</si>
  <si>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</si>
  <si>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</si>
  <si>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</si>
  <si>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</si>
  <si>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</si>
  <si>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</si>
  <si>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</si>
  <si>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</si>
  <si>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</si>
  <si>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</si>
  <si>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</si>
  <si>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</si>
  <si>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</si>
  <si>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</si>
  <si>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</si>
  <si>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</si>
  <si>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</si>
  <si>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</si>
  <si>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</si>
  <si>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</si>
  <si>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</si>
  <si>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</si>
  <si>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</si>
  <si>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</si>
  <si>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</si>
  <si>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</si>
  <si>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</si>
  <si>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</si>
  <si>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</si>
  <si>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</si>
  <si>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</si>
  <si>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</si>
  <si>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</si>
  <si>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</si>
  <si>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</si>
  <si>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</si>
  <si>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</si>
  <si>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</si>
  <si>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</si>
  <si>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</si>
  <si>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</si>
  <si>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</si>
  <si>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</si>
  <si>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</si>
  <si>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</si>
  <si>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</si>
  <si>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</si>
  <si>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</si>
  <si>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</si>
  <si>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</si>
  <si>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</si>
  <si>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</si>
  <si>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</si>
  <si>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</si>
  <si>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</si>
  <si>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</si>
  <si>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</si>
  <si>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</si>
  <si>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</si>
  <si>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</si>
  <si>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</si>
  <si>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</si>
  <si>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</si>
  <si>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</si>
  <si>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</si>
  <si>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</si>
  <si>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</si>
  <si>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</si>
  <si>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</si>
  <si>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</si>
  <si>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</si>
  <si>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</si>
  <si>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</si>
  <si>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</si>
  <si>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</si>
  <si>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</si>
  <si>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</si>
  <si>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</si>
  <si>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</si>
  <si>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</si>
  <si>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</si>
  <si>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</si>
  <si>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</si>
  <si>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</si>
  <si>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</si>
  <si>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</si>
  <si>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</si>
  <si>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</si>
  <si>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</si>
  <si>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</si>
  <si>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</si>
  <si>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</si>
  <si>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</si>
  <si>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</si>
  <si>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</si>
  <si>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</si>
  <si>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</si>
  <si>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</si>
  <si>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</si>
  <si>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</si>
  <si>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</si>
  <si>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</si>
  <si>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</si>
  <si>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</si>
  <si>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</si>
  <si>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</si>
  <si>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</si>
  <si>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</si>
  <si>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</si>
  <si>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</si>
  <si>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</si>
  <si>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</si>
  <si>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</si>
  <si>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</si>
  <si>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</si>
  <si>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</si>
  <si>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</si>
  <si>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</si>
  <si>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</si>
  <si>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</si>
  <si>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</si>
  <si>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</si>
  <si>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</si>
  <si>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</si>
  <si>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</si>
  <si>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</si>
  <si>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</si>
  <si>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</si>
  <si>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</si>
  <si>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</si>
  <si>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</si>
  <si>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</si>
  <si>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</si>
  <si>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</si>
  <si>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</si>
  <si>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</si>
  <si>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</si>
  <si>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</si>
  <si>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</si>
  <si>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</si>
  <si>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</si>
  <si>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</si>
  <si>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</si>
  <si>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</si>
  <si>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</si>
  <si>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</si>
  <si>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</si>
  <si>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</si>
  <si>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</si>
  <si>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</si>
  <si>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</si>
  <si>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</si>
  <si>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</si>
  <si>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</si>
  <si>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</si>
  <si>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</si>
  <si>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</si>
  <si>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</si>
  <si>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</si>
  <si>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</si>
  <si>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</si>
  <si>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</si>
  <si>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</si>
  <si>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</si>
  <si>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</si>
  <si>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</si>
  <si>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</si>
  <si>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</si>
  <si>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</si>
  <si>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</si>
  <si>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</si>
  <si>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</si>
  <si>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</si>
  <si>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</si>
  <si>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</si>
  <si>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</si>
  <si>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</si>
  <si>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</si>
  <si>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</si>
  <si>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</si>
  <si>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</si>
  <si>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</si>
  <si>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</si>
  <si>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</si>
  <si>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</si>
  <si>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</si>
  <si>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</si>
  <si>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</si>
  <si>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</si>
  <si>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</si>
  <si>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</si>
  <si>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</si>
  <si>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</si>
  <si>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</si>
  <si>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</si>
  <si>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</si>
  <si>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</si>
  <si>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</si>
  <si>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</si>
  <si>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</si>
  <si>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</si>
  <si>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</si>
  <si>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</si>
  <si>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</si>
  <si>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</si>
  <si>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</si>
  <si>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</si>
  <si>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</si>
  <si>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</si>
  <si>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</si>
  <si>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</si>
  <si>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</si>
  <si>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</si>
  <si>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</si>
  <si>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</si>
  <si>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</si>
  <si>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</si>
  <si>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</si>
  <si>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</si>
  <si>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</si>
  <si>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</si>
  <si>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</si>
  <si>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</si>
  <si>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</si>
  <si>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</si>
  <si>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</si>
  <si>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</si>
  <si>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</si>
  <si>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</si>
  <si>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</si>
  <si>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</si>
  <si>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</si>
  <si>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</si>
  <si>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</si>
  <si>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</si>
  <si>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</si>
  <si>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</si>
  <si>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</si>
  <si>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</si>
  <si>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</si>
  <si>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</si>
  <si>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</si>
  <si>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</si>
  <si>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</si>
  <si>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</si>
  <si>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</si>
  <si>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</si>
  <si>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</si>
  <si>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</si>
  <si>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</si>
  <si>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</si>
  <si>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</si>
  <si>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</si>
  <si>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</si>
  <si>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</si>
  <si>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</si>
  <si>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</si>
  <si>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</si>
  <si>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</si>
  <si>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</si>
  <si>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</si>
  <si>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</si>
  <si>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</si>
  <si>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</si>
  <si>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</si>
  <si>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</si>
  <si>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</si>
  <si>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</si>
  <si>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</si>
  <si>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</si>
  <si>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</si>
  <si>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</si>
  <si>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</si>
  <si>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</si>
  <si>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</si>
  <si>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</si>
  <si>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</si>
  <si>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</si>
  <si>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</si>
  <si>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</si>
  <si>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</si>
  <si>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</si>
  <si>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</si>
  <si>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</si>
  <si>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</si>
  <si>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</si>
  <si>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</si>
  <si>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</si>
  <si>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</si>
  <si>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</si>
  <si>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</si>
  <si>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</si>
  <si>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</si>
  <si>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</si>
  <si>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</si>
  <si>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</si>
  <si>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</si>
  <si>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</si>
  <si>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</si>
  <si>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</si>
  <si>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</si>
  <si>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</si>
  <si>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</si>
  <si>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</si>
  <si>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</si>
  <si>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</si>
  <si>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</si>
  <si>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</si>
  <si>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</si>
  <si>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</si>
  <si>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</si>
  <si>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</si>
  <si>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</si>
  <si>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</si>
  <si>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</si>
  <si>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</si>
  <si>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</si>
  <si>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</si>
  <si>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</si>
  <si>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</si>
  <si>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</si>
  <si>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</si>
  <si>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</si>
  <si>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</si>
  <si>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</si>
  <si>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</si>
  <si>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</si>
  <si>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</si>
  <si>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</si>
  <si>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</si>
  <si>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</si>
  <si>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</si>
  <si>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</si>
  <si>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</si>
  <si>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</si>
  <si>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</si>
  <si>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</si>
  <si>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</si>
  <si>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</si>
  <si>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</si>
  <si>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</si>
  <si>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</si>
  <si>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</si>
  <si>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</si>
  <si>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</si>
  <si>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</si>
  <si>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</si>
  <si>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</si>
  <si>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</si>
  <si>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</si>
  <si>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</si>
  <si>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</si>
  <si>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</si>
  <si>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</si>
  <si>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</si>
  <si>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</si>
  <si>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</si>
  <si>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</si>
  <si>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</si>
  <si>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</si>
  <si>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</si>
  <si>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</si>
  <si>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</si>
  <si>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</si>
  <si>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</si>
  <si>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</si>
  <si>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</si>
  <si>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</si>
  <si>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</si>
  <si>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</si>
  <si>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</si>
  <si>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</si>
  <si>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</si>
  <si>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</si>
  <si>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</si>
  <si>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</si>
  <si>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</si>
  <si>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</si>
  <si>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</si>
  <si>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</si>
  <si>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</si>
  <si>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</si>
  <si>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</si>
  <si>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</si>
  <si>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</si>
  <si>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</si>
  <si>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</si>
  <si>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</si>
  <si>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</si>
  <si>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</si>
  <si>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</si>
  <si>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</si>
  <si>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</si>
  <si>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</si>
  <si>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</si>
  <si>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</si>
  <si>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</si>
  <si>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</si>
  <si>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</si>
  <si>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</si>
  <si>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</si>
  <si>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</si>
  <si>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</si>
  <si>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</si>
  <si>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</si>
  <si>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</si>
  <si>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</si>
  <si>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</si>
  <si>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</si>
  <si>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</si>
  <si>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</si>
  <si>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</si>
  <si>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</si>
  <si>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</si>
  <si>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</si>
  <si>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</si>
  <si>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</si>
  <si>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</si>
  <si>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</si>
  <si>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</si>
  <si>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</si>
  <si>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</si>
  <si>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</si>
  <si>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</si>
  <si>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</si>
  <si>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</si>
  <si>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</si>
  <si>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</si>
  <si>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</si>
  <si>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</si>
  <si>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</si>
  <si>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</si>
  <si>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</si>
  <si>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</si>
  <si>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</si>
  <si>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</si>
  <si>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</si>
  <si>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</si>
  <si>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</si>
  <si>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</si>
  <si>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</si>
  <si>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</si>
  <si>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</si>
  <si>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</si>
  <si>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</si>
  <si>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</si>
  <si>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</si>
  <si>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</si>
  <si>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</si>
  <si>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</si>
  <si>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</si>
  <si>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</si>
  <si>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</si>
  <si>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</si>
  <si>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</si>
  <si>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</si>
  <si>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</si>
  <si>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</si>
  <si>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</si>
  <si>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</si>
  <si>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</si>
  <si>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</si>
  <si>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</si>
  <si>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</si>
  <si>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</si>
  <si>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</si>
  <si>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</si>
  <si>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</si>
  <si>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</si>
  <si>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</si>
  <si>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</si>
  <si>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</si>
  <si>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</si>
  <si>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</si>
  <si>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</si>
  <si>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</si>
  <si>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</si>
  <si>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</si>
  <si>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</si>
  <si>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</si>
  <si>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</si>
  <si>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</si>
  <si>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</si>
  <si>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</si>
  <si>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</si>
  <si>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</si>
  <si>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</si>
  <si>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</si>
  <si>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</si>
  <si>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</si>
  <si>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</si>
  <si>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</si>
  <si>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</si>
  <si>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</si>
  <si>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</si>
  <si>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</si>
  <si>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</si>
  <si>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</si>
  <si>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</si>
  <si>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</si>
  <si>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</si>
  <si>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</si>
  <si>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</si>
  <si>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</si>
  <si>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</si>
  <si>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</si>
  <si>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</si>
  <si>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</si>
  <si>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</si>
  <si>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</si>
  <si>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</si>
  <si>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</si>
  <si>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</si>
  <si>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</si>
  <si>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</si>
  <si>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</si>
  <si>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</si>
  <si>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</si>
  <si>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</si>
  <si>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</si>
  <si>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</si>
  <si>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</si>
  <si>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</si>
  <si>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</si>
  <si>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</si>
  <si>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</si>
  <si>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</si>
  <si>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</si>
  <si>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</si>
  <si>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</si>
  <si>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</si>
  <si>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</si>
  <si>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</si>
  <si>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</si>
  <si>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</si>
  <si>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</si>
  <si>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</si>
  <si>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</si>
  <si>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</si>
  <si>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</si>
  <si>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</si>
  <si>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</si>
  <si>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</si>
  <si>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</si>
  <si>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</si>
  <si>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</si>
  <si>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</si>
  <si>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</si>
  <si>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</si>
  <si>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</si>
  <si>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</si>
  <si>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</si>
  <si>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</si>
  <si>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</si>
  <si>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</si>
  <si>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</si>
  <si>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</si>
  <si>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</si>
  <si>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</si>
  <si>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</si>
  <si>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</si>
  <si>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</si>
  <si>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</si>
  <si>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</si>
  <si>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</si>
  <si>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</si>
  <si>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</si>
  <si>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</si>
  <si>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</si>
  <si>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</si>
  <si>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</si>
  <si>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</si>
  <si>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</si>
  <si>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</si>
  <si>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</si>
  <si>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</si>
  <si>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</si>
  <si>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</si>
  <si>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</si>
  <si>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</si>
  <si>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</si>
  <si>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</si>
  <si>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</si>
  <si>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</si>
  <si>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</si>
  <si>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</si>
  <si>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</si>
  <si>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</si>
  <si>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</si>
  <si>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</si>
  <si>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</si>
  <si>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</si>
  <si>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</si>
  <si>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</si>
  <si>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</si>
  <si>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</si>
  <si>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</si>
  <si>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</si>
  <si>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</si>
  <si>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</si>
  <si>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</si>
  <si>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</si>
  <si>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</si>
  <si>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</si>
  <si>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</si>
  <si>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</si>
  <si>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</si>
  <si>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</si>
  <si>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</si>
  <si>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</si>
  <si>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</si>
  <si>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</si>
  <si>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</si>
  <si>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</si>
  <si>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</si>
  <si>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</si>
  <si>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</si>
  <si>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</si>
  <si>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</si>
  <si>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</si>
  <si>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</si>
  <si>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</si>
  <si>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</si>
  <si>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</si>
  <si>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</si>
  <si>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</si>
  <si>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</si>
  <si>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</si>
  <si>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</si>
  <si>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</si>
  <si>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</si>
  <si>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</si>
  <si>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</si>
  <si>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</si>
  <si>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</si>
  <si>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</si>
  <si>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</si>
  <si>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</si>
  <si>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</si>
  <si>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</si>
  <si>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</si>
  <si>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</si>
  <si>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</si>
  <si>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</si>
  <si>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</si>
  <si>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</si>
  <si>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</si>
  <si>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</si>
  <si>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</si>
  <si>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</si>
  <si>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</si>
  <si>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</si>
  <si>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</si>
  <si>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</si>
  <si>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</si>
  <si>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</si>
  <si>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</si>
  <si>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</si>
  <si>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</si>
  <si>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</si>
  <si>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</si>
  <si>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</si>
  <si>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</si>
  <si>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</si>
  <si>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</si>
  <si>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</si>
  <si>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</si>
  <si>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</si>
  <si>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</si>
  <si>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</si>
  <si>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</si>
  <si>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</si>
  <si>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</si>
  <si>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</si>
  <si>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</si>
  <si>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</si>
  <si>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</si>
  <si>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</si>
  <si>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</si>
  <si>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</si>
  <si>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</si>
  <si>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</si>
  <si>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</si>
  <si>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</si>
  <si>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</si>
  <si>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</si>
  <si>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</si>
  <si>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</si>
  <si>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</si>
  <si>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</si>
  <si>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</si>
  <si>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</si>
  <si>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</si>
  <si>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</si>
  <si>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</si>
  <si>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</si>
  <si>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</si>
  <si>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</si>
  <si>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</si>
  <si>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</si>
  <si>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</si>
  <si>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</si>
  <si>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</si>
  <si>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</si>
  <si>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</si>
  <si>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</si>
  <si>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</si>
  <si>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</si>
  <si>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</si>
  <si>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</si>
  <si>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</si>
  <si>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</si>
  <si>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</si>
  <si>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</si>
  <si>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</si>
  <si>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</si>
  <si>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</si>
  <si>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</si>
  <si>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</si>
  <si>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</si>
  <si>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</si>
  <si>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</si>
  <si>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</si>
  <si>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</si>
  <si>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</si>
  <si>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</si>
  <si>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</si>
  <si>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</si>
  <si>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</si>
  <si>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</si>
  <si>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</si>
  <si>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</si>
  <si>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</si>
  <si>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</si>
  <si>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</si>
  <si>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</si>
  <si>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</si>
  <si>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</si>
  <si>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</si>
  <si>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</si>
  <si>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</si>
  <si>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</si>
  <si>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</si>
  <si>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</si>
  <si>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</si>
  <si>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</si>
  <si>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</si>
  <si>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</si>
  <si>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</si>
  <si>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</si>
  <si>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</si>
  <si>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</si>
  <si>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</si>
  <si>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</si>
  <si>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</si>
  <si>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</si>
  <si>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</si>
  <si>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</si>
  <si>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</si>
  <si>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</si>
  <si>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</si>
  <si>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</si>
  <si>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</si>
  <si>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</si>
  <si>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</si>
  <si>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</si>
  <si>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</si>
  <si>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</si>
  <si>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</si>
  <si>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</si>
  <si>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</si>
  <si>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</si>
  <si>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</si>
  <si>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</si>
  <si>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</si>
  <si>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</si>
  <si>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</si>
  <si>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</si>
  <si>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</si>
  <si>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</si>
  <si>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</si>
  <si>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</si>
  <si>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</si>
  <si>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</si>
  <si>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</si>
  <si>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</si>
  <si>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</si>
  <si>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</si>
  <si>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</si>
  <si>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</si>
  <si>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</si>
  <si>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</si>
  <si>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</si>
  <si>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</si>
  <si>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</si>
  <si>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</si>
  <si>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</si>
  <si>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</si>
  <si>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</si>
  <si>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</si>
  <si>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</si>
  <si>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</si>
  <si>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</si>
  <si>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</si>
  <si>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</si>
  <si>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</si>
  <si>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</si>
  <si>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</si>
  <si>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</si>
  <si>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</si>
  <si>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</si>
  <si>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</si>
  <si>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</si>
  <si>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</si>
  <si>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</si>
  <si>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</si>
  <si>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</si>
  <si>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</si>
  <si>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</si>
  <si>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</si>
  <si>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</si>
  <si>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</si>
  <si>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</si>
  <si>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</si>
  <si>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</si>
  <si>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</si>
  <si>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</si>
  <si>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</si>
  <si>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</si>
  <si>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</si>
  <si>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</si>
  <si>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</si>
  <si>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</si>
  <si>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</si>
  <si>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</si>
  <si>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</si>
  <si>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</si>
  <si>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</si>
  <si>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</si>
  <si>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</si>
  <si>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</si>
  <si>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</si>
  <si>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</si>
  <si>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</si>
  <si>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</si>
  <si>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</si>
  <si>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</si>
  <si>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</si>
  <si>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</si>
  <si>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</si>
  <si>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</si>
  <si>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</si>
  <si>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</si>
  <si>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</si>
  <si>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</si>
  <si>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</si>
  <si>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</si>
  <si>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</si>
  <si>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</si>
  <si>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</si>
  <si>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</si>
  <si>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</si>
  <si>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</si>
  <si>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</si>
  <si>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</si>
  <si>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</si>
  <si>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</si>
  <si>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</si>
  <si>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</si>
  <si>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</si>
  <si>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</si>
  <si>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</si>
  <si>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</si>
  <si>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</si>
  <si>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</si>
  <si>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</si>
  <si>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</si>
  <si>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</si>
  <si>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</si>
  <si>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</si>
  <si>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</si>
  <si>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</si>
  <si>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</si>
  <si>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</si>
  <si>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</si>
  <si>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</si>
  <si>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</si>
  <si>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</si>
  <si>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</si>
  <si>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</si>
  <si>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</si>
  <si>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</si>
  <si>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</si>
  <si>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</si>
  <si>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</si>
  <si>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</si>
  <si>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</si>
  <si>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</si>
  <si>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</si>
  <si>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</si>
  <si>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</si>
  <si>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</si>
  <si>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</si>
  <si>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</si>
  <si>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</si>
  <si>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</si>
  <si>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</si>
  <si>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</si>
  <si>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</si>
  <si>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</si>
  <si>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</si>
  <si>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</si>
  <si>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</si>
  <si>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</si>
  <si>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</si>
  <si>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</si>
  <si>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</si>
  <si>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</si>
  <si>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</si>
  <si>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</si>
  <si>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</si>
  <si>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</si>
  <si>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</si>
  <si>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</si>
  <si>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</si>
  <si>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</si>
  <si>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</si>
  <si>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</si>
  <si>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</si>
  <si>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</si>
  <si>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</si>
  <si>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</si>
  <si>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</si>
  <si>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</si>
  <si>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</si>
  <si>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</si>
  <si>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</si>
  <si>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</si>
  <si>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</si>
  <si>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</si>
  <si>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</si>
  <si>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</si>
  <si>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</si>
  <si>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</si>
  <si>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</si>
  <si>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</si>
  <si>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</si>
  <si>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</si>
  <si>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</si>
  <si>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</si>
  <si>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</si>
  <si>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</si>
  <si>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</si>
  <si>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</si>
  <si>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</si>
  <si>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</si>
  <si>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</si>
  <si>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</si>
  <si>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</si>
  <si>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</si>
  <si>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</si>
  <si>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</si>
  <si>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</si>
  <si>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</si>
  <si>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</si>
  <si>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</si>
  <si>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</si>
  <si>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</si>
  <si>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</si>
  <si>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</si>
  <si>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</si>
  <si>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</si>
  <si>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</si>
  <si>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</si>
  <si>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</si>
  <si>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</si>
  <si>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</si>
  <si>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</si>
  <si>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</si>
  <si>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</si>
  <si>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</si>
  <si>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</si>
  <si>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</si>
  <si>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</si>
  <si>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</si>
  <si>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</si>
  <si>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</si>
  <si>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</si>
  <si>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</si>
  <si>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</si>
  <si>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</si>
  <si>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</si>
  <si>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</si>
  <si>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</si>
  <si>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</si>
  <si>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</si>
  <si>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</si>
  <si>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</si>
  <si>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</si>
  <si>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</si>
  <si>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</si>
  <si>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</si>
  <si>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</si>
  <si>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</si>
  <si>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</si>
  <si>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</si>
  <si>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</si>
  <si>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</si>
  <si>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</si>
  <si>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</si>
  <si>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</si>
  <si>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</si>
  <si>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</si>
  <si>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</si>
  <si>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</si>
  <si>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</si>
  <si>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</si>
  <si>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</si>
  <si>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</si>
  <si>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</si>
  <si>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</si>
  <si>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</si>
  <si>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</si>
  <si>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</si>
  <si>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</si>
  <si>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</si>
  <si>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</si>
  <si>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</si>
  <si>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</si>
  <si>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</si>
  <si>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</si>
  <si>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</si>
  <si>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</si>
  <si>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</si>
  <si>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</si>
  <si>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</si>
  <si>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</si>
  <si>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</si>
  <si>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</si>
  <si>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</si>
  <si>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</si>
  <si>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</si>
  <si>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</si>
  <si>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</si>
  <si>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</si>
  <si>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</si>
  <si>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</si>
  <si>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</si>
  <si>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</si>
  <si>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</si>
  <si>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</si>
  <si>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</si>
  <si>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</si>
  <si>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</si>
  <si>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</si>
  <si>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</si>
  <si>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</si>
  <si>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</si>
  <si>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</si>
  <si>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</si>
  <si>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</si>
  <si>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</si>
  <si>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</si>
  <si>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</si>
  <si>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</si>
  <si>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</si>
  <si>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</si>
  <si>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</si>
  <si>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</si>
  <si>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</si>
  <si>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</si>
  <si>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</si>
  <si>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</si>
  <si>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</si>
  <si>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</si>
  <si>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</si>
  <si>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</si>
  <si>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</si>
  <si>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</si>
  <si>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</si>
  <si>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</si>
  <si>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</si>
  <si>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</si>
  <si>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</si>
  <si>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</si>
  <si>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</si>
  <si>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</si>
  <si>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</si>
  <si>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</si>
  <si>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</si>
  <si>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</si>
  <si>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</si>
  <si>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</si>
  <si>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</si>
  <si>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</si>
  <si>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</si>
  <si>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</si>
  <si>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</si>
  <si>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</si>
  <si>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</si>
  <si>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</si>
  <si>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</si>
  <si>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</si>
  <si>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</si>
  <si>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</si>
  <si>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</si>
  <si>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</si>
  <si>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</si>
  <si>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</si>
  <si>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</si>
  <si>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</si>
  <si>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</si>
  <si>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</si>
  <si>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</si>
  <si>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</si>
  <si>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</si>
  <si>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</si>
  <si>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</si>
  <si>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</si>
  <si>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</si>
  <si>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</si>
  <si>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</si>
  <si>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</si>
  <si>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</si>
  <si>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</si>
  <si>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</si>
  <si>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</si>
  <si>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</si>
  <si>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</si>
  <si>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</si>
  <si>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</si>
  <si>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</si>
  <si>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</si>
  <si>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</si>
  <si>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</si>
  <si>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</si>
  <si>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</si>
  <si>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</si>
  <si>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</si>
  <si>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</si>
  <si>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</si>
  <si>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</si>
  <si>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</si>
  <si>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</si>
  <si>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</si>
  <si>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</si>
  <si>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</si>
  <si>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</si>
  <si>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</si>
  <si>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</si>
  <si>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</si>
  <si>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</si>
  <si>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</si>
  <si>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</si>
  <si>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</si>
  <si>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</si>
  <si>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</si>
  <si>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</si>
  <si>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</si>
  <si>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</si>
  <si>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</si>
  <si>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</si>
  <si>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</si>
  <si>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</si>
  <si>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</si>
  <si>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</si>
  <si>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</si>
  <si>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</si>
  <si>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</si>
  <si>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</si>
  <si>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</si>
  <si>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</si>
  <si>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</si>
  <si>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</si>
  <si>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</si>
  <si>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</si>
  <si>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</si>
  <si>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</si>
  <si>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</si>
  <si>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</si>
  <si>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</si>
  <si>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</si>
  <si>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</si>
  <si>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</si>
  <si>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</si>
  <si>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</si>
  <si>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</si>
  <si>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</si>
  <si>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</si>
  <si>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</si>
  <si>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</si>
  <si>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</si>
  <si>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</si>
  <si>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</si>
  <si>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</si>
  <si>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</si>
  <si>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</si>
  <si>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</si>
  <si>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</si>
  <si>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</si>
  <si>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</si>
  <si>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</si>
  <si>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</si>
  <si>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</si>
  <si>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</si>
  <si>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</si>
  <si>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</si>
  <si>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</si>
  <si>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</si>
  <si>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</si>
  <si>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</si>
  <si>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</si>
  <si>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</si>
  <si>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</si>
  <si>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</si>
  <si>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</si>
  <si>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</si>
  <si>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</si>
  <si>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</si>
  <si>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</si>
  <si>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</si>
  <si>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</si>
  <si>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</si>
  <si>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</si>
  <si>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</si>
  <si>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</si>
  <si>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</si>
  <si>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</si>
  <si>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</si>
  <si>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</si>
  <si>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</si>
  <si>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</si>
  <si>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</si>
  <si>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</si>
  <si>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</si>
  <si>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</si>
  <si>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</si>
  <si>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</si>
  <si>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</si>
  <si>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</si>
  <si>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</si>
  <si>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</si>
  <si>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</si>
  <si>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</si>
  <si>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</si>
  <si>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</si>
  <si>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</si>
  <si>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</si>
  <si>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</si>
  <si>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</si>
  <si>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</si>
  <si>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</si>
  <si>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</si>
  <si>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</si>
  <si>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</si>
  <si>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</si>
  <si>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</si>
  <si>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</si>
  <si>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</si>
  <si>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</si>
  <si>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</si>
  <si>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</si>
  <si>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</si>
  <si>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</si>
  <si>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</si>
  <si>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</si>
  <si>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</si>
  <si>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</si>
  <si>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</si>
  <si>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</si>
  <si>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</si>
  <si>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</si>
  <si>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</si>
  <si>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</si>
  <si>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</si>
  <si>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</si>
  <si>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</si>
  <si>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</si>
  <si>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</si>
  <si>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</si>
  <si>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</si>
  <si>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</si>
  <si>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</si>
  <si>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</si>
  <si>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</si>
  <si>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</si>
  <si>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</si>
  <si>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</si>
  <si>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</si>
  <si>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</si>
  <si>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</si>
  <si>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</si>
  <si>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</si>
  <si>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</si>
  <si>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</si>
  <si>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</si>
  <si>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</si>
  <si>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</si>
  <si>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</si>
  <si>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</si>
  <si>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</si>
  <si>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</si>
  <si>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</si>
  <si>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</si>
  <si>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</si>
  <si>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</si>
  <si>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</si>
  <si>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</si>
  <si>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</si>
  <si>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</si>
  <si>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</si>
  <si>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</si>
  <si>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</si>
  <si>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</si>
  <si>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</si>
  <si>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</si>
  <si>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</si>
  <si>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</si>
  <si>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</si>
  <si>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</si>
  <si>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</si>
  <si>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</si>
  <si>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</si>
  <si>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</si>
  <si>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</si>
  <si>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</si>
  <si>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</si>
  <si>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</si>
  <si>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</si>
  <si>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</si>
  <si>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</si>
  <si>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</si>
  <si>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</si>
  <si>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</si>
  <si>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</si>
  <si>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</si>
  <si>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</si>
  <si>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</si>
  <si>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</si>
  <si>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</si>
  <si>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</si>
  <si>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</si>
  <si>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</si>
  <si>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</si>
  <si>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</si>
  <si>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</si>
  <si>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</si>
  <si>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</si>
  <si>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</si>
  <si>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</si>
  <si>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</si>
  <si>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</si>
  <si>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</si>
  <si>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</si>
  <si>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</si>
  <si>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</si>
  <si>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</si>
  <si>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</si>
  <si>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</si>
  <si>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</si>
  <si>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</si>
  <si>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</si>
  <si>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</si>
  <si>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</si>
  <si>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</si>
  <si>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</si>
  <si>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</si>
  <si>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</si>
  <si>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</si>
  <si>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</si>
  <si>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</si>
  <si>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</si>
  <si>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</si>
  <si>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</si>
  <si>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</si>
  <si>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</si>
  <si>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</si>
  <si>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</si>
  <si>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</si>
  <si>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</si>
  <si>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</si>
  <si>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</si>
  <si>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</si>
  <si>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</si>
  <si>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</si>
  <si>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</si>
  <si>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</si>
  <si>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</si>
  <si>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</si>
  <si>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</si>
  <si>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</si>
  <si>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</si>
  <si>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</si>
  <si>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</si>
  <si>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</si>
  <si>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</si>
  <si>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</si>
  <si>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</si>
  <si>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</si>
  <si>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</si>
  <si>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</si>
  <si>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</si>
  <si>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</si>
  <si>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</si>
  <si>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</si>
  <si>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</si>
  <si>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</si>
  <si>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</si>
  <si>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</si>
  <si>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</si>
  <si>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</si>
  <si>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</si>
  <si>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</si>
  <si>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</si>
  <si>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</si>
  <si>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</si>
  <si>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</si>
  <si>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</si>
  <si>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</si>
  <si>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</si>
  <si>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</si>
  <si>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</si>
  <si>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</si>
  <si>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</si>
  <si>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</si>
  <si>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</si>
  <si>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</si>
  <si>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</si>
  <si>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</si>
  <si>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</si>
  <si>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</si>
  <si>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</si>
  <si>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</si>
  <si>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</si>
  <si>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</si>
  <si>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</si>
  <si>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</si>
  <si>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</si>
  <si>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</si>
  <si>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</si>
  <si>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</si>
  <si>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</si>
  <si>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</si>
  <si>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</si>
  <si>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</si>
  <si>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</si>
  <si>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</si>
  <si>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</si>
  <si>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</si>
  <si>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</si>
  <si>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</si>
  <si>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</si>
  <si>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</si>
  <si>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</si>
  <si>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</si>
  <si>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</si>
  <si>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</si>
  <si>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</si>
  <si>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</si>
  <si>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</si>
  <si>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</si>
  <si>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</si>
  <si>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</si>
  <si>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</si>
  <si>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</si>
  <si>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</si>
  <si>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</si>
  <si>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</si>
  <si>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</si>
  <si>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</si>
  <si>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</si>
  <si>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</si>
  <si>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</si>
  <si>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</si>
  <si>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</si>
  <si>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</si>
  <si>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</si>
  <si>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</si>
  <si>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</si>
  <si>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</si>
  <si>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</si>
  <si>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</si>
  <si>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</si>
  <si>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</si>
  <si>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</si>
  <si>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</si>
  <si>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</si>
  <si>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</si>
  <si>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</si>
  <si>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</si>
  <si>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</si>
  <si>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</si>
  <si>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</si>
  <si>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</si>
  <si>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</si>
  <si>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</si>
  <si>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</si>
  <si>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</si>
  <si>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</si>
  <si>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</si>
  <si>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</si>
  <si>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</si>
  <si>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</si>
  <si>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</si>
  <si>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</si>
  <si>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</si>
  <si>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</si>
  <si>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</si>
  <si>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</si>
  <si>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</si>
  <si>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</si>
  <si>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</si>
  <si>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</si>
  <si>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</si>
  <si>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</si>
  <si>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</si>
  <si>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</si>
  <si>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</si>
  <si>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</si>
  <si>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</si>
  <si>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</si>
  <si>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</si>
  <si>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</si>
  <si>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</si>
  <si>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</si>
  <si>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</si>
  <si>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</si>
  <si>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</si>
  <si>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</si>
  <si>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</si>
  <si>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</si>
  <si>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</si>
  <si>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</si>
  <si>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</si>
  <si>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</si>
  <si>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</si>
  <si>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</si>
  <si>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</si>
  <si>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</si>
  <si>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</si>
  <si>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</si>
  <si>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</si>
  <si>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</si>
  <si>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</si>
  <si>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</si>
  <si>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</si>
  <si>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</si>
  <si>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</si>
  <si>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</si>
  <si>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</si>
  <si>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</si>
  <si>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</si>
  <si>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</si>
  <si>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</si>
  <si>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</si>
  <si>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</si>
  <si>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</si>
  <si>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</si>
  <si>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</si>
  <si>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</si>
  <si>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</si>
  <si>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</si>
  <si>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</si>
  <si>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</si>
  <si>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</si>
  <si>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</si>
  <si>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</si>
  <si>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</si>
  <si>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</si>
  <si>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</si>
  <si>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</si>
  <si>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</si>
  <si>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</si>
  <si>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</si>
  <si>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</si>
  <si>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</si>
  <si>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</si>
  <si>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</si>
  <si>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</si>
  <si>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</si>
  <si>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</si>
  <si>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</si>
  <si>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</si>
  <si>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</si>
  <si>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</si>
  <si>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</si>
  <si>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</si>
  <si>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</si>
  <si>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</si>
  <si>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</si>
  <si>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</si>
  <si>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</si>
  <si>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</si>
  <si>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</si>
  <si>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</si>
  <si>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</si>
  <si>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</si>
  <si>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</si>
  <si>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</si>
  <si>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</si>
  <si>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</si>
  <si>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</si>
  <si>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</si>
  <si>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</si>
  <si>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</si>
  <si>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</si>
  <si>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</si>
  <si>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</si>
  <si>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</si>
  <si>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</si>
  <si>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</si>
  <si>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</si>
  <si>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</si>
  <si>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</si>
  <si>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</si>
  <si>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</si>
  <si>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</si>
  <si>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</si>
  <si>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</si>
  <si>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</si>
  <si>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</si>
  <si>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</si>
  <si>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</si>
  <si>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</si>
  <si>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</si>
  <si>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</si>
  <si>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</si>
  <si>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</si>
  <si>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</si>
  <si>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</si>
  <si>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</si>
  <si>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</si>
  <si>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</si>
  <si>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</si>
  <si>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</si>
  <si>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</si>
  <si>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</si>
  <si>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</si>
  <si>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</si>
  <si>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</si>
  <si>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</si>
  <si>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</si>
  <si>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</si>
  <si>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</si>
  <si>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</si>
  <si>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</si>
  <si>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</si>
  <si>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</si>
  <si>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</si>
  <si>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</si>
  <si>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</si>
  <si>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</si>
  <si>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</si>
  <si>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</si>
  <si>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</si>
  <si>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</si>
  <si>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</si>
  <si>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</si>
  <si>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</si>
  <si>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</si>
  <si>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</si>
  <si>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</si>
  <si>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</si>
  <si>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</si>
  <si>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</si>
  <si>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</si>
  <si>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</si>
  <si>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</si>
  <si>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</si>
  <si>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</si>
  <si>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</si>
  <si>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</si>
  <si>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</si>
  <si>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</si>
  <si>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</si>
  <si>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</si>
  <si>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</si>
  <si>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</si>
  <si>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</si>
  <si>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</si>
  <si>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</si>
  <si>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</si>
  <si>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</si>
  <si>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</si>
  <si>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</si>
  <si>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</si>
  <si>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</si>
  <si>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</si>
  <si>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</si>
  <si>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</si>
  <si>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</si>
  <si>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</si>
  <si>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</si>
  <si>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</si>
  <si>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</si>
  <si>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</si>
  <si>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</si>
  <si>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</si>
  <si>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</si>
  <si>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</si>
  <si>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</si>
  <si>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</si>
  <si>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</si>
  <si>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</si>
  <si>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</si>
  <si>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</si>
  <si>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</si>
  <si>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</si>
  <si>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</si>
  <si>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</si>
  <si>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</si>
  <si>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</si>
  <si>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</si>
  <si>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</si>
  <si>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</si>
  <si>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</si>
  <si>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</si>
  <si>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</si>
  <si>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</si>
  <si>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</si>
  <si>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</si>
  <si>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</si>
  <si>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</si>
  <si>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</si>
  <si>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</si>
  <si>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</si>
  <si>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</si>
  <si>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</si>
  <si>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</si>
  <si>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</si>
  <si>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</si>
  <si>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</si>
  <si>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</si>
  <si>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</si>
  <si>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</si>
  <si>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</si>
  <si>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</si>
  <si>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</si>
  <si>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</si>
  <si>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</si>
  <si>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</si>
  <si>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</si>
  <si>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</si>
  <si>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</si>
  <si>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</si>
  <si>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</si>
  <si>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</si>
  <si>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</si>
  <si>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</si>
  <si>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</si>
  <si>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</si>
  <si>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</si>
  <si>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</si>
  <si>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</si>
  <si>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</si>
  <si>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</si>
  <si>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</si>
  <si>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</si>
  <si>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</si>
  <si>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</si>
  <si>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</si>
  <si>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</si>
  <si>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</si>
  <si>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</si>
  <si>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</si>
  <si>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</si>
  <si>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</si>
  <si>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</si>
  <si>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</si>
  <si>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</si>
  <si>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</si>
  <si>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</si>
  <si>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</si>
  <si>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</si>
  <si>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</si>
  <si>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</si>
  <si>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</si>
  <si>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</si>
  <si>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</si>
  <si>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</si>
  <si>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</si>
  <si>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</si>
  <si>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</si>
  <si>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</si>
  <si>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</si>
  <si>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</si>
  <si>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</si>
  <si>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</si>
  <si>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</si>
  <si>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</si>
  <si>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</si>
  <si>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</si>
  <si>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</si>
  <si>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</si>
  <si>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</si>
  <si>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</si>
  <si>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</si>
  <si>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</si>
  <si>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</si>
  <si>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</si>
  <si>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</si>
  <si>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</si>
  <si>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</si>
  <si>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</si>
  <si>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</si>
  <si>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</si>
  <si>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</si>
  <si>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</si>
  <si>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</si>
  <si>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</si>
  <si>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</si>
  <si>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</si>
  <si>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</si>
  <si>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</si>
  <si>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</si>
  <si>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</si>
  <si>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</si>
  <si>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</si>
  <si>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</si>
  <si>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</si>
  <si>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</si>
  <si>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</si>
  <si>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</si>
  <si>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</si>
  <si>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</si>
  <si>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</si>
  <si>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</si>
  <si>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</si>
  <si>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</si>
  <si>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</si>
  <si>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</si>
  <si>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</si>
  <si>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</si>
  <si>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</si>
  <si>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</si>
  <si>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</si>
  <si>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</si>
  <si>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</si>
  <si>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</si>
  <si>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</si>
  <si>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</si>
  <si>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</si>
  <si>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</si>
  <si>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</si>
  <si>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</si>
  <si>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</si>
  <si>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</si>
  <si>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</si>
  <si>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</si>
  <si>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</si>
  <si>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</si>
  <si>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</si>
  <si>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</si>
  <si>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</si>
  <si>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</si>
  <si>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</si>
  <si>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</si>
  <si>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</si>
  <si>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</si>
  <si>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</si>
  <si>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</si>
  <si>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</si>
  <si>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</si>
  <si>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</si>
  <si>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</si>
  <si>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</si>
  <si>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</si>
  <si>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</si>
  <si>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</si>
  <si>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</si>
  <si>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</si>
  <si>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</si>
  <si>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</si>
  <si>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</si>
  <si>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</si>
  <si>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</si>
  <si>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</si>
  <si>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</si>
  <si>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</si>
  <si>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</si>
  <si>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</si>
  <si>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</si>
  <si>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</si>
  <si>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</si>
  <si>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</si>
  <si>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</si>
  <si>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</si>
  <si>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</si>
  <si>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</si>
  <si>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</si>
  <si>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</si>
  <si>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</si>
  <si>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</si>
  <si>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</si>
  <si>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</si>
  <si>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</si>
  <si>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</si>
  <si>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</si>
  <si>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</si>
  <si>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</si>
  <si>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</si>
  <si>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</si>
  <si>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</si>
  <si>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</si>
  <si>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</si>
  <si>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</si>
  <si>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</si>
  <si>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</si>
  <si>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</si>
  <si>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</si>
  <si>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</si>
  <si>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</si>
  <si>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</si>
  <si>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</si>
  <si>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</si>
  <si>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</si>
  <si>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</si>
  <si>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</si>
  <si>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</si>
  <si>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</si>
  <si>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</si>
  <si>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</si>
  <si>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</si>
  <si>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</si>
  <si>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</si>
  <si>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</si>
  <si>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</si>
  <si>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</si>
  <si>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</si>
  <si>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</si>
  <si>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</si>
  <si>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</si>
  <si>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</si>
  <si>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</si>
  <si>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</si>
  <si>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</si>
  <si>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</si>
  <si>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</si>
  <si>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</si>
  <si>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</si>
  <si>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</si>
  <si>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</si>
  <si>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</si>
  <si>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</si>
  <si>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</si>
  <si>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</si>
  <si>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</si>
  <si>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</si>
  <si>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</si>
  <si>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</si>
  <si>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</si>
  <si>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</si>
  <si>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</si>
  <si>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</si>
  <si>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</si>
  <si>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</si>
  <si>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</si>
  <si>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</si>
  <si>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</si>
  <si>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</si>
  <si>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</si>
  <si>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</si>
  <si>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</si>
  <si>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</si>
  <si>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</si>
  <si>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</si>
  <si>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</si>
  <si>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</si>
  <si>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</si>
  <si>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</si>
  <si>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</si>
  <si>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</si>
  <si>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</si>
  <si>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</si>
  <si>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</si>
  <si>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</si>
  <si>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</si>
  <si>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</si>
  <si>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</si>
  <si>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</si>
  <si>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</si>
  <si>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</si>
  <si>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</si>
  <si>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</si>
  <si>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</si>
  <si>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</si>
  <si>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</si>
  <si>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</si>
  <si>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</si>
  <si>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</si>
  <si>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</si>
  <si>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</si>
  <si>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</si>
  <si>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</si>
  <si>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</si>
  <si>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</si>
  <si>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</si>
  <si>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</si>
  <si>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</si>
  <si>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</si>
  <si>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</si>
  <si>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</si>
  <si>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</si>
  <si>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</si>
  <si>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</si>
  <si>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</si>
  <si>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</si>
  <si>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</si>
  <si>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</si>
  <si>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</si>
  <si>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</si>
  <si>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</si>
  <si>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</si>
  <si>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</si>
  <si>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</si>
  <si>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</si>
  <si>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</si>
  <si>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</si>
  <si>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</si>
  <si>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</si>
  <si>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</si>
  <si>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</si>
  <si>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</si>
  <si>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</si>
  <si>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</si>
  <si>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</si>
  <si>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</si>
  <si>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</si>
  <si>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</si>
  <si>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</si>
  <si>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</si>
  <si>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</si>
  <si>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</si>
  <si>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</si>
  <si>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</si>
  <si>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</si>
  <si>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</si>
  <si>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</si>
  <si>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</si>
  <si>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</si>
  <si>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</si>
  <si>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</si>
  <si>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</si>
  <si>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</si>
  <si>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</si>
  <si>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</si>
  <si>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</si>
  <si>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</si>
  <si>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</si>
  <si>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</si>
  <si>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</si>
  <si>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</si>
  <si>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</si>
  <si>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</si>
  <si>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</si>
  <si>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</si>
  <si>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</si>
  <si>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</si>
  <si>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</si>
  <si>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</si>
  <si>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</si>
  <si>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</si>
  <si>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</si>
  <si>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</si>
  <si>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</si>
  <si>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</si>
  <si>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</si>
  <si>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</si>
  <si>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</si>
  <si>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</si>
  <si>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</si>
  <si>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</si>
  <si>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</si>
  <si>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</si>
  <si>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</si>
  <si>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</si>
  <si>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</si>
  <si>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</si>
  <si>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</si>
  <si>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</si>
  <si>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</si>
  <si>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</si>
  <si>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</si>
  <si>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</si>
  <si>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</si>
  <si>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</si>
  <si>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</si>
  <si>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</si>
  <si>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</si>
  <si>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</si>
  <si>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</si>
  <si>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</si>
  <si>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</si>
  <si>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</si>
  <si>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</si>
  <si>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</si>
  <si>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</si>
  <si>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</si>
  <si>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</si>
  <si>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</si>
  <si>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</si>
  <si>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</si>
  <si>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</si>
  <si>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</si>
  <si>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</si>
  <si>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</si>
  <si>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</si>
  <si>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</si>
  <si>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</si>
  <si>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</si>
  <si>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</si>
  <si>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</si>
  <si>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</si>
  <si>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</si>
  <si>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</si>
  <si>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</si>
  <si>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</si>
  <si>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</si>
  <si>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</si>
  <si>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</si>
  <si>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</si>
  <si>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</si>
  <si>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</si>
  <si>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</si>
  <si>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</si>
  <si>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</si>
  <si>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</si>
  <si>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</si>
  <si>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</si>
  <si>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</si>
  <si>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</si>
  <si>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</si>
  <si>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</si>
  <si>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</si>
  <si>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</si>
  <si>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</si>
  <si>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</si>
  <si>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</si>
  <si>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</si>
  <si>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</si>
  <si>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</si>
  <si>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</si>
  <si>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</si>
  <si>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</si>
  <si>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</si>
  <si>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</si>
  <si>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</si>
  <si>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</si>
  <si>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</si>
  <si>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</si>
  <si>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</si>
  <si>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</si>
  <si>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</si>
  <si>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</si>
  <si>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</si>
  <si>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</si>
  <si>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</si>
  <si>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</si>
  <si>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</si>
  <si>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</si>
  <si>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</si>
  <si>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</si>
  <si>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</si>
  <si>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</si>
  <si>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</si>
  <si>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</si>
  <si>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</si>
  <si>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</si>
  <si>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</si>
  <si>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</si>
  <si>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</si>
  <si>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</si>
  <si>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</si>
  <si>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</si>
  <si>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</si>
  <si>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</si>
  <si>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</si>
  <si>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</si>
  <si>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</si>
  <si>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</si>
  <si>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</si>
  <si>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</si>
  <si>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</si>
  <si>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</si>
  <si>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</si>
  <si>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</si>
  <si>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</si>
  <si>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</si>
  <si>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</si>
  <si>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</si>
  <si>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</si>
  <si>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</si>
  <si>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</si>
  <si>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</si>
  <si>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</si>
  <si>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</si>
  <si>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</si>
  <si>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</si>
  <si>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</si>
  <si>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</si>
  <si>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</si>
  <si>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</si>
  <si>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</si>
  <si>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</si>
  <si>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</si>
  <si>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</si>
  <si>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</si>
  <si>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</si>
  <si>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</si>
  <si>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</si>
  <si>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</si>
  <si>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</si>
  <si>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</si>
  <si>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</si>
  <si>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</si>
  <si>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</si>
  <si>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</si>
  <si>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</si>
  <si>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</si>
  <si>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</si>
  <si>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</si>
  <si>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</si>
  <si>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</si>
  <si>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</si>
  <si>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</si>
  <si>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</si>
  <si>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</si>
  <si>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</si>
  <si>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</si>
  <si>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</si>
  <si>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</si>
  <si>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</si>
  <si>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</si>
  <si>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</si>
  <si>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</si>
  <si>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</si>
  <si>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</si>
  <si>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</si>
  <si>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</si>
  <si>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</si>
  <si>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</si>
  <si>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</si>
  <si>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</si>
  <si>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</si>
  <si>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</si>
  <si>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</si>
  <si>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</si>
  <si>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</si>
  <si>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</si>
  <si>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</si>
  <si>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</si>
  <si>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</si>
  <si>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</si>
  <si>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</si>
  <si>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</si>
  <si>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</si>
  <si>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</si>
  <si>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</si>
  <si>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</si>
  <si>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</si>
  <si>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</si>
  <si>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</si>
  <si>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</si>
  <si>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</si>
  <si>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</si>
  <si>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</si>
  <si>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</si>
  <si>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</si>
  <si>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</si>
  <si>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</si>
  <si>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</si>
  <si>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</si>
  <si>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</si>
  <si>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</si>
  <si>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</si>
  <si>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</si>
  <si>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</si>
  <si>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</si>
  <si>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</si>
  <si>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</si>
  <si>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</si>
  <si>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</si>
  <si>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</si>
  <si>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</si>
  <si>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</si>
  <si>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</si>
  <si>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</si>
  <si>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</si>
  <si>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</si>
  <si>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</si>
  <si>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</si>
  <si>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</si>
  <si>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</si>
  <si>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</si>
  <si>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</si>
  <si>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</si>
  <si>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</si>
  <si>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</si>
  <si>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</si>
  <si>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</si>
  <si>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</si>
  <si>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</si>
  <si>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</si>
  <si>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</si>
  <si>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</si>
  <si>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</si>
  <si>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</si>
  <si>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</si>
  <si>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</si>
  <si>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</si>
  <si>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</si>
  <si>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</si>
  <si>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</si>
  <si>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</si>
  <si>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</si>
  <si>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</si>
  <si>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</si>
  <si>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</si>
  <si>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</si>
  <si>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</si>
  <si>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</si>
  <si>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</si>
  <si>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</si>
  <si>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</si>
  <si>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</si>
  <si>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</si>
  <si>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</si>
  <si>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</si>
  <si>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</si>
  <si>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</si>
  <si>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</si>
  <si>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</si>
  <si>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</si>
  <si>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</si>
  <si>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</si>
  <si>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</si>
  <si>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</si>
  <si>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</si>
  <si>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</si>
  <si>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</si>
  <si>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</si>
  <si>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</si>
  <si>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</si>
  <si>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</si>
  <si>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</si>
  <si>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</si>
  <si>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</si>
  <si>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</si>
  <si>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</si>
  <si>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</si>
  <si>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</si>
  <si>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</si>
  <si>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</si>
  <si>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</si>
  <si>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</si>
  <si>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</si>
  <si>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</si>
  <si>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</si>
  <si>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</si>
  <si>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</si>
  <si>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</si>
  <si>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</si>
  <si>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</si>
  <si>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</si>
  <si>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</si>
  <si>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</si>
  <si>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</si>
  <si>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</si>
  <si>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</si>
  <si>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</si>
  <si>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</si>
  <si>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</si>
  <si>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</si>
  <si>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</si>
  <si>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</si>
  <si>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</si>
  <si>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</si>
  <si>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</si>
  <si>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</si>
  <si>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</si>
  <si>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</si>
  <si>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</si>
  <si>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</si>
  <si>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</si>
  <si>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</si>
  <si>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</si>
  <si>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</si>
  <si>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</si>
  <si>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</si>
  <si>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</si>
  <si>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</si>
  <si>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</si>
  <si>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</si>
  <si>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</si>
  <si>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</si>
  <si>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</si>
  <si>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</si>
  <si>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</si>
  <si>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</si>
  <si>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</si>
  <si>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</si>
  <si>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</si>
  <si>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</si>
  <si>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</si>
  <si>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</si>
  <si>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</si>
  <si>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</si>
  <si>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</si>
  <si>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</si>
  <si>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</si>
  <si>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</si>
  <si>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</si>
  <si>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</si>
  <si>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</si>
  <si>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</si>
  <si>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</si>
  <si>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</si>
  <si>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</si>
  <si>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</si>
  <si>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</si>
  <si>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</si>
  <si>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</si>
  <si>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</si>
  <si>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</si>
  <si>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</si>
  <si>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</si>
  <si>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</si>
  <si>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</si>
  <si>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</si>
  <si>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</si>
  <si>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</si>
  <si>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</si>
  <si>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</si>
  <si>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</si>
  <si>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</si>
  <si>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</si>
  <si>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</si>
  <si>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</si>
  <si>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</si>
  <si>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</si>
  <si>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</si>
  <si>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</si>
  <si>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</si>
  <si>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</si>
  <si>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</si>
  <si>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</si>
  <si>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</si>
  <si>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</si>
  <si>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</si>
  <si>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</si>
  <si>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</si>
  <si>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</si>
  <si>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</si>
  <si>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</si>
  <si>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</si>
  <si>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</si>
  <si>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</si>
  <si>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</si>
  <si>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</si>
  <si>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</si>
  <si>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</si>
  <si>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</si>
  <si>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</si>
  <si>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</si>
  <si>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</si>
  <si>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</si>
  <si>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</si>
  <si>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</si>
  <si>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</si>
  <si>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</si>
  <si>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</si>
  <si>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</si>
  <si>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</si>
  <si>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</si>
  <si>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</si>
  <si>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</si>
  <si>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</si>
  <si>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</si>
  <si>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</si>
  <si>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</si>
  <si>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</si>
  <si>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</si>
  <si>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</si>
  <si>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</si>
  <si>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</si>
  <si>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</si>
  <si>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</si>
  <si>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</si>
  <si>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</si>
  <si>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</si>
  <si>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</si>
  <si>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</si>
  <si>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</si>
  <si>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</si>
  <si>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</si>
  <si>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</si>
  <si>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</si>
  <si>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</si>
  <si>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</si>
  <si>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</si>
  <si>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</si>
  <si>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</si>
  <si>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</si>
  <si>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</si>
  <si>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</si>
  <si>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</si>
  <si>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</si>
  <si>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</si>
  <si>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</si>
  <si>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</si>
  <si>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</si>
  <si>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</si>
  <si>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</si>
  <si>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</si>
  <si>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</si>
  <si>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</si>
  <si>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</si>
  <si>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</si>
  <si>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</si>
  <si>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</si>
  <si>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</si>
  <si>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</si>
  <si>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</si>
  <si>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</si>
  <si>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</si>
  <si>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</si>
  <si>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</si>
  <si>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</si>
  <si>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</si>
  <si>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</si>
  <si>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</si>
  <si>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</si>
  <si>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</si>
  <si>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</si>
  <si>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</si>
  <si>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</si>
  <si>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</si>
  <si>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</si>
  <si>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</si>
  <si>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</si>
  <si>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</si>
  <si>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</si>
  <si>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</si>
  <si>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</si>
  <si>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</si>
  <si>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</si>
  <si>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</si>
  <si>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</si>
  <si>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</si>
  <si>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</si>
  <si>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</si>
  <si>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</si>
  <si>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</si>
  <si>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</si>
  <si>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</si>
  <si>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</si>
  <si>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</si>
  <si>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</si>
  <si>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</si>
  <si>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</si>
  <si>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</si>
  <si>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</si>
  <si>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</si>
  <si>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</si>
  <si>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</si>
  <si>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</si>
  <si>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</si>
  <si>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</si>
  <si>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</si>
  <si>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</si>
  <si>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</si>
  <si>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</si>
  <si>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</si>
  <si>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</si>
  <si>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</si>
  <si>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</si>
  <si>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</si>
  <si>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</si>
  <si>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</si>
  <si>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</si>
  <si>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</si>
  <si>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</si>
  <si>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</si>
  <si>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</si>
  <si>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</si>
  <si>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</si>
  <si>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</si>
  <si>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</si>
  <si>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</si>
  <si>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</si>
  <si>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</si>
  <si>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</si>
  <si>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</si>
  <si>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</si>
  <si>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</si>
  <si>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</si>
  <si>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</si>
  <si>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</si>
  <si>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</si>
  <si>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</si>
  <si>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</si>
  <si>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</si>
  <si>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</si>
  <si>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</si>
  <si>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</si>
  <si>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</si>
  <si>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</si>
  <si>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</si>
  <si>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</si>
  <si>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</si>
  <si>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</si>
  <si>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</si>
  <si>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</si>
  <si>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</si>
  <si>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</si>
  <si>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</si>
  <si>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</si>
  <si>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</si>
  <si>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</si>
  <si>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</si>
  <si>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</si>
  <si>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</si>
  <si>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</si>
  <si>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</si>
  <si>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</si>
  <si>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</si>
  <si>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</si>
  <si>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</si>
  <si>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</si>
  <si>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</si>
  <si>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</si>
  <si>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</si>
  <si>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</si>
  <si>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</si>
  <si>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</si>
  <si>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</si>
  <si>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</si>
  <si>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</si>
  <si>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</si>
  <si>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</si>
  <si>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</si>
  <si>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</si>
  <si>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</si>
  <si>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</si>
  <si>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</si>
  <si>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</si>
  <si>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</si>
  <si>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</si>
  <si>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</si>
  <si>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</si>
  <si>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</si>
  <si>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</si>
  <si>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</si>
  <si>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</si>
  <si>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</si>
  <si>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</si>
  <si>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</si>
  <si>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</si>
  <si>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</si>
  <si>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</si>
  <si>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</si>
  <si>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</si>
  <si>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</si>
  <si>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</si>
  <si>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</si>
  <si>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</si>
  <si>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</si>
  <si>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</si>
  <si>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</si>
  <si>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</si>
  <si>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</si>
  <si>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</si>
  <si>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</si>
  <si>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</si>
  <si>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</si>
  <si>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</si>
  <si>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</si>
  <si>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</si>
  <si>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</si>
  <si>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</si>
  <si>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</si>
  <si>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</si>
  <si>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</si>
  <si>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</si>
  <si>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</si>
  <si>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</si>
  <si>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</si>
  <si>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</si>
  <si>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</si>
  <si>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</si>
  <si>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</si>
  <si>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</si>
  <si>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</si>
  <si>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</si>
  <si>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</si>
  <si>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</si>
  <si>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</si>
  <si>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</si>
  <si>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</si>
  <si>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</si>
  <si>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</si>
  <si>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</si>
  <si>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</si>
  <si>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</si>
  <si>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</si>
  <si>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</si>
  <si>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</si>
  <si>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</si>
  <si>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</si>
  <si>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</si>
  <si>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</si>
  <si>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</si>
  <si>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</si>
  <si>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</si>
  <si>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</si>
  <si>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</si>
  <si>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</si>
  <si>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</si>
  <si>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</si>
  <si>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</si>
  <si>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</si>
  <si>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</si>
  <si>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</si>
  <si>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</si>
  <si>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</si>
  <si>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</si>
  <si>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</si>
  <si>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</si>
  <si>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</si>
  <si>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</si>
  <si>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</si>
  <si>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</si>
  <si>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</si>
  <si>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</si>
  <si>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</si>
  <si>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</si>
  <si>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</si>
  <si>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</si>
  <si>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</si>
  <si>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</si>
  <si>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</si>
  <si>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</si>
  <si>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</si>
  <si>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</si>
  <si>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</si>
  <si>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</si>
  <si>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</si>
  <si>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</si>
  <si>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</si>
  <si>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</si>
  <si>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</si>
  <si>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</si>
  <si>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</si>
  <si>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</si>
  <si>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</si>
  <si>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</si>
  <si>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</si>
  <si>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</si>
  <si>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</si>
  <si>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</si>
  <si>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</si>
  <si>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</si>
  <si>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</si>
  <si>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</si>
  <si>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</si>
  <si>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</si>
  <si>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</si>
  <si>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</si>
  <si>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</si>
  <si>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</si>
  <si>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</si>
  <si>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</si>
  <si>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</si>
  <si>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</si>
  <si>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</si>
  <si>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</si>
  <si>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</si>
  <si>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</si>
  <si>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</si>
  <si>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</si>
  <si>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</si>
  <si>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</si>
  <si>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</si>
  <si>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</si>
  <si>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</si>
  <si>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</si>
  <si>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</si>
  <si>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</si>
  <si>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</si>
  <si>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</si>
  <si>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</si>
  <si>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</si>
  <si>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</si>
  <si>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</si>
  <si>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</si>
  <si>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</si>
  <si>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</si>
  <si>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</si>
  <si>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</si>
  <si>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</si>
  <si>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</si>
  <si>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</si>
  <si>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</si>
  <si>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</si>
  <si>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</si>
  <si>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</si>
  <si>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</si>
  <si>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</si>
  <si>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</si>
  <si>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</si>
  <si>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</si>
  <si>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</si>
  <si>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</si>
  <si>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</si>
  <si>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</si>
  <si>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</si>
  <si>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</si>
  <si>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</si>
  <si>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</si>
  <si>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</si>
  <si>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</si>
  <si>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</si>
  <si>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</si>
  <si>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</si>
  <si>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</si>
  <si>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</si>
  <si>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</si>
  <si>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</si>
  <si>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</si>
  <si>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</si>
  <si>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</si>
  <si>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</si>
  <si>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</si>
  <si>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</si>
  <si>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</si>
  <si>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</si>
  <si>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</si>
  <si>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</si>
  <si>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</si>
  <si>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</si>
  <si>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</si>
  <si>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</si>
  <si>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</si>
  <si>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</si>
  <si>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</si>
  <si>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</si>
  <si>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</si>
  <si>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</si>
  <si>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</si>
  <si>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</si>
  <si>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</si>
  <si>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</si>
  <si>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</si>
  <si>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</si>
  <si>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</si>
  <si>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</si>
  <si>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</si>
  <si>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</si>
  <si>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</si>
  <si>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</si>
  <si>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</si>
  <si>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</si>
  <si>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</si>
  <si>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</si>
  <si>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</si>
  <si>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</si>
  <si>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</si>
  <si>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</si>
  <si>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</si>
  <si>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</si>
  <si>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</si>
  <si>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</si>
  <si>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</si>
  <si>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</si>
  <si>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</si>
  <si>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</si>
  <si>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</si>
  <si>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</si>
  <si>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</si>
  <si>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</si>
  <si>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</si>
  <si>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</si>
  <si>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</si>
  <si>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</si>
  <si>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</si>
  <si>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</si>
  <si>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</si>
  <si>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</si>
  <si>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</si>
  <si>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</si>
  <si>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</si>
  <si>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</si>
  <si>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</si>
  <si>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</si>
  <si>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</si>
  <si>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</si>
  <si>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</si>
  <si>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</si>
  <si>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</si>
  <si>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</si>
  <si>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</si>
  <si>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</si>
  <si>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</si>
  <si>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</si>
  <si>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</si>
  <si>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</si>
  <si>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</si>
  <si>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</si>
  <si>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</si>
  <si>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</si>
  <si>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</si>
  <si>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</si>
  <si>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</si>
  <si>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</si>
  <si>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</si>
  <si>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</si>
  <si>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</si>
  <si>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</si>
  <si>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</si>
  <si>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</si>
  <si>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</si>
  <si>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</si>
  <si>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</si>
  <si>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</si>
  <si>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</si>
  <si>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</si>
  <si>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</si>
  <si>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</si>
  <si>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</si>
  <si>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</si>
  <si>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</si>
  <si>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</si>
  <si>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</si>
  <si>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</si>
  <si>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</si>
  <si>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</si>
  <si>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</si>
  <si>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</si>
  <si>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</si>
  <si>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</si>
  <si>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</si>
  <si>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</si>
  <si>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</si>
  <si>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</si>
  <si>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</si>
  <si>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</si>
  <si>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</si>
  <si>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</si>
  <si>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</si>
  <si>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</si>
  <si>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</si>
  <si>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</si>
  <si>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</si>
  <si>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</si>
  <si>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</si>
  <si>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</si>
  <si>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</si>
  <si>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</si>
  <si>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</si>
  <si>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</si>
  <si>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</si>
  <si>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</si>
  <si>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</si>
  <si>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</si>
  <si>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</si>
  <si>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</si>
  <si>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</si>
  <si>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</si>
  <si>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</si>
  <si>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</si>
  <si>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</si>
  <si>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</si>
  <si>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</si>
  <si>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</si>
  <si>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</si>
  <si>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</si>
  <si>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</si>
  <si>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</si>
  <si>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</si>
  <si>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</si>
  <si>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</si>
  <si>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</si>
  <si>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</si>
  <si>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</si>
  <si>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</si>
  <si>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</si>
  <si>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</si>
  <si>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</si>
  <si>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</si>
  <si>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</si>
  <si>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</si>
  <si>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</si>
  <si>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</si>
  <si>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</si>
  <si>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</si>
  <si>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</si>
  <si>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</si>
  <si>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</si>
  <si>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</si>
  <si>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</si>
  <si>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</si>
  <si>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</si>
  <si>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</si>
  <si>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</si>
  <si>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</si>
  <si>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</si>
  <si>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</si>
  <si>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</si>
  <si>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</si>
  <si>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</si>
  <si>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</si>
  <si>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</si>
  <si>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</si>
  <si>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</si>
  <si>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</si>
  <si>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</si>
  <si>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</si>
  <si>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</si>
  <si>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</si>
  <si>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</si>
  <si>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</si>
  <si>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</si>
  <si>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</si>
  <si>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</si>
  <si>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</si>
  <si>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</si>
  <si>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</si>
  <si>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</si>
  <si>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</si>
  <si>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</si>
  <si>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</si>
  <si>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</si>
  <si>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</si>
  <si>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</si>
  <si>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</si>
  <si>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</si>
  <si>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</si>
  <si>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</si>
  <si>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</si>
  <si>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</si>
  <si>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</si>
  <si>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</si>
  <si>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</si>
  <si>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</si>
  <si>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</si>
  <si>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</si>
  <si>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</si>
  <si>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</si>
  <si>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</si>
  <si>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</si>
  <si>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</si>
  <si>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</si>
  <si>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</si>
  <si>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</si>
  <si>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</si>
  <si>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</si>
  <si>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</si>
  <si>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</si>
  <si>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</si>
  <si>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</si>
  <si>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</si>
  <si>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</si>
  <si>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</si>
  <si>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</si>
  <si>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</si>
  <si>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</si>
  <si>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</si>
  <si>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</si>
  <si>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</si>
  <si>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</si>
  <si>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</si>
  <si>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</si>
  <si>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</si>
  <si>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</si>
  <si>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</si>
  <si>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</si>
  <si>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</si>
  <si>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</si>
  <si>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</si>
  <si>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</si>
  <si>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</si>
  <si>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</si>
  <si>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</si>
  <si>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</si>
  <si>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</si>
  <si>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</si>
  <si>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</si>
  <si>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</si>
  <si>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</si>
  <si>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</si>
  <si>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</si>
  <si>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</si>
  <si>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</si>
  <si>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</si>
  <si>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</si>
  <si>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</si>
  <si>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</si>
  <si>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</si>
  <si>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</si>
  <si>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</si>
  <si>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</si>
  <si>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</si>
  <si>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</si>
  <si>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</si>
  <si>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</si>
  <si>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</si>
  <si>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</si>
  <si>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</si>
  <si>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</si>
  <si>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</si>
  <si>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</si>
  <si>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</si>
  <si>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</si>
  <si>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</si>
  <si>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</si>
  <si>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</si>
  <si>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</si>
  <si>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</si>
  <si>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</si>
  <si>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</si>
  <si>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</si>
  <si>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</si>
  <si>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</si>
  <si>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</si>
  <si>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</si>
  <si>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</si>
  <si>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</si>
  <si>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</si>
  <si>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</si>
  <si>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</si>
  <si>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</si>
  <si>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</si>
  <si>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</si>
  <si>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</si>
  <si>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</si>
  <si>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</si>
  <si>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</si>
  <si>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</si>
  <si>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</si>
  <si>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</si>
  <si>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</si>
  <si>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</si>
  <si>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</si>
  <si>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</si>
  <si>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</si>
  <si>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</si>
  <si>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</si>
  <si>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</si>
  <si>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</si>
  <si>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</si>
  <si>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</si>
  <si>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</si>
  <si>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</si>
  <si>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</si>
  <si>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</si>
  <si>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</si>
  <si>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</si>
  <si>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</si>
  <si>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</si>
  <si>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</si>
  <si>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</si>
  <si>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</si>
  <si>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</si>
  <si>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</si>
  <si>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</si>
  <si>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</si>
  <si>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</si>
  <si>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</si>
  <si>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</si>
  <si>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</si>
  <si>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</si>
  <si>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</si>
  <si>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</si>
  <si>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</si>
  <si>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</si>
  <si>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</si>
  <si>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</si>
  <si>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</si>
  <si>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</si>
  <si>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</si>
  <si>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</si>
  <si>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</si>
  <si>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</si>
  <si>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</si>
  <si>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</si>
  <si>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</si>
  <si>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</si>
  <si>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</si>
  <si>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</si>
  <si>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</si>
  <si>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</si>
  <si>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</si>
  <si>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</si>
  <si>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</si>
  <si>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</si>
  <si>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</si>
  <si>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</si>
  <si>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</si>
  <si>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</si>
  <si>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</si>
  <si>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</si>
  <si>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</si>
  <si>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</si>
  <si>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</si>
  <si>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</si>
  <si>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</si>
  <si>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</si>
  <si>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</si>
  <si>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</si>
  <si>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</si>
  <si>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</si>
  <si>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</si>
  <si>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</si>
  <si>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</si>
  <si>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</si>
  <si>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</si>
  <si>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</si>
  <si>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</si>
  <si>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</si>
  <si>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</si>
  <si>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</si>
  <si>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</si>
  <si>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</si>
  <si>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</si>
  <si>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</si>
  <si>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</si>
  <si>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</si>
  <si>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</si>
  <si>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</si>
  <si>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</si>
  <si>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</si>
  <si>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</si>
  <si>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</si>
  <si>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</si>
  <si>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</si>
  <si>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</si>
  <si>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</si>
  <si>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</si>
  <si>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</si>
  <si>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</si>
  <si>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</si>
  <si>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</si>
  <si>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</si>
  <si>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</si>
  <si>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</si>
  <si>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</si>
  <si>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</si>
  <si>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</si>
  <si>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</si>
  <si>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</si>
  <si>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</si>
  <si>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</si>
  <si>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</si>
  <si>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</si>
  <si>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</si>
  <si>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</si>
  <si>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</si>
  <si>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</si>
  <si>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</si>
  <si>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</si>
  <si>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</si>
  <si>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</si>
  <si>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</si>
  <si>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</si>
  <si>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</si>
  <si>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</si>
  <si>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</si>
  <si>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</si>
  <si>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</si>
  <si>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</si>
  <si>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</si>
  <si>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</si>
  <si>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</si>
  <si>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</si>
  <si>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</si>
  <si>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</si>
  <si>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</si>
  <si>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</si>
  <si>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</si>
  <si>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</si>
  <si>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</si>
  <si>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</si>
  <si>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</si>
  <si>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</si>
  <si>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</si>
  <si>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</si>
  <si>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</si>
  <si>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</si>
  <si>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</si>
  <si>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</si>
  <si>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</si>
  <si>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</si>
  <si>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</si>
  <si>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</si>
  <si>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</si>
  <si>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</si>
  <si>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</si>
  <si>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</si>
  <si>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</si>
  <si>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</si>
  <si>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</si>
  <si>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</si>
  <si>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</si>
  <si>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</si>
  <si>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</si>
  <si>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</si>
  <si>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</si>
  <si>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</si>
  <si>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</si>
  <si>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</si>
  <si>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</si>
  <si>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</si>
  <si>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</si>
  <si>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</si>
  <si>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</si>
  <si>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</si>
  <si>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</si>
  <si>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</si>
  <si>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</si>
  <si>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</si>
  <si>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</si>
  <si>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</si>
  <si>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</si>
  <si>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</si>
  <si>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</si>
  <si>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</si>
  <si>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</si>
  <si>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</si>
  <si>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</si>
  <si>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</si>
  <si>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</si>
  <si>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</si>
  <si>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</si>
  <si>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</si>
  <si>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</si>
  <si>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</si>
  <si>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</si>
  <si>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</si>
  <si>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</si>
  <si>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</si>
  <si>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</si>
  <si>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</si>
  <si>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</si>
  <si>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</si>
  <si>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</si>
  <si>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</si>
  <si>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</si>
  <si>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</si>
  <si>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</si>
  <si>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</si>
  <si>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</si>
  <si>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</si>
  <si>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</si>
  <si>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</si>
  <si>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</si>
  <si>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</si>
  <si>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</si>
  <si>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</si>
  <si>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</si>
  <si>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</si>
  <si>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</si>
  <si>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</si>
  <si>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</si>
  <si>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</si>
  <si>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</si>
  <si>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</si>
  <si>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</si>
  <si>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</si>
  <si>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</si>
  <si>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</si>
  <si>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</si>
  <si>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</si>
  <si>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</si>
  <si>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</si>
  <si>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</si>
  <si>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</si>
  <si>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</si>
  <si>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</si>
  <si>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</si>
  <si>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</si>
  <si>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</si>
  <si>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</si>
  <si>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</si>
  <si>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</si>
  <si>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</si>
  <si>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</si>
  <si>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</si>
  <si>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</si>
  <si>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</si>
  <si>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</si>
  <si>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</si>
  <si>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</si>
  <si>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</si>
  <si>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</si>
  <si>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</si>
  <si>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</si>
  <si>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</si>
  <si>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</si>
  <si>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</si>
  <si>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</si>
  <si>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</si>
  <si>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</si>
  <si>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</si>
  <si>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</si>
  <si>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</si>
  <si>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</si>
  <si>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</si>
  <si>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</si>
  <si>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</si>
  <si>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</si>
  <si>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</si>
  <si>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</si>
  <si>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</si>
  <si>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</si>
  <si>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</si>
  <si>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</si>
  <si>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</si>
  <si>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</si>
  <si>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</si>
  <si>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</si>
  <si>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</si>
  <si>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</si>
  <si>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</si>
  <si>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</si>
  <si>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</si>
  <si>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</si>
  <si>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</si>
  <si>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</si>
  <si>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</si>
  <si>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</si>
  <si>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</si>
  <si>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</si>
  <si>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</si>
  <si>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</si>
  <si>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</si>
  <si>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</si>
  <si>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</si>
  <si>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</si>
  <si>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</si>
  <si>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</si>
  <si>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</si>
  <si>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</si>
  <si>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</si>
  <si>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</si>
  <si>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</si>
  <si>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</si>
  <si>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</si>
  <si>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</si>
  <si>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</si>
  <si>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</si>
  <si>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</si>
  <si>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</si>
  <si>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</si>
  <si>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</si>
  <si>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</si>
  <si>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</si>
  <si>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</si>
  <si>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</si>
  <si>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</si>
  <si>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</si>
  <si>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</si>
  <si>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</si>
  <si>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</si>
  <si>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</si>
  <si>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</si>
  <si>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</si>
  <si>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</si>
  <si>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</si>
  <si>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</si>
  <si>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</si>
  <si>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</si>
  <si>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</si>
  <si>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</si>
  <si>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</si>
  <si>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</si>
  <si>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</si>
  <si>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</si>
  <si>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</si>
  <si>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</si>
  <si>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</si>
  <si>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</si>
  <si>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</si>
  <si>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</si>
  <si>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</si>
  <si>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</si>
  <si>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</si>
  <si>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</si>
  <si>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</si>
  <si>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</si>
  <si>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</si>
  <si>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</si>
  <si>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</si>
  <si>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</si>
  <si>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</si>
  <si>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</si>
  <si>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</si>
  <si>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</si>
  <si>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</si>
  <si>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</si>
  <si>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</si>
  <si>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</si>
  <si>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</si>
  <si>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</si>
  <si>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</si>
  <si>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</si>
  <si>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</si>
  <si>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</si>
  <si>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</si>
  <si>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</si>
  <si>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</si>
  <si>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</si>
  <si>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</si>
  <si>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</si>
  <si>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</si>
  <si>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</si>
  <si>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</si>
  <si>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</si>
  <si>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</si>
  <si>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</si>
  <si>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</si>
  <si>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</si>
  <si>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</si>
  <si>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</si>
  <si>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</si>
  <si>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</si>
  <si>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</si>
  <si>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</si>
  <si>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</si>
  <si>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</si>
  <si>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</si>
  <si>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</si>
  <si>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</si>
  <si>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</si>
  <si>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</si>
  <si>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</si>
  <si>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</si>
  <si>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</si>
  <si>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</si>
  <si>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</si>
  <si>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</si>
  <si>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</si>
  <si>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</si>
  <si>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</si>
  <si>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</si>
  <si>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</si>
  <si>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</si>
  <si>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</si>
  <si>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</si>
  <si>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</si>
  <si>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</si>
  <si>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</si>
  <si>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</si>
  <si>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</si>
  <si>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</si>
  <si>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</si>
  <si>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</si>
  <si>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</si>
  <si>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</si>
  <si>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</si>
  <si>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</si>
  <si>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</si>
  <si>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</si>
  <si>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</si>
  <si>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</si>
  <si>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</si>
  <si>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</si>
  <si>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</si>
  <si>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</si>
  <si>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</si>
  <si>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</si>
  <si>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</si>
  <si>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</si>
  <si>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</si>
  <si>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</si>
  <si>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</si>
  <si>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</si>
  <si>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</si>
  <si>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</si>
  <si>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</si>
  <si>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</si>
  <si>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</si>
  <si>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</si>
  <si>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</si>
  <si>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</si>
  <si>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</si>
  <si>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</si>
  <si>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</si>
  <si>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</si>
  <si>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</si>
  <si>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</si>
  <si>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</si>
  <si>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</si>
  <si>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</si>
  <si>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</si>
  <si>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</si>
  <si>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</si>
  <si>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</si>
  <si>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</si>
  <si>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</si>
  <si>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</si>
  <si>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</si>
  <si>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</si>
  <si>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</si>
  <si>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</si>
  <si>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</si>
  <si>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</si>
  <si>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</si>
  <si>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</si>
  <si>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</si>
  <si>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</si>
  <si>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</si>
  <si>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</si>
  <si>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</si>
  <si>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</si>
  <si>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</si>
  <si>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</si>
  <si>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</si>
  <si>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</si>
  <si>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</si>
  <si>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</si>
  <si>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</si>
  <si>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</si>
  <si>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</si>
  <si>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</si>
  <si>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</si>
  <si>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</si>
  <si>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</si>
  <si>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</si>
  <si>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</si>
  <si>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</si>
  <si>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</si>
  <si>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</si>
  <si>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</si>
  <si>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</si>
  <si>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</si>
  <si>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</si>
  <si>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</si>
  <si>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</si>
  <si>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</si>
  <si>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</si>
  <si>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</si>
  <si>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</si>
  <si>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</si>
  <si>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</si>
  <si>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</si>
  <si>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</si>
  <si>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</si>
  <si>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</si>
  <si>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</si>
  <si>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</si>
  <si>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</si>
  <si>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</si>
  <si>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</si>
  <si>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</si>
  <si>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</si>
  <si>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</si>
  <si>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</si>
  <si>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</si>
  <si>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</si>
  <si>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</si>
  <si>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</si>
  <si>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</si>
  <si>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</si>
  <si>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</si>
  <si>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</si>
  <si>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</si>
  <si>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</si>
  <si>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</si>
  <si>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</si>
  <si>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</si>
  <si>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</si>
  <si>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</si>
  <si>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</si>
  <si>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</si>
  <si>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</si>
  <si>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</si>
  <si>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</si>
  <si>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</si>
  <si>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</si>
  <si>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</si>
  <si>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</si>
  <si>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</si>
  <si>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</si>
  <si>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</si>
  <si>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</si>
  <si>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</si>
  <si>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</si>
  <si>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</si>
  <si>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</si>
  <si>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</si>
  <si>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</si>
  <si>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</si>
  <si>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</si>
  <si>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</si>
  <si>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</si>
  <si>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</si>
  <si>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</si>
  <si>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</si>
  <si>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</si>
  <si>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</si>
  <si>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</si>
  <si>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</si>
  <si>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</si>
  <si>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</si>
  <si>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</si>
  <si>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</si>
  <si>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</si>
  <si>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</si>
  <si>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</si>
  <si>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</si>
  <si>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</si>
  <si>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</si>
  <si>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</si>
  <si>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</si>
  <si>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</si>
  <si>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</si>
  <si>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</si>
  <si>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</si>
  <si>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</si>
  <si>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</si>
  <si>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</si>
  <si>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</si>
  <si>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</si>
  <si>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</si>
  <si>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</si>
  <si>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</si>
  <si>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</si>
  <si>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</si>
  <si>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</si>
  <si>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</si>
  <si>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</si>
  <si>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</si>
  <si>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</si>
  <si>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</si>
  <si>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</si>
  <si>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</si>
  <si>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</si>
  <si>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</si>
  <si>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</si>
  <si>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</si>
  <si>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</si>
  <si>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</si>
  <si>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</si>
  <si>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</si>
  <si>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</si>
  <si>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</si>
  <si>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</si>
  <si>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</si>
  <si>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</si>
  <si>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</si>
  <si>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</si>
  <si>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</si>
  <si>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</si>
  <si>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</si>
  <si>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</si>
  <si>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</si>
  <si>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</si>
  <si>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</si>
  <si>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</si>
  <si>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</si>
  <si>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</si>
  <si>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</si>
  <si>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</si>
  <si>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</si>
  <si>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</si>
  <si>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</si>
  <si>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</si>
  <si>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</si>
  <si>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</si>
  <si>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</si>
  <si>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</si>
  <si>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</si>
  <si>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</si>
  <si>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</si>
  <si>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</si>
  <si>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</si>
  <si>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</si>
  <si>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</si>
  <si>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</si>
  <si>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</si>
  <si>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</si>
  <si>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</si>
  <si>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</si>
  <si>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</si>
  <si>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</si>
  <si>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</si>
  <si>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</si>
  <si>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</si>
  <si>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</si>
  <si>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</si>
  <si>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</si>
  <si>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</si>
  <si>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</si>
  <si>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</si>
  <si>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</si>
  <si>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</si>
  <si>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</si>
  <si>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</si>
  <si>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</si>
  <si>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</si>
  <si>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</si>
  <si>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</si>
  <si>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</si>
  <si>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</si>
  <si>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</si>
  <si>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</si>
  <si>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</si>
  <si>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</si>
  <si>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</si>
  <si>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</si>
  <si>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</si>
  <si>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</si>
  <si>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</si>
  <si>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</si>
  <si>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</si>
  <si>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</si>
  <si>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</si>
  <si>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</si>
  <si>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</si>
  <si>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</si>
  <si>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</si>
  <si>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</si>
  <si>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</si>
  <si>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</si>
  <si>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</si>
  <si>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</si>
  <si>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</si>
  <si>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</si>
  <si>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</si>
  <si>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</si>
  <si>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</si>
  <si>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</si>
  <si>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</si>
  <si>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</si>
  <si>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</si>
  <si>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</si>
  <si>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</si>
  <si>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</si>
  <si>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</si>
  <si>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</si>
  <si>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</si>
  <si>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</si>
  <si>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</si>
  <si>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</si>
  <si>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</si>
  <si>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</si>
  <si>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</si>
  <si>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</si>
  <si>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</si>
  <si>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</si>
  <si>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</si>
  <si>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</si>
  <si>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</si>
  <si>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</si>
  <si>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</si>
  <si>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</si>
  <si>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</si>
  <si>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</si>
  <si>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</si>
  <si>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</si>
  <si>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</si>
  <si>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</si>
  <si>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</si>
  <si>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</si>
  <si>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</si>
  <si>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</si>
  <si>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</si>
  <si>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</si>
  <si>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</si>
  <si>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</si>
  <si>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</si>
  <si>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</si>
  <si>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</si>
  <si>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</si>
  <si>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</si>
  <si>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</si>
  <si>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</si>
  <si>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</si>
  <si>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</si>
  <si>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</si>
  <si>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</si>
  <si>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</si>
  <si>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</si>
  <si>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</si>
  <si>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</si>
  <si>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</si>
  <si>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</si>
  <si>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</si>
  <si>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</si>
  <si>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</si>
  <si>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</si>
  <si>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</si>
  <si>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</si>
  <si>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</si>
  <si>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</si>
  <si>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</si>
  <si>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</si>
  <si>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</si>
  <si>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</si>
  <si>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</si>
  <si>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</si>
  <si>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</si>
  <si>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</si>
  <si>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</si>
  <si>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</si>
  <si>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</si>
  <si>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</si>
  <si>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</si>
  <si>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</si>
  <si>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</si>
  <si>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</si>
  <si>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</si>
  <si>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</si>
  <si>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</si>
  <si>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</si>
  <si>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</si>
  <si>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</si>
  <si>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</si>
  <si>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</si>
  <si>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</si>
  <si>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</si>
  <si>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</si>
  <si>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</si>
  <si>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</si>
  <si>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</si>
  <si>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</si>
  <si>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</si>
  <si>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</si>
  <si>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</si>
  <si>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</si>
  <si>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</si>
  <si>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</si>
  <si>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</si>
  <si>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</si>
  <si>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</si>
  <si>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</si>
  <si>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</si>
  <si>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</si>
  <si>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</si>
  <si>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</si>
  <si>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</si>
  <si>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</si>
  <si>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</si>
  <si>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</si>
  <si>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</si>
  <si>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</si>
  <si>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</si>
  <si>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</si>
  <si>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</si>
  <si>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</si>
  <si>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</si>
  <si>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</si>
  <si>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</si>
  <si>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</si>
  <si>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</si>
  <si>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</si>
  <si>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</si>
  <si>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</si>
  <si>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</si>
  <si>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</si>
  <si>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</si>
  <si>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</si>
  <si>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</si>
  <si>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</si>
  <si>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</si>
  <si>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</si>
  <si>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</si>
  <si>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</si>
  <si>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</si>
  <si>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</si>
  <si>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</si>
  <si>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</si>
  <si>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</si>
  <si>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</si>
  <si>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</si>
  <si>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</si>
  <si>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</si>
  <si>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</si>
  <si>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</si>
  <si>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</si>
  <si>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</si>
  <si>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</si>
  <si>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</si>
  <si>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</si>
  <si>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</si>
  <si>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</si>
  <si>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</si>
  <si>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</si>
  <si>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</si>
  <si>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</si>
  <si>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</si>
  <si>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</si>
  <si>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</si>
  <si>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</si>
  <si>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</si>
  <si>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</si>
  <si>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</si>
  <si>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</si>
  <si>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</si>
  <si>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</si>
  <si>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</si>
  <si>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</si>
  <si>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</si>
  <si>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</si>
  <si>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</si>
  <si>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</si>
  <si>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</si>
  <si>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</si>
  <si>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</si>
  <si>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</si>
  <si>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</si>
  <si>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</si>
  <si>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</si>
  <si>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</si>
  <si>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</si>
  <si>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</si>
  <si>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</si>
  <si>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</si>
  <si>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</si>
  <si>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</si>
  <si>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</si>
  <si>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</si>
  <si>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</si>
  <si>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</si>
  <si>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</si>
  <si>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</si>
  <si>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</si>
  <si>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</si>
  <si>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</si>
  <si>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</si>
  <si>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</si>
  <si>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</si>
  <si>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</si>
  <si>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</si>
  <si>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</si>
  <si>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</si>
  <si>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</si>
  <si>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</si>
  <si>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</si>
  <si>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</si>
  <si>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</si>
  <si>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</si>
  <si>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</si>
  <si>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</si>
  <si>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</si>
  <si>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</si>
  <si>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</si>
  <si>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</si>
  <si>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</si>
  <si>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</si>
  <si>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</si>
  <si>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</si>
  <si>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</si>
  <si>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</si>
  <si>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</si>
  <si>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</si>
  <si>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</si>
  <si>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</si>
  <si>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</si>
  <si>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</si>
  <si>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</si>
  <si>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</si>
  <si>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</si>
  <si>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</si>
  <si>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</si>
  <si>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</si>
  <si>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</si>
  <si>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</si>
  <si>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</si>
  <si>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</si>
  <si>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</si>
  <si>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</si>
  <si>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</si>
  <si>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</si>
  <si>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</si>
  <si>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</si>
  <si>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</si>
  <si>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</si>
  <si>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</si>
  <si>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</si>
  <si>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</si>
  <si>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</si>
  <si>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</si>
  <si>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</si>
  <si>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</si>
  <si>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</si>
  <si>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</si>
  <si>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</si>
  <si>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</si>
  <si>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</si>
  <si>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</si>
  <si>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</si>
  <si>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</si>
  <si>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</si>
  <si>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</si>
  <si>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</si>
  <si>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</si>
  <si>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</si>
  <si>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</si>
  <si>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</si>
  <si>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</si>
  <si>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</si>
  <si>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</si>
  <si>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</si>
  <si>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</si>
  <si>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</si>
  <si>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</si>
  <si>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</si>
  <si>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</si>
  <si>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</si>
  <si>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</si>
  <si>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</si>
  <si>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</si>
  <si>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</si>
  <si>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</si>
  <si>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</si>
  <si>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</si>
  <si>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</si>
  <si>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</si>
  <si>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</si>
  <si>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</si>
  <si>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</si>
  <si>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</si>
  <si>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</si>
  <si>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</si>
  <si>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</si>
  <si>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</si>
  <si>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</si>
  <si>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</si>
  <si>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</si>
  <si>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</si>
  <si>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</si>
  <si>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</si>
  <si>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</si>
  <si>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</si>
  <si>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</si>
  <si>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</si>
  <si>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</si>
  <si>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</si>
  <si>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</si>
  <si>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</si>
  <si>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</si>
  <si>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</si>
  <si>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</si>
  <si>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</si>
  <si>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</si>
  <si>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</si>
  <si>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</si>
  <si>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</si>
  <si>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</si>
  <si>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</si>
  <si>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</si>
  <si>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</si>
  <si>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</si>
  <si>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</si>
  <si>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</si>
  <si>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</si>
  <si>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</si>
  <si>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</si>
  <si>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</si>
  <si>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</si>
  <si>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</si>
  <si>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</si>
  <si>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</si>
  <si>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</si>
  <si>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</si>
  <si>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</si>
  <si>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</si>
  <si>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</si>
  <si>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</si>
  <si>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</si>
  <si>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</si>
  <si>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</si>
  <si>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</si>
  <si>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</si>
  <si>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</si>
  <si>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</si>
  <si>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</si>
  <si>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</si>
  <si>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</si>
  <si>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</si>
  <si>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</si>
  <si>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</si>
  <si>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</si>
  <si>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</si>
  <si>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</si>
  <si>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</si>
  <si>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</si>
  <si>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</si>
  <si>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</si>
  <si>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</si>
  <si>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</si>
  <si>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</si>
  <si>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</si>
  <si>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</si>
  <si>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</si>
  <si>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</si>
  <si>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</si>
  <si>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</si>
  <si>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</si>
  <si>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</si>
  <si>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</si>
  <si>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</si>
  <si>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</si>
  <si>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</si>
  <si>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</si>
  <si>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</si>
  <si>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</si>
  <si>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</si>
  <si>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</si>
  <si>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</si>
  <si>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</si>
  <si>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</si>
  <si>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</si>
  <si>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</si>
  <si>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</si>
  <si>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</si>
  <si>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</si>
  <si>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</si>
  <si>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</si>
  <si>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</si>
  <si>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</si>
  <si>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</si>
  <si>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</si>
  <si>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</si>
  <si>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</si>
  <si>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</si>
  <si>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</si>
  <si>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</si>
  <si>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</si>
  <si>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</si>
  <si>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</si>
  <si>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</si>
  <si>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</si>
  <si>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</si>
  <si>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</si>
  <si>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</si>
  <si>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</si>
  <si>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</si>
  <si>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</si>
  <si>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</si>
  <si>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</si>
  <si>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</si>
  <si>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</si>
  <si>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</si>
  <si>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</si>
  <si>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</si>
  <si>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</si>
  <si>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</si>
  <si>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</si>
  <si>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</si>
  <si>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</si>
  <si>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</si>
  <si>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</si>
  <si>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</si>
  <si>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</si>
  <si>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</si>
  <si>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</si>
  <si>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</si>
  <si>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</si>
  <si>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</si>
  <si>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</si>
  <si>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</si>
  <si>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</si>
  <si>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</si>
  <si>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</si>
  <si>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</si>
  <si>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</si>
  <si>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</si>
  <si>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</si>
  <si>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</si>
  <si>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</si>
  <si>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</si>
  <si>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</si>
  <si>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</si>
  <si>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</si>
  <si>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</si>
  <si>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</si>
  <si>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</si>
  <si>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</si>
  <si>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</si>
  <si>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</si>
  <si>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</si>
  <si>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</si>
  <si>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</si>
  <si>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</si>
  <si>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</si>
  <si>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</si>
  <si>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</si>
  <si>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</si>
  <si>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</si>
  <si>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</si>
  <si>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</si>
  <si>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</si>
  <si>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</si>
  <si>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</si>
  <si>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</si>
  <si>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</si>
  <si>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</si>
  <si>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</si>
  <si>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</si>
  <si>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</si>
  <si>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</si>
  <si>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</si>
  <si>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</si>
  <si>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</si>
  <si>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</si>
  <si>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</si>
  <si>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</si>
  <si>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</si>
  <si>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</si>
  <si>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</si>
  <si>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</si>
  <si>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</si>
  <si>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</si>
  <si>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</si>
  <si>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</si>
  <si>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</si>
  <si>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</si>
  <si>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</si>
  <si>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</si>
  <si>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</si>
  <si>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</si>
  <si>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</si>
  <si>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</si>
  <si>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</si>
  <si>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</si>
  <si>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</si>
  <si>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</si>
  <si>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</si>
  <si>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</si>
  <si>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</si>
  <si>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</si>
  <si>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</si>
  <si>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</si>
  <si>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</si>
  <si>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</si>
  <si>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</si>
  <si>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</si>
  <si>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</si>
  <si>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</si>
  <si>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</si>
  <si>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</si>
  <si>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</si>
  <si>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</si>
  <si>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</si>
  <si>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</si>
  <si>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</si>
  <si>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</si>
  <si>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</si>
  <si>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</si>
  <si>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</si>
  <si>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</si>
  <si>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</si>
  <si>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</si>
  <si>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</si>
  <si>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</si>
  <si>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</si>
  <si>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</si>
  <si>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</si>
  <si>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</si>
  <si>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</si>
  <si>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</si>
  <si>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</si>
  <si>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</si>
  <si>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</si>
  <si>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</si>
  <si>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</si>
  <si>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</si>
  <si>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</si>
  <si>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</si>
  <si>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</si>
  <si>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</si>
  <si>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</si>
  <si>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</si>
  <si>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</si>
  <si>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</si>
  <si>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</si>
  <si>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</si>
  <si>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</si>
  <si>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</si>
  <si>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</si>
  <si>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</si>
  <si>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</si>
  <si>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</si>
  <si>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</si>
  <si>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</si>
  <si>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</si>
  <si>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</si>
  <si>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</si>
  <si>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</si>
  <si>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</si>
  <si>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</si>
  <si>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</si>
  <si>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</si>
  <si>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</si>
  <si>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</si>
  <si>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</si>
  <si>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</si>
  <si>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</si>
  <si>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</si>
  <si>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</si>
  <si>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</si>
  <si>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</si>
  <si>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</si>
  <si>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</si>
  <si>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</si>
  <si>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</si>
  <si>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</si>
  <si>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</si>
  <si>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</si>
  <si>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</si>
  <si>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</si>
  <si>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</si>
  <si>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</si>
  <si>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</si>
  <si>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</si>
  <si>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</si>
  <si>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</si>
  <si>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</si>
  <si>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</si>
  <si>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</si>
  <si>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</si>
  <si>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</si>
  <si>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</si>
  <si>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</si>
  <si>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</si>
  <si>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</si>
  <si>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</si>
  <si>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</si>
  <si>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</si>
  <si>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</si>
  <si>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</si>
  <si>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</si>
  <si>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</si>
  <si>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</si>
  <si>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</si>
  <si>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</si>
  <si>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</si>
  <si>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</si>
  <si>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</si>
  <si>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</si>
  <si>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</si>
  <si>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</si>
  <si>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</si>
  <si>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</si>
  <si>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</si>
  <si>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</si>
  <si>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</si>
  <si>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</si>
  <si>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</si>
  <si>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</si>
  <si>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</si>
  <si>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</si>
  <si>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</si>
  <si>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</si>
  <si>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</si>
  <si>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</si>
  <si>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</si>
  <si>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</si>
  <si>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</si>
  <si>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</si>
  <si>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</si>
  <si>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</si>
  <si>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</si>
  <si>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</si>
  <si>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</si>
  <si>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</si>
  <si>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</si>
  <si>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</si>
  <si>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</si>
  <si>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</si>
  <si>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</si>
  <si>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</si>
  <si>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</si>
  <si>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</si>
  <si>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</si>
  <si>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</si>
  <si>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</si>
  <si>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</si>
  <si>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</si>
  <si>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</si>
  <si>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</si>
  <si>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</si>
  <si>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</si>
  <si>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</si>
  <si>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</si>
  <si>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</si>
  <si>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</si>
  <si>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</si>
  <si>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</si>
  <si>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</si>
  <si>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</si>
  <si>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</si>
  <si>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</si>
  <si>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</si>
  <si>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</si>
  <si>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</si>
  <si>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</si>
  <si>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</si>
  <si>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</si>
  <si>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</si>
  <si>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</si>
  <si>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</si>
  <si>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</si>
  <si>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</si>
  <si>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</si>
  <si>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</si>
  <si>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</si>
  <si>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</si>
  <si>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</si>
  <si>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</si>
  <si>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</si>
  <si>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</si>
  <si>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</si>
  <si>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</si>
  <si>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</si>
  <si>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</si>
  <si>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</si>
  <si>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</si>
  <si>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</si>
  <si>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</si>
  <si>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</si>
  <si>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</si>
  <si>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</si>
  <si>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</si>
  <si>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</si>
  <si>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</si>
  <si>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</si>
  <si>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</si>
  <si>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</si>
  <si>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</si>
  <si>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</si>
  <si>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</si>
  <si>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</si>
  <si>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</si>
  <si>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</si>
  <si>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</si>
  <si>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</si>
  <si>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</si>
  <si>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</si>
  <si>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</si>
  <si>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</si>
  <si>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</si>
  <si>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</si>
  <si>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</si>
  <si>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</si>
  <si>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</si>
  <si>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</si>
  <si>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</si>
  <si>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</si>
  <si>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</si>
  <si>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</si>
  <si>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</si>
  <si>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</si>
  <si>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</si>
  <si>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</si>
  <si>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</si>
  <si>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</si>
  <si>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</si>
  <si>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</si>
  <si>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</si>
  <si>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</si>
  <si>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</si>
  <si>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</si>
  <si>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</si>
  <si>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</si>
  <si>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</si>
  <si>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</si>
  <si>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</si>
  <si>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</si>
  <si>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</si>
  <si>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</si>
  <si>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</si>
  <si>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</si>
  <si>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</si>
  <si>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</si>
  <si>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</si>
  <si>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</si>
  <si>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</si>
  <si>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</si>
  <si>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</si>
  <si>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</si>
  <si>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</si>
  <si>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</si>
  <si>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</si>
  <si>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</si>
  <si>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</si>
  <si>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</si>
  <si>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</si>
  <si>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</si>
  <si>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</si>
  <si>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</si>
  <si>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</si>
  <si>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</si>
  <si>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</si>
  <si>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</si>
  <si>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</si>
  <si>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</si>
  <si>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</si>
  <si>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</si>
  <si>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</si>
  <si>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</si>
  <si>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</si>
  <si>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</si>
  <si>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</si>
  <si>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</si>
  <si>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</si>
  <si>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</si>
  <si>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</si>
  <si>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</si>
  <si>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</si>
  <si>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</si>
  <si>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</si>
  <si>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</si>
  <si>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</si>
  <si>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</si>
  <si>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</si>
  <si>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</si>
  <si>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</si>
  <si>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</si>
  <si>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</si>
  <si>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</si>
  <si>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</si>
  <si>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</si>
  <si>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</si>
  <si>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</si>
  <si>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</si>
  <si>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</si>
  <si>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</si>
  <si>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</si>
  <si>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</si>
  <si>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</si>
  <si>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</si>
  <si>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</si>
  <si>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</si>
  <si>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</si>
  <si>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</si>
  <si>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</si>
  <si>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</si>
  <si>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</si>
  <si>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</si>
  <si>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</si>
  <si>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</si>
  <si>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</si>
  <si>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</si>
  <si>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</si>
  <si>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</si>
  <si>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</si>
  <si>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</si>
  <si>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</si>
  <si>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</si>
  <si>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</si>
  <si>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</si>
  <si>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</si>
  <si>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</si>
  <si>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</si>
  <si>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</si>
  <si>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</si>
  <si>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</si>
  <si>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</si>
  <si>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</si>
  <si>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</si>
  <si>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</si>
  <si>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</si>
  <si>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</si>
  <si>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</si>
  <si>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</si>
  <si>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</si>
  <si>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</si>
  <si>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</si>
  <si>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</si>
  <si>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</si>
  <si>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</si>
  <si>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</si>
  <si>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</si>
  <si>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</si>
  <si>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</si>
  <si>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</si>
  <si>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</si>
  <si>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</si>
  <si>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</si>
  <si>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</si>
  <si>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</si>
  <si>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</si>
  <si>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</si>
  <si>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</si>
  <si>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</si>
  <si>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</si>
  <si>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</si>
  <si>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</si>
  <si>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</si>
  <si>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</si>
  <si>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</si>
  <si>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</si>
  <si>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</si>
  <si>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</si>
  <si>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</si>
  <si>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</si>
  <si>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</si>
  <si>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</si>
  <si>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</si>
  <si>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</si>
  <si>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</si>
  <si>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</si>
  <si>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</si>
  <si>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</si>
  <si>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</si>
  <si>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</si>
  <si>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</si>
  <si>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</si>
  <si>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</si>
  <si>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</si>
  <si>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</si>
  <si>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</si>
  <si>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</si>
  <si>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</si>
  <si>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</si>
  <si>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</si>
  <si>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</si>
  <si>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</si>
  <si>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</si>
  <si>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</si>
  <si>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</si>
  <si>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</si>
  <si>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</si>
  <si>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</si>
  <si>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</si>
  <si>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</si>
  <si>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</si>
  <si>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</si>
  <si>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</si>
  <si>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</si>
  <si>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</si>
  <si>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</si>
  <si>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</si>
  <si>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</si>
  <si>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</si>
  <si>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</si>
  <si>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</si>
  <si>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</si>
  <si>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</si>
  <si>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</si>
  <si>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</si>
  <si>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</si>
  <si>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</si>
  <si>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</si>
  <si>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</si>
  <si>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</si>
  <si>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</si>
  <si>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</si>
  <si>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</si>
  <si>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</si>
  <si>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</si>
  <si>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</si>
  <si>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</si>
  <si>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</si>
  <si>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</si>
  <si>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</si>
  <si>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</si>
  <si>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</si>
  <si>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</si>
  <si>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</si>
  <si>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</si>
  <si>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</si>
  <si>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</si>
  <si>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</si>
  <si>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</si>
  <si>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</si>
  <si>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</si>
  <si>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</si>
  <si>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</si>
  <si>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</si>
  <si>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</si>
  <si>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</si>
  <si>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</si>
  <si>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</si>
  <si>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</si>
  <si>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</si>
  <si>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</si>
  <si>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</si>
  <si>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</si>
  <si>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</si>
  <si>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</si>
  <si>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</si>
  <si>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</si>
  <si>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</si>
  <si>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</si>
  <si>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</si>
  <si>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</si>
  <si>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</si>
  <si>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</si>
  <si>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</si>
  <si>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</si>
  <si>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</si>
  <si>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</si>
  <si>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</si>
  <si>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</si>
  <si>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</si>
  <si>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</si>
  <si>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</si>
  <si>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</si>
  <si>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</si>
  <si>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</si>
  <si>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</si>
  <si>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</si>
  <si>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</si>
  <si>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</si>
  <si>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</si>
  <si>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</si>
  <si>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</si>
  <si>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</si>
  <si>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</si>
  <si>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</si>
  <si>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</si>
  <si>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</si>
  <si>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</si>
  <si>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</si>
  <si>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</si>
  <si>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</si>
  <si>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</si>
  <si>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</si>
  <si>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</si>
  <si>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</si>
  <si>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</si>
  <si>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</si>
  <si>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</si>
  <si>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</si>
  <si>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</si>
  <si>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</si>
  <si>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</si>
  <si>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</si>
  <si>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</si>
  <si>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</si>
  <si>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</si>
  <si>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</si>
  <si>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</si>
  <si>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</si>
  <si>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</si>
  <si>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</si>
  <si>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</si>
  <si>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</si>
  <si>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</si>
  <si>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</si>
  <si>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</si>
  <si>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</si>
  <si>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</si>
  <si>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</si>
  <si>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</si>
  <si>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</si>
  <si>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</si>
  <si>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</si>
  <si>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</si>
  <si>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</si>
  <si>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</si>
  <si>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</si>
  <si>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</si>
  <si>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</si>
  <si>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</si>
  <si>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</si>
  <si>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</si>
  <si>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</si>
  <si>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</si>
  <si>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</si>
  <si>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</si>
  <si>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</si>
  <si>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</si>
  <si>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</si>
  <si>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</si>
  <si>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</si>
  <si>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</si>
  <si>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</si>
  <si>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</si>
  <si>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</si>
  <si>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</si>
  <si>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</si>
  <si>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</si>
  <si>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</si>
  <si>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</si>
  <si>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</si>
  <si>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</si>
  <si>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</si>
  <si>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</si>
  <si>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</si>
  <si>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</si>
  <si>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</si>
  <si>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</si>
  <si>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</si>
  <si>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</si>
  <si>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</si>
  <si>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</si>
  <si>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</si>
  <si>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</si>
  <si>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</si>
  <si>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</si>
  <si>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</si>
  <si>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</si>
  <si>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</si>
  <si>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</si>
  <si>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</si>
  <si>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</si>
  <si>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</si>
  <si>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</si>
  <si>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</si>
  <si>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</si>
  <si>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</si>
  <si>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</si>
  <si>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</si>
  <si>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</si>
  <si>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</si>
  <si>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</si>
  <si>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</si>
  <si>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</si>
  <si>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</si>
  <si>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</si>
  <si>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</si>
  <si>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</si>
  <si>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</si>
  <si>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</si>
  <si>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</si>
  <si>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</si>
  <si>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</si>
  <si>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</si>
  <si>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</si>
  <si>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</si>
  <si>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</si>
  <si>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</si>
  <si>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</si>
  <si>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</si>
  <si>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</si>
  <si>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</si>
  <si>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</si>
  <si>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</si>
  <si>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</si>
  <si>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</si>
  <si>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</si>
  <si>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</si>
  <si>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</si>
  <si>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</si>
  <si>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</si>
  <si>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</si>
  <si>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</si>
  <si>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</si>
  <si>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</si>
  <si>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</si>
  <si>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</si>
  <si>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</si>
  <si>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</si>
  <si>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</si>
  <si>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</si>
  <si>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</si>
  <si>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</si>
  <si>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</si>
  <si>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</si>
  <si>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</si>
  <si>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</si>
  <si>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</si>
  <si>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</si>
  <si>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</si>
  <si>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</si>
  <si>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</si>
  <si>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</si>
  <si>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</si>
  <si>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</si>
  <si>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</si>
  <si>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</si>
  <si>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</si>
  <si>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</si>
  <si>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</si>
  <si>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</si>
  <si>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</si>
  <si>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</si>
  <si>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</si>
  <si>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</si>
  <si>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</si>
  <si>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</si>
  <si>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</si>
  <si>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</si>
  <si>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</si>
  <si>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</si>
  <si>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</si>
  <si>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</si>
  <si>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</si>
  <si>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</si>
  <si>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</si>
  <si>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</si>
  <si>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</si>
  <si>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</si>
  <si>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</si>
  <si>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</si>
  <si>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</si>
  <si>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</si>
  <si>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</si>
  <si>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</si>
  <si>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</si>
  <si>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</si>
  <si>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</si>
  <si>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</si>
  <si>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</si>
  <si>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</si>
  <si>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</si>
  <si>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</si>
  <si>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</si>
  <si>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</si>
  <si>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</si>
  <si>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</si>
  <si>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</si>
  <si>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</si>
  <si>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</si>
  <si>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</si>
  <si>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</si>
  <si>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</si>
  <si>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</si>
  <si>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</si>
  <si>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</si>
  <si>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</si>
  <si>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</si>
  <si>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</si>
  <si>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</si>
  <si>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</si>
  <si>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</si>
  <si>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</si>
  <si>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</si>
  <si>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</si>
  <si>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</si>
  <si>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</si>
  <si>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</si>
  <si>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</si>
  <si>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</si>
  <si>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</si>
  <si>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</si>
  <si>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</si>
  <si>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</si>
  <si>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</si>
  <si>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</si>
  <si>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</si>
  <si>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</si>
  <si>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</si>
  <si>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</si>
  <si>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</si>
  <si>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</si>
  <si>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</si>
  <si>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</si>
  <si>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</si>
  <si>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</si>
  <si>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</si>
  <si>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</si>
  <si>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</si>
  <si>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</si>
  <si>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</si>
  <si>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</si>
  <si>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</si>
  <si>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</si>
  <si>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</si>
  <si>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</si>
  <si>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</si>
  <si>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</si>
  <si>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</si>
  <si>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</si>
  <si>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</si>
  <si>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</si>
  <si>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</si>
  <si>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</si>
  <si>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</si>
  <si>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</si>
  <si>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</si>
  <si>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</si>
  <si>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</si>
  <si>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</si>
  <si>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</si>
  <si>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</si>
  <si>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</si>
  <si>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</si>
  <si>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</si>
  <si>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</si>
  <si>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</si>
  <si>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</si>
  <si>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</si>
  <si>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</si>
  <si>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</si>
  <si>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</si>
  <si>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</si>
  <si>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</si>
  <si>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</si>
  <si>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</si>
  <si>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</si>
  <si>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</si>
  <si>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</si>
  <si>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</si>
  <si>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</si>
  <si>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</si>
  <si>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</si>
  <si>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</si>
  <si>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</si>
  <si>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</si>
  <si>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</si>
  <si>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</si>
  <si>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</si>
  <si>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</si>
  <si>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</si>
  <si>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</si>
  <si>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</si>
  <si>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</si>
  <si>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</si>
  <si>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</si>
  <si>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</si>
  <si>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</si>
  <si>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</si>
  <si>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</si>
  <si>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</si>
  <si>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</si>
  <si>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</si>
  <si>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</si>
  <si>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</si>
  <si>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</si>
  <si>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</si>
  <si>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</si>
  <si>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</si>
  <si>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</si>
  <si>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</si>
  <si>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</si>
  <si>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</si>
  <si>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</si>
  <si>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</si>
  <si>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</si>
  <si>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</si>
  <si>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</si>
  <si>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</si>
  <si>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</si>
  <si>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</si>
  <si>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</si>
  <si>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</si>
  <si>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</si>
  <si>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</si>
  <si>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</si>
  <si>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</si>
  <si>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</si>
  <si>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</si>
  <si>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</si>
  <si>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</si>
  <si>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</si>
  <si>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</si>
  <si>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</si>
  <si>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</si>
  <si>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</si>
  <si>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</si>
  <si>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</si>
  <si>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</si>
  <si>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</si>
  <si>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</si>
  <si>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</si>
  <si>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</si>
  <si>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</si>
  <si>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</si>
  <si>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</si>
  <si>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</si>
  <si>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</si>
  <si>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</si>
  <si>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</si>
  <si>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</si>
  <si>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</si>
  <si>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</si>
  <si>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</si>
  <si>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</si>
  <si>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</si>
  <si>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</si>
  <si>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</si>
  <si>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</si>
  <si>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</si>
  <si>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</si>
  <si>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</si>
  <si>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</si>
  <si>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</si>
  <si>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</si>
  <si>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</si>
  <si>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</si>
  <si>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</si>
  <si>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</si>
  <si>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</si>
  <si>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</si>
  <si>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</si>
  <si>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</si>
  <si>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</si>
  <si>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</si>
  <si>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</si>
  <si>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</si>
  <si>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</si>
  <si>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</si>
  <si>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</si>
  <si>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</si>
  <si>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</si>
  <si>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</si>
  <si>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</si>
  <si>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</si>
  <si>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</si>
  <si>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</si>
  <si>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</si>
  <si>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</si>
  <si>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</si>
  <si>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</si>
  <si>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</si>
  <si>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</si>
  <si>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</si>
  <si>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</si>
  <si>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</si>
  <si>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</si>
  <si>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</si>
  <si>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</si>
  <si>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</si>
  <si>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</si>
  <si>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</si>
  <si>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</si>
  <si>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</si>
  <si>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</si>
  <si>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</si>
  <si>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</si>
  <si>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</si>
  <si>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</si>
  <si>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</si>
  <si>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</si>
  <si>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</si>
  <si>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</si>
  <si>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</si>
  <si>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</si>
  <si>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</si>
  <si>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</si>
  <si>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</si>
  <si>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</si>
  <si>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</si>
  <si>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</si>
  <si>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</si>
  <si>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</si>
  <si>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</si>
  <si>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</si>
  <si>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</si>
  <si>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</si>
  <si>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</si>
  <si>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</si>
  <si>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</si>
  <si>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</si>
  <si>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</si>
  <si>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</si>
  <si>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</si>
  <si>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</si>
  <si>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</si>
  <si>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</si>
  <si>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</si>
  <si>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</si>
  <si>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</si>
  <si>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</si>
  <si>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</si>
  <si>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</si>
  <si>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</si>
  <si>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</si>
  <si>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</si>
  <si>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</si>
  <si>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</si>
  <si>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</si>
  <si>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</si>
  <si>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</si>
  <si>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</si>
  <si>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</si>
  <si>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</si>
  <si>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</si>
  <si>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</si>
  <si>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</si>
  <si>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</si>
  <si>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</si>
  <si>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</si>
  <si>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</si>
  <si>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</si>
  <si>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</si>
  <si>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</si>
  <si>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</si>
  <si>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</si>
  <si>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</si>
  <si>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</si>
  <si>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</si>
  <si>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</si>
  <si>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</si>
  <si>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</si>
  <si>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</si>
  <si>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</si>
  <si>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</si>
  <si>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</si>
  <si>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</si>
  <si>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</si>
  <si>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</si>
  <si>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</si>
  <si>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</si>
  <si>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</si>
  <si>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</si>
  <si>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</si>
  <si>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</si>
  <si>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</si>
  <si>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</si>
  <si>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</si>
  <si>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</si>
  <si>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</si>
  <si>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</si>
  <si>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</si>
  <si>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</si>
  <si>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</si>
  <si>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</si>
  <si>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</si>
  <si>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</si>
  <si>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</si>
  <si>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</si>
  <si>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</si>
  <si>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</si>
  <si>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</si>
  <si>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</si>
  <si>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</si>
  <si>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</si>
  <si>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</si>
  <si>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</si>
  <si>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</si>
  <si>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</si>
  <si>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</si>
  <si>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</si>
  <si>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</si>
  <si>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</si>
  <si>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</si>
  <si>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</si>
  <si>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</si>
  <si>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</si>
  <si>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</si>
  <si>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</si>
  <si>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</si>
  <si>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</si>
  <si>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</si>
  <si>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</si>
  <si>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</si>
  <si>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</si>
  <si>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</si>
  <si>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</si>
  <si>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</si>
  <si>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</si>
  <si>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</si>
  <si>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</si>
  <si>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</si>
  <si>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</si>
  <si>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</si>
  <si>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</si>
  <si>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</si>
  <si>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</si>
  <si>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</si>
  <si>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</si>
  <si>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</si>
  <si>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</si>
  <si>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</si>
  <si>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</si>
  <si>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</si>
  <si>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</si>
  <si>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</si>
  <si>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</si>
  <si>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</si>
  <si>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</si>
  <si>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</si>
  <si>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</si>
  <si>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</si>
  <si>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</si>
  <si>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</si>
  <si>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</si>
  <si>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</si>
  <si>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</si>
  <si>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</si>
  <si>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</si>
  <si>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</si>
  <si>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</si>
  <si>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</si>
  <si>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</si>
  <si>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</si>
  <si>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</si>
  <si>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</si>
  <si>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</si>
  <si>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</si>
  <si>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</si>
  <si>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</si>
  <si>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</si>
  <si>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</si>
  <si>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</si>
  <si>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</si>
  <si>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</si>
  <si>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</si>
  <si>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</si>
  <si>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</si>
  <si>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</si>
  <si>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</si>
  <si>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</si>
  <si>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</si>
  <si>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</si>
  <si>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</si>
  <si>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</si>
  <si>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</si>
  <si>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</si>
  <si>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</si>
  <si>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</si>
  <si>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</si>
  <si>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</si>
  <si>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</si>
  <si>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</si>
  <si>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</si>
  <si>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</si>
  <si>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</si>
  <si>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</si>
  <si>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</si>
  <si>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</si>
  <si>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</si>
  <si>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</si>
  <si>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</si>
  <si>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</si>
  <si>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</si>
  <si>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</si>
  <si>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</si>
  <si>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</si>
  <si>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</si>
  <si>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</si>
  <si>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</si>
  <si>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</si>
  <si>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</si>
  <si>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</si>
  <si>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</si>
  <si>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</si>
  <si>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</si>
  <si>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</si>
  <si>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</si>
  <si>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</si>
  <si>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</si>
  <si>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</si>
  <si>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</si>
  <si>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</si>
  <si>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</si>
  <si>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</si>
  <si>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</si>
  <si>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</si>
  <si>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</si>
  <si>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</si>
  <si>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</si>
  <si>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</si>
  <si>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</si>
  <si>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</si>
  <si>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</si>
  <si>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</si>
  <si>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</si>
  <si>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</si>
  <si>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</si>
  <si>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</si>
  <si>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</si>
  <si>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</si>
  <si>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</si>
  <si>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</si>
  <si>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</si>
  <si>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</si>
  <si>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</si>
  <si>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</si>
  <si>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</si>
  <si>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</si>
  <si>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</si>
  <si>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</si>
  <si>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</si>
  <si>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</si>
  <si>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</si>
  <si>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</si>
  <si>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</si>
  <si>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</si>
  <si>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</si>
  <si>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</si>
  <si>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</si>
  <si>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</si>
  <si>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</si>
  <si>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</si>
  <si>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</si>
  <si>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</si>
  <si>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</si>
  <si>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</si>
  <si>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</si>
  <si>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</si>
  <si>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</si>
  <si>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</si>
  <si>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</si>
  <si>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</si>
  <si>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</si>
  <si>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</si>
  <si>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</si>
  <si>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</si>
  <si>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</si>
  <si>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</si>
  <si>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</si>
  <si>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</si>
  <si>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</si>
  <si>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</si>
  <si>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</si>
  <si>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</si>
  <si>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</si>
  <si>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</si>
  <si>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</si>
  <si>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</si>
  <si>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</si>
  <si>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</si>
  <si>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</si>
  <si>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</si>
  <si>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</si>
  <si>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</si>
  <si>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</si>
  <si>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</si>
  <si>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</si>
  <si>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</si>
  <si>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</si>
  <si>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</si>
  <si>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</si>
  <si>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</si>
  <si>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</si>
  <si>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</si>
  <si>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</si>
  <si>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</si>
  <si>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</si>
  <si>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</si>
  <si>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</si>
  <si>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</si>
  <si>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</si>
  <si>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</si>
  <si>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</si>
  <si>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</si>
  <si>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</si>
  <si>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</si>
  <si>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</si>
  <si>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</si>
  <si>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</si>
  <si>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</si>
  <si>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</si>
  <si>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</si>
  <si>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</si>
  <si>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</si>
  <si>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</si>
  <si>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</si>
  <si>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</si>
  <si>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</si>
  <si>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</si>
  <si>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</si>
  <si>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</si>
  <si>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</si>
  <si>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</si>
  <si>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</si>
  <si>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</si>
  <si>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</si>
  <si>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</si>
  <si>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</si>
  <si>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</si>
  <si>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</si>
  <si>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</si>
  <si>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</si>
  <si>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</si>
  <si>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</si>
  <si>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</si>
  <si>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</si>
  <si>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</si>
  <si>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</si>
  <si>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</si>
  <si>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</si>
  <si>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</si>
  <si>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</si>
  <si>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</si>
  <si>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</si>
  <si>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</si>
  <si>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</si>
  <si>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</si>
  <si>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</si>
  <si>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</si>
  <si>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</si>
  <si>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</si>
  <si>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</si>
  <si>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</si>
  <si>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</si>
  <si>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</si>
  <si>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</si>
  <si>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</si>
  <si>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</si>
  <si>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</si>
  <si>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</si>
  <si>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</si>
  <si>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</si>
  <si>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</si>
  <si>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</si>
  <si>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</si>
  <si>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</si>
  <si>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</si>
  <si>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</si>
  <si>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</si>
  <si>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</si>
  <si>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</si>
  <si>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</si>
  <si>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</si>
  <si>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</si>
  <si>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</si>
  <si>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</si>
  <si>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</si>
  <si>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</si>
  <si>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</si>
  <si>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</si>
  <si>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</si>
  <si>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</si>
  <si>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</si>
  <si>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</si>
  <si>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</si>
  <si>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</si>
  <si>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</si>
  <si>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</si>
  <si>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</si>
  <si>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</si>
  <si>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</si>
  <si>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</si>
  <si>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</si>
  <si>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</si>
  <si>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</si>
  <si>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</si>
  <si>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</si>
  <si>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</si>
  <si>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</si>
  <si>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</si>
  <si>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</si>
  <si>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</si>
  <si>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</si>
  <si>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</si>
  <si>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</si>
  <si>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</si>
  <si>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</si>
  <si>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</si>
  <si>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</si>
  <si>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</si>
  <si>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</si>
  <si>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</si>
  <si>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</si>
  <si>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</si>
  <si>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</si>
  <si>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</si>
  <si>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</si>
  <si>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</si>
  <si>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</si>
  <si>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</si>
  <si>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</si>
  <si>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</si>
  <si>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</si>
  <si>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</si>
  <si>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</si>
  <si>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</si>
  <si>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</si>
  <si>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</si>
  <si>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</si>
  <si>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</si>
  <si>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</si>
  <si>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</si>
  <si>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</si>
  <si>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</si>
  <si>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</si>
  <si>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</si>
  <si>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</si>
  <si>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</si>
  <si>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</si>
  <si>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</si>
  <si>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</si>
  <si>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</si>
  <si>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</si>
  <si>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</si>
  <si>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</si>
  <si>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</si>
  <si>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</si>
  <si>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</si>
  <si>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</si>
  <si>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</si>
  <si>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</si>
  <si>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</si>
  <si>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</si>
  <si>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</si>
  <si>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</si>
  <si>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</si>
  <si>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</si>
  <si>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</si>
  <si>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</si>
  <si>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</si>
  <si>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</si>
  <si>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</si>
  <si>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</si>
  <si>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</si>
  <si>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</si>
  <si>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</si>
  <si>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</si>
  <si>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</si>
  <si>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</si>
  <si>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</si>
  <si>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</si>
  <si>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</si>
  <si>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</si>
  <si>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</si>
  <si>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</si>
  <si>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</si>
  <si>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</si>
  <si>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</si>
  <si>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</si>
  <si>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</si>
  <si>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</si>
  <si>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</si>
  <si>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</si>
  <si>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</si>
  <si>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</si>
  <si>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</si>
  <si>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</si>
  <si>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</si>
  <si>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</si>
  <si>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</si>
  <si>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</si>
  <si>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</si>
  <si>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</si>
  <si>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</si>
  <si>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</si>
  <si>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</si>
  <si>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</si>
  <si>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</si>
  <si>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</si>
  <si>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</si>
  <si>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</si>
  <si>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</si>
  <si>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</si>
  <si>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</si>
  <si>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</si>
  <si>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</si>
  <si>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</si>
  <si>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</si>
  <si>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</si>
  <si>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</si>
  <si>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</si>
  <si>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</si>
  <si>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</si>
  <si>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</si>
  <si>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</si>
  <si>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</si>
  <si>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</si>
  <si>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</si>
  <si>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</si>
  <si>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</si>
  <si>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</si>
  <si>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</si>
  <si>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</si>
  <si>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</si>
  <si>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</si>
  <si>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</si>
  <si>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</si>
  <si>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</si>
  <si>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</si>
  <si>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</si>
  <si>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</si>
  <si>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</si>
  <si>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</si>
  <si>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</si>
  <si>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</si>
  <si>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</si>
  <si>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</si>
  <si>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</si>
  <si>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</si>
  <si>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</si>
  <si>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</si>
  <si>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</si>
  <si>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</si>
  <si>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</si>
  <si>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</si>
  <si>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</si>
  <si>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</si>
  <si>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</si>
  <si>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</si>
  <si>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</si>
  <si>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</si>
  <si>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</si>
  <si>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</si>
  <si>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</si>
  <si>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</si>
  <si>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</si>
  <si>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</si>
  <si>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</si>
  <si>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</si>
  <si>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</si>
  <si>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</si>
  <si>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</si>
  <si>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</si>
  <si>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</si>
  <si>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</si>
  <si>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</si>
  <si>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</si>
  <si>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</si>
  <si>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</si>
  <si>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</si>
  <si>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</si>
  <si>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</si>
  <si>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</si>
  <si>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</si>
  <si>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</si>
  <si>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</si>
  <si>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</si>
  <si>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</si>
  <si>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</si>
  <si>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</si>
  <si>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</si>
  <si>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</si>
  <si>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</si>
  <si>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</si>
  <si>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</si>
  <si>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</si>
  <si>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</si>
  <si>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</si>
  <si>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</si>
  <si>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</si>
  <si>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</si>
  <si>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</si>
  <si>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</si>
  <si>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</si>
  <si>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</si>
  <si>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</si>
  <si>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</si>
  <si>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</si>
  <si>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</si>
  <si>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</si>
  <si>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</si>
  <si>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</si>
  <si>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</si>
  <si>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</si>
  <si>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</si>
  <si>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</si>
  <si>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</si>
  <si>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</si>
  <si>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</si>
  <si>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</si>
  <si>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</si>
  <si>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</si>
  <si>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</si>
  <si>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</si>
  <si>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</si>
  <si>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</si>
  <si>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</si>
  <si>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</si>
  <si>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</si>
  <si>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</si>
  <si>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</si>
  <si>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</si>
  <si>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</si>
  <si>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</si>
  <si>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</si>
  <si>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</si>
  <si>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</si>
  <si>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</si>
  <si>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</si>
  <si>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</si>
  <si>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</si>
  <si>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</si>
  <si>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</si>
  <si>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</si>
  <si>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</si>
  <si>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</si>
  <si>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</si>
  <si>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</si>
  <si>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</si>
  <si>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</si>
  <si>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</si>
  <si>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</si>
  <si>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</si>
  <si>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</si>
  <si>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</si>
  <si>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</si>
  <si>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</si>
  <si>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</si>
  <si>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</si>
  <si>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</si>
  <si>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</si>
  <si>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</si>
  <si>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</si>
  <si>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</si>
  <si>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</si>
  <si>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</si>
  <si>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</si>
  <si>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</si>
  <si>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</si>
  <si>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</si>
  <si>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</si>
  <si>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</si>
  <si>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</si>
  <si>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</si>
  <si>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</si>
  <si>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</si>
  <si>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</si>
  <si>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</si>
  <si>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</si>
  <si>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</si>
  <si>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</si>
  <si>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</si>
  <si>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</si>
  <si>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</si>
  <si>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</si>
  <si>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</si>
  <si>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</si>
  <si>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</si>
  <si>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</si>
  <si>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</si>
  <si>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</si>
  <si>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</si>
  <si>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</si>
  <si>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</si>
  <si>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</si>
  <si>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</si>
  <si>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</si>
  <si>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</si>
  <si>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</si>
  <si>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</si>
  <si>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</si>
  <si>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</si>
  <si>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</si>
  <si>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</si>
  <si>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</si>
  <si>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</si>
  <si>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</si>
  <si>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</si>
  <si>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</si>
  <si>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</si>
  <si>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</si>
  <si>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</si>
  <si>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</si>
  <si>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</si>
  <si>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</si>
  <si>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</si>
  <si>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</si>
  <si>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</si>
  <si>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</si>
  <si>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</si>
  <si>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</si>
  <si>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</si>
  <si>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</si>
  <si>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</si>
  <si>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</si>
  <si>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</si>
  <si>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</si>
  <si>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</si>
  <si>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</si>
  <si>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</si>
  <si>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</si>
  <si>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</si>
  <si>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</si>
  <si>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</si>
  <si>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</si>
  <si>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</si>
  <si>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</si>
  <si>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</si>
  <si>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</si>
  <si>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</si>
  <si>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</si>
  <si>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</si>
  <si>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</si>
  <si>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</si>
  <si>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</si>
  <si>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</si>
  <si>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</si>
  <si>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</si>
  <si>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</si>
  <si>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</si>
  <si>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</si>
  <si>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</si>
  <si>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</si>
  <si>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</si>
  <si>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</si>
  <si>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</si>
  <si>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</si>
  <si>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</si>
  <si>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</si>
  <si>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</si>
  <si>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</si>
  <si>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</si>
  <si>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</si>
  <si>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</si>
  <si>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</si>
  <si>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</si>
  <si>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</si>
  <si>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</si>
  <si>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</si>
  <si>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</si>
  <si>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</si>
  <si>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</si>
  <si>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</si>
  <si>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</si>
  <si>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</si>
  <si>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</si>
  <si>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</si>
  <si>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</si>
  <si>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</si>
  <si>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</si>
  <si>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</si>
  <si>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</si>
  <si>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</si>
  <si>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</si>
  <si>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</si>
  <si>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</si>
  <si>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</si>
  <si>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</si>
  <si>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</si>
  <si>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</si>
  <si>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</si>
  <si>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</si>
  <si>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</si>
  <si>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</si>
  <si>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</si>
  <si>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</si>
  <si>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</si>
  <si>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</si>
  <si>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</si>
  <si>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</si>
  <si>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</si>
  <si>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</si>
  <si>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</si>
  <si>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</si>
  <si>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</si>
  <si>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</si>
  <si>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</si>
  <si>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</si>
  <si>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</si>
  <si>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</si>
  <si>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</si>
  <si>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</si>
  <si>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</si>
  <si>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</si>
  <si>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</si>
  <si>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</si>
  <si>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</si>
  <si>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</si>
  <si>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</si>
  <si>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</si>
  <si>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</si>
  <si>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</si>
  <si>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</si>
  <si>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</si>
  <si>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</si>
  <si>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</si>
  <si>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</si>
  <si>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</si>
  <si>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</si>
  <si>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</si>
  <si>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</si>
  <si>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</si>
  <si>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</si>
  <si>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</si>
  <si>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</si>
  <si>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</si>
  <si>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</si>
  <si>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</si>
  <si>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</si>
  <si>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</si>
  <si>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</si>
  <si>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</si>
  <si>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</si>
  <si>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</si>
  <si>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</si>
  <si>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</si>
  <si>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</si>
  <si>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</si>
  <si>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</si>
  <si>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</si>
  <si>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</si>
  <si>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</si>
  <si>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</si>
  <si>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</si>
  <si>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</si>
  <si>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</si>
  <si>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</si>
  <si>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</si>
  <si>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</si>
  <si>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</si>
  <si>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</si>
  <si>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</si>
  <si>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</si>
  <si>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</si>
  <si>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</si>
  <si>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</si>
  <si>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</si>
  <si>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</si>
  <si>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</si>
  <si>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</si>
  <si>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</si>
  <si>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</si>
  <si>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</si>
  <si>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</si>
  <si>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</si>
  <si>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</si>
  <si>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</si>
  <si>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</si>
  <si>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</si>
  <si>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</si>
  <si>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</si>
  <si>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</si>
  <si>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</si>
  <si>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</si>
  <si>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</si>
  <si>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</si>
  <si>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</si>
  <si>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</si>
  <si>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</si>
  <si>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</si>
  <si>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</si>
  <si>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</si>
  <si>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</si>
  <si>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</si>
  <si>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</si>
  <si>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</si>
  <si>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</si>
  <si>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</si>
  <si>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</si>
  <si>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</si>
  <si>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</si>
  <si>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</si>
  <si>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</si>
  <si>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</si>
  <si>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</si>
  <si>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</si>
  <si>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</si>
  <si>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</si>
  <si>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</si>
  <si>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</si>
  <si>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</si>
  <si>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</si>
  <si>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</si>
  <si>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</si>
  <si>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</si>
  <si>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</si>
  <si>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</si>
  <si>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</si>
  <si>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</si>
  <si>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</si>
  <si>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</si>
  <si>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</si>
  <si>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</si>
  <si>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</si>
  <si>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</si>
  <si>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</si>
  <si>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</si>
  <si>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</si>
  <si>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</si>
  <si>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</si>
  <si>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</si>
  <si>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</si>
  <si>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</si>
  <si>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</si>
  <si>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</si>
  <si>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</si>
  <si>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</si>
  <si>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</si>
  <si>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</si>
  <si>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</si>
  <si>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</si>
  <si>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</si>
  <si>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</si>
  <si>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</si>
  <si>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</si>
  <si>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</si>
  <si>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</si>
  <si>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</si>
  <si>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</si>
  <si>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</si>
  <si>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</si>
  <si>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</si>
  <si>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</si>
  <si>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</si>
  <si>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</si>
  <si>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</si>
  <si>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</si>
  <si>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</si>
  <si>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</si>
  <si>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</si>
  <si>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</si>
  <si>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</si>
  <si>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</si>
  <si>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</si>
  <si>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</si>
  <si>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</si>
  <si>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</si>
  <si>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</si>
  <si>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</si>
  <si>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</si>
  <si>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</si>
  <si>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</si>
  <si>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</si>
  <si>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</si>
  <si>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</si>
  <si>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</si>
  <si>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</si>
  <si>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</si>
  <si>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</si>
  <si>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</si>
  <si>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</si>
  <si>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</si>
  <si>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</si>
  <si>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</si>
  <si>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</si>
  <si>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</si>
  <si>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</si>
  <si>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</si>
  <si>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</si>
  <si>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</si>
  <si>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</si>
  <si>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</si>
  <si>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</si>
  <si>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</si>
  <si>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</si>
  <si>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</si>
  <si>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</si>
  <si>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</si>
  <si>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</si>
  <si>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</si>
  <si>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</si>
  <si>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</si>
  <si>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</si>
  <si>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</si>
  <si>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</si>
  <si>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</si>
  <si>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</si>
  <si>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</si>
  <si>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</si>
  <si>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</si>
  <si>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</si>
  <si>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</si>
  <si>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</si>
  <si>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</si>
  <si>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</si>
  <si>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</si>
  <si>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</si>
  <si>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</si>
  <si>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</si>
  <si>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</si>
  <si>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</si>
  <si>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</si>
  <si>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</si>
  <si>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</si>
  <si>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</si>
  <si>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</si>
  <si>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</si>
  <si>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</si>
  <si>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</si>
  <si>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</si>
  <si>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</si>
  <si>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</si>
  <si>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</si>
  <si>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</si>
  <si>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</si>
  <si>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</si>
  <si>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</si>
  <si>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</si>
  <si>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</si>
  <si>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</si>
  <si>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</si>
  <si>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</si>
  <si>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</si>
  <si>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</si>
  <si>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</si>
  <si>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</si>
  <si>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</si>
  <si>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</si>
  <si>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</si>
  <si>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</si>
  <si>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</si>
  <si>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</si>
  <si>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</si>
  <si>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</si>
  <si>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</si>
  <si>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</si>
  <si>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</si>
  <si>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</si>
  <si>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</si>
  <si>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</si>
  <si>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</si>
  <si>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</si>
  <si>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</si>
  <si>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</si>
  <si>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</si>
  <si>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</si>
  <si>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</si>
  <si>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</si>
  <si>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</si>
  <si>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</si>
  <si>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</si>
  <si>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</si>
  <si>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</si>
  <si>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</si>
  <si>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</si>
  <si>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</si>
  <si>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</si>
  <si>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</si>
  <si>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</si>
  <si>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</si>
  <si>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</si>
  <si>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</si>
  <si>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</si>
  <si>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</si>
  <si>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</si>
  <si>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</si>
  <si>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</si>
  <si>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</si>
  <si>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</si>
  <si>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</si>
  <si>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</si>
  <si>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</si>
  <si>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</si>
  <si>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</si>
  <si>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</si>
  <si>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</si>
  <si>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</si>
  <si>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</si>
  <si>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</si>
  <si>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</si>
  <si>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</si>
  <si>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</si>
  <si>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</si>
  <si>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</si>
  <si>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</si>
  <si>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</si>
  <si>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</si>
  <si>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</si>
  <si>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</si>
  <si>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</si>
  <si>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</si>
  <si>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</si>
  <si>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</si>
  <si>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</si>
  <si>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</si>
  <si>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</si>
  <si>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</si>
  <si>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</si>
  <si>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</si>
  <si>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</si>
  <si>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</si>
  <si>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</si>
  <si>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</si>
  <si>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</si>
  <si>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</si>
  <si>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</si>
  <si>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</si>
  <si>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</si>
  <si>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</si>
  <si>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</si>
  <si>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</si>
  <si>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</si>
  <si>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</si>
  <si>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</si>
  <si>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</si>
  <si>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</si>
  <si>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</si>
  <si>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</si>
  <si>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</si>
  <si>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</si>
  <si>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</si>
  <si>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</si>
  <si>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</si>
  <si>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</si>
  <si>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</si>
  <si>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</si>
  <si>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</si>
  <si>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</si>
  <si>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</si>
  <si>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</si>
  <si>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</si>
  <si>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</si>
  <si>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</si>
  <si>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</si>
  <si>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</si>
  <si>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</si>
  <si>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</si>
  <si>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</si>
  <si>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</si>
  <si>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</si>
  <si>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</si>
  <si>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</si>
  <si>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</si>
  <si>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</si>
  <si>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</si>
  <si>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</si>
  <si>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</si>
  <si>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</si>
  <si>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</si>
  <si>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</si>
  <si>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</si>
  <si>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</si>
  <si>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</si>
  <si>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</si>
  <si>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</si>
  <si>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</si>
  <si>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</si>
  <si>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</si>
  <si>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</si>
  <si>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</si>
  <si>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</si>
  <si>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</si>
  <si>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</si>
  <si>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</si>
  <si>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</si>
  <si>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</si>
  <si>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</si>
  <si>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</si>
  <si>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</si>
  <si>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</si>
  <si>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</si>
  <si>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</si>
  <si>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</si>
  <si>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</si>
  <si>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</si>
  <si>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</si>
  <si>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</si>
  <si>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</si>
  <si>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</si>
  <si>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</si>
  <si>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</si>
  <si>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</si>
  <si>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</si>
  <si>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</si>
  <si>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</si>
  <si>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</si>
  <si>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</si>
  <si>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</si>
  <si>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</si>
  <si>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</si>
  <si>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</si>
  <si>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</si>
  <si>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</si>
  <si>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</si>
  <si>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</si>
  <si>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</si>
  <si>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</si>
  <si>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</si>
  <si>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</si>
  <si>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</si>
  <si>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</si>
  <si>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</si>
  <si>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</si>
  <si>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</si>
  <si>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</si>
  <si>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</si>
  <si>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</si>
  <si>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</si>
  <si>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</si>
  <si>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</si>
  <si>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</si>
  <si>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</si>
  <si>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</si>
  <si>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</si>
  <si>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</si>
  <si>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</si>
  <si>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</si>
  <si>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</si>
  <si>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</si>
  <si>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</si>
  <si>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</si>
  <si>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</si>
  <si>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</si>
  <si>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</si>
  <si>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</si>
  <si>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</si>
  <si>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</si>
  <si>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</si>
  <si>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</si>
  <si>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</si>
  <si>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</si>
  <si>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</si>
  <si>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</si>
  <si>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</si>
  <si>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</si>
  <si>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</si>
  <si>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</si>
  <si>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</si>
  <si>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</si>
  <si>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</si>
  <si>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</si>
  <si>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</si>
  <si>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</si>
  <si>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</si>
  <si>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</si>
  <si>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</si>
  <si>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</si>
  <si>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</si>
  <si>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</si>
  <si>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</si>
  <si>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</si>
  <si>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</si>
  <si>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</si>
  <si>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</si>
  <si>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</si>
  <si>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</si>
  <si>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</si>
  <si>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</si>
  <si>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</si>
  <si>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</si>
  <si>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</si>
  <si>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</si>
  <si>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</si>
  <si>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</si>
  <si>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</si>
  <si>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</si>
  <si>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</si>
  <si>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</si>
  <si>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</si>
  <si>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</si>
  <si>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</si>
  <si>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</si>
  <si>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</si>
  <si>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</si>
  <si>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</si>
  <si>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</si>
  <si>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</si>
  <si>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</si>
  <si>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</si>
  <si>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</si>
  <si>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</si>
  <si>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</si>
  <si>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</si>
  <si>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</si>
  <si>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</si>
  <si>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</si>
  <si>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</si>
  <si>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</si>
  <si>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</si>
  <si>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</si>
  <si>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</si>
  <si>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</si>
  <si>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</si>
  <si>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</si>
  <si>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</si>
  <si>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</si>
  <si>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</si>
  <si>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</si>
  <si>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</si>
  <si>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</si>
  <si>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</si>
  <si>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</si>
  <si>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</si>
  <si>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</si>
  <si>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</si>
  <si>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</si>
  <si>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</si>
  <si>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</si>
  <si>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</si>
  <si>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</si>
  <si>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</si>
  <si>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</si>
  <si>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</si>
  <si>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</si>
  <si>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</si>
  <si>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</si>
  <si>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</si>
  <si>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</si>
  <si>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</si>
  <si>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</si>
  <si>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</si>
  <si>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</si>
  <si>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</si>
  <si>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</si>
  <si>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</si>
  <si>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</si>
  <si>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</si>
  <si>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</si>
  <si>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</si>
  <si>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</si>
  <si>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</si>
  <si>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</si>
  <si>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</si>
  <si>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</si>
  <si>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</si>
  <si>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</si>
  <si>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</si>
  <si>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</si>
  <si>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</si>
  <si>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</si>
  <si>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</si>
  <si>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</si>
  <si>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</si>
  <si>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</si>
  <si>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</si>
  <si>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</si>
  <si>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</si>
  <si>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</si>
  <si>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</si>
  <si>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</si>
  <si>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</si>
  <si>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</si>
  <si>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</si>
  <si>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</si>
  <si>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</si>
  <si>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</si>
  <si>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</si>
  <si>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</si>
  <si>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</si>
  <si>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</si>
  <si>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</si>
  <si>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</si>
  <si>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</si>
  <si>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</si>
  <si>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</si>
  <si>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</si>
  <si>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</si>
  <si>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</si>
  <si>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</si>
  <si>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</si>
  <si>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</si>
  <si>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</si>
  <si>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</si>
  <si>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</si>
  <si>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</si>
  <si>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</si>
  <si>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</si>
  <si>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</si>
  <si>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</si>
  <si>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</si>
  <si>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</si>
  <si>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</si>
  <si>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</si>
  <si>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</si>
  <si>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</si>
  <si>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</si>
  <si>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</si>
  <si>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</si>
  <si>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</si>
  <si>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</si>
  <si>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</si>
  <si>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</si>
  <si>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</si>
  <si>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</si>
  <si>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</si>
  <si>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</si>
  <si>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</si>
  <si>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</si>
  <si>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</si>
  <si>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</si>
  <si>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</si>
  <si>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</si>
  <si>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</si>
  <si>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</si>
  <si>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</si>
  <si>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</si>
  <si>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</si>
  <si>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</si>
  <si>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</si>
  <si>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</si>
  <si>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</si>
  <si>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</si>
  <si>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</si>
  <si>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</si>
  <si>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</si>
  <si>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</si>
  <si>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</si>
  <si>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</si>
  <si>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</si>
  <si>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</si>
  <si>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</si>
  <si>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</si>
  <si>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</si>
  <si>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</si>
  <si>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</si>
  <si>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</si>
  <si>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</si>
  <si>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</si>
  <si>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</si>
  <si>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</si>
  <si>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</si>
  <si>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</si>
  <si>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</si>
  <si>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</si>
  <si>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</si>
  <si>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</si>
  <si>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</si>
  <si>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</si>
  <si>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</si>
  <si>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</si>
  <si>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</si>
  <si>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</si>
  <si>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</si>
  <si>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</si>
  <si>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</si>
  <si>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</si>
  <si>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</si>
  <si>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</si>
  <si>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</si>
  <si>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</si>
  <si>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</si>
  <si>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</si>
  <si>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</si>
  <si>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</si>
  <si>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</si>
  <si>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</si>
  <si>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</si>
  <si>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</si>
  <si>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</si>
  <si>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</si>
  <si>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</si>
  <si>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</si>
  <si>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</si>
  <si>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</si>
  <si>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</si>
  <si>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</si>
  <si>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</si>
  <si>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</si>
  <si>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</si>
  <si>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</si>
  <si>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</si>
  <si>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</si>
  <si>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</si>
  <si>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</si>
  <si>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</si>
  <si>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</si>
  <si>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</si>
  <si>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</si>
  <si>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</si>
  <si>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</si>
  <si>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</si>
  <si>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</si>
  <si>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</si>
  <si>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</si>
  <si>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</si>
  <si>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</si>
  <si>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</si>
  <si>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</si>
  <si>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</si>
  <si>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</si>
  <si>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</si>
  <si>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</si>
  <si>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</si>
  <si>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</si>
  <si>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</si>
  <si>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</si>
  <si>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</si>
  <si>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</si>
  <si>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</si>
  <si>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</si>
  <si>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</si>
  <si>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</si>
  <si>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</si>
  <si>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</si>
  <si>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</si>
  <si>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</si>
  <si>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</si>
  <si>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</si>
  <si>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</si>
  <si>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</si>
  <si>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</si>
  <si>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</si>
  <si>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</si>
  <si>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</si>
  <si>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</si>
  <si>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</si>
  <si>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</si>
  <si>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</si>
  <si>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</si>
  <si>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</si>
  <si>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</si>
  <si>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</si>
  <si>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</si>
  <si>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</si>
  <si>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</si>
  <si>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</si>
  <si>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</si>
  <si>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</si>
  <si>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</si>
  <si>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</si>
  <si>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</si>
  <si>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</si>
  <si>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</si>
  <si>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</si>
  <si>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</si>
  <si>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</si>
  <si>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</si>
  <si>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</si>
  <si>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</si>
  <si>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</si>
  <si>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</si>
  <si>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</si>
  <si>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</si>
  <si>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</si>
  <si>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</si>
  <si>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</si>
  <si>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</si>
  <si>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</si>
  <si>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</si>
  <si>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</si>
  <si>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</si>
  <si>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</si>
  <si>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</si>
  <si>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</si>
  <si>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</si>
  <si>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</si>
  <si>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</si>
  <si>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</si>
  <si>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</si>
  <si>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</si>
  <si>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</si>
  <si>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</si>
  <si>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</si>
  <si>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</si>
  <si>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</si>
  <si>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</si>
  <si>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</si>
  <si>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</si>
  <si>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</si>
  <si>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</si>
  <si>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</si>
  <si>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</si>
  <si>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</si>
  <si>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</si>
  <si>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</si>
  <si>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</si>
  <si>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</si>
  <si>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</si>
  <si>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</si>
  <si>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</si>
  <si>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</si>
  <si>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</si>
  <si>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</si>
  <si>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</si>
  <si>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</si>
  <si>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</si>
  <si>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</si>
  <si>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</si>
  <si>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</si>
  <si>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</si>
  <si>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</si>
  <si>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</si>
  <si>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</si>
  <si>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</si>
  <si>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</si>
  <si>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</si>
  <si>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</si>
  <si>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</si>
  <si>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</si>
  <si>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</si>
  <si>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</si>
  <si>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</si>
  <si>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</si>
  <si>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</si>
  <si>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</si>
  <si>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</si>
  <si>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</si>
  <si>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</si>
  <si>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</si>
  <si>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</si>
  <si>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</si>
  <si>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</si>
  <si>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</si>
  <si>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</si>
  <si>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</si>
  <si>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</si>
  <si>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</si>
  <si>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</si>
  <si>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</si>
  <si>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</si>
  <si>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</si>
  <si>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</si>
  <si>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</si>
  <si>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</si>
  <si>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</si>
  <si>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</si>
  <si>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</si>
  <si>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</si>
  <si>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</si>
  <si>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</si>
  <si>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</si>
  <si>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</si>
  <si>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</si>
  <si>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</si>
  <si>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</si>
  <si>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</si>
  <si>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</si>
  <si>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</si>
  <si>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</si>
  <si>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</si>
  <si>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</si>
  <si>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</si>
  <si>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</si>
  <si>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</si>
  <si>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</si>
  <si>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</si>
  <si>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</si>
  <si>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</si>
  <si>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</si>
  <si>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</si>
  <si>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</si>
  <si>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</si>
  <si>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</si>
  <si>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</si>
  <si>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</si>
  <si>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</si>
  <si>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</si>
  <si>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</si>
  <si>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</si>
  <si>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</si>
  <si>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</si>
  <si>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</si>
  <si>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</si>
  <si>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</si>
  <si>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</si>
  <si>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</si>
  <si>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</si>
  <si>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</si>
  <si>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</si>
  <si>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</si>
  <si>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</si>
  <si>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</si>
  <si>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</si>
  <si>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</si>
  <si>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</si>
  <si>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</si>
  <si>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</si>
  <si>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</si>
  <si>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</si>
  <si>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</si>
  <si>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</si>
  <si>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</si>
  <si>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</si>
  <si>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</si>
  <si>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</si>
  <si>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</si>
  <si>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</si>
  <si>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</si>
  <si>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</si>
  <si>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</si>
  <si>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</si>
  <si>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</si>
  <si>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</si>
  <si>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</si>
  <si>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</si>
  <si>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</si>
  <si>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</si>
  <si>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</si>
  <si>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</si>
  <si>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</si>
  <si>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</si>
  <si>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</si>
  <si>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</si>
  <si>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</si>
  <si>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</si>
  <si>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</si>
  <si>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</si>
  <si>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</si>
  <si>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</si>
  <si>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</si>
  <si>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</si>
  <si>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</si>
  <si>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</si>
  <si>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</si>
  <si>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</si>
  <si>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</si>
  <si>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</si>
  <si>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</si>
  <si>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</si>
  <si>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</si>
  <si>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</si>
  <si>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</si>
  <si>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</si>
  <si>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</si>
  <si>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</si>
  <si>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</si>
  <si>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</si>
  <si>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</si>
  <si>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</si>
  <si>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</si>
  <si>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</si>
  <si>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</si>
  <si>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</si>
  <si>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</si>
  <si>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</si>
  <si>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</si>
  <si>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</si>
  <si>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</si>
  <si>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</si>
  <si>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</si>
  <si>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</si>
  <si>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</si>
  <si>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</si>
  <si>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</si>
  <si>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</si>
  <si>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</si>
  <si>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</si>
  <si>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</si>
  <si>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</si>
  <si>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</si>
  <si>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</si>
  <si>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</si>
  <si>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</si>
  <si>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</si>
  <si>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</si>
  <si>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</si>
  <si>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</si>
  <si>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</si>
  <si>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</si>
  <si>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</si>
  <si>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</si>
  <si>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</si>
  <si>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</si>
  <si>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</si>
  <si>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</si>
  <si>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</si>
  <si>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</si>
  <si>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</si>
  <si>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</si>
  <si>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</si>
  <si>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</si>
  <si>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</si>
  <si>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</si>
  <si>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</si>
  <si>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</si>
  <si>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</si>
  <si>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</si>
  <si>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</si>
  <si>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</si>
  <si>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</si>
  <si>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</si>
  <si>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</si>
  <si>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</si>
  <si>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</si>
  <si>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</si>
  <si>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</si>
  <si>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</si>
  <si>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</si>
  <si>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</si>
  <si>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</si>
  <si>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</si>
  <si>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</si>
  <si>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</si>
  <si>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</si>
  <si>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</si>
  <si>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</si>
  <si>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</si>
  <si>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</si>
  <si>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</si>
  <si>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</si>
  <si>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</si>
  <si>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</si>
  <si>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</si>
  <si>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</si>
  <si>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</si>
  <si>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</si>
  <si>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</si>
  <si>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</si>
  <si>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</si>
  <si>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</si>
  <si>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</si>
  <si>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</si>
  <si>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</si>
  <si>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</si>
  <si>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</si>
  <si>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</si>
  <si>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</si>
  <si>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</si>
  <si>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</si>
  <si>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</si>
  <si>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</si>
  <si>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</si>
  <si>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</si>
  <si>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</si>
  <si>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</si>
  <si>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</si>
  <si>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</si>
  <si>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</si>
  <si>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</si>
  <si>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</si>
  <si>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</si>
  <si>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</si>
  <si>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</si>
  <si>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</si>
  <si>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</si>
  <si>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</si>
  <si>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</si>
  <si>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</si>
  <si>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</si>
  <si>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</si>
  <si>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</si>
  <si>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</si>
  <si>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</si>
  <si>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</si>
  <si>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</si>
  <si>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</si>
  <si>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</si>
  <si>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</si>
  <si>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</si>
  <si>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</si>
  <si>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</si>
  <si>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</si>
  <si>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</si>
  <si>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</si>
  <si>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</si>
  <si>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</si>
  <si>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</si>
  <si>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</si>
  <si>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</si>
  <si>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</si>
  <si>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</si>
  <si>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</si>
  <si>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</si>
  <si>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</si>
  <si>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</si>
  <si>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</si>
  <si>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</si>
  <si>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</si>
  <si>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</si>
  <si>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</si>
  <si>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</si>
  <si>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</si>
  <si>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</si>
  <si>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</si>
  <si>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</si>
  <si>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</si>
  <si>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</si>
  <si>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</si>
  <si>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</si>
  <si>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</si>
  <si>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</si>
  <si>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</si>
  <si>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</si>
  <si>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</si>
  <si>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</si>
  <si>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</si>
  <si>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</si>
  <si>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</si>
  <si>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</si>
  <si>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</si>
  <si>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</si>
  <si>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</si>
  <si>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</si>
  <si>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</si>
  <si>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</si>
  <si>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</si>
  <si>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</si>
  <si>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</si>
  <si>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</si>
  <si>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</si>
  <si>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</si>
  <si>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</si>
  <si>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</si>
  <si>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</si>
  <si>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</si>
  <si>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</si>
  <si>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</si>
  <si>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</si>
  <si>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</si>
  <si>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</si>
  <si>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</si>
  <si>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</si>
  <si>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</si>
  <si>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</si>
  <si>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</si>
  <si>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</si>
  <si>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</si>
  <si>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</si>
  <si>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</si>
  <si>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</si>
  <si>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</si>
  <si>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</si>
  <si>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</si>
  <si>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</si>
  <si>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</si>
  <si>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</si>
  <si>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</si>
  <si>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</si>
  <si>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</si>
  <si>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</si>
  <si>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</si>
  <si>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</si>
  <si>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</si>
  <si>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</si>
  <si>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</si>
  <si>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</si>
  <si>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</si>
  <si>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</si>
  <si>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</si>
  <si>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</si>
  <si>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</si>
  <si>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</si>
  <si>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</si>
  <si>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</si>
  <si>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</si>
  <si>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</si>
  <si>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</si>
  <si>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</si>
  <si>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</si>
  <si>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</si>
  <si>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</si>
  <si>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</si>
  <si>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</si>
  <si>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</si>
  <si>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</si>
  <si>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</si>
  <si>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</si>
  <si>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</si>
  <si>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</si>
  <si>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</si>
  <si>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</si>
  <si>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</si>
  <si>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</si>
  <si>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</si>
  <si>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</si>
  <si>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</si>
  <si>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</si>
  <si>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</si>
  <si>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</si>
  <si>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</si>
  <si>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</si>
  <si>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</si>
  <si>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</si>
  <si>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</si>
  <si>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</si>
  <si>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</si>
  <si>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</si>
  <si>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</si>
  <si>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</si>
  <si>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</si>
  <si>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</si>
  <si>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</si>
  <si>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</si>
  <si>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</si>
  <si>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</si>
  <si>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</si>
  <si>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</si>
  <si>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</si>
  <si>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</si>
  <si>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</si>
  <si>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</si>
  <si>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</si>
  <si>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</si>
  <si>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</si>
  <si>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</si>
  <si>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</si>
  <si>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</si>
  <si>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</si>
  <si>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</si>
  <si>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</si>
  <si>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</si>
  <si>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</si>
  <si>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</si>
  <si>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</si>
  <si>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</si>
  <si>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</si>
  <si>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</si>
  <si>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</si>
  <si>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</si>
  <si>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</si>
  <si>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</si>
  <si>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</si>
  <si>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</si>
  <si>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</si>
  <si>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</si>
  <si>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</si>
  <si>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</si>
  <si>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</si>
  <si>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</si>
  <si>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</si>
  <si>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</si>
  <si>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</si>
  <si>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</si>
  <si>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</si>
  <si>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</si>
  <si>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</si>
  <si>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</si>
  <si>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</si>
  <si>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</si>
  <si>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</si>
  <si>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</si>
  <si>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</si>
  <si>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</si>
  <si>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</si>
  <si>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</si>
  <si>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</si>
  <si>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</si>
  <si>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</si>
  <si>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</si>
  <si>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</si>
  <si>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</si>
  <si>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</si>
  <si>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</si>
  <si>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</si>
  <si>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</si>
  <si>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</si>
  <si>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</si>
  <si>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</si>
  <si>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</si>
  <si>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</si>
  <si>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</si>
  <si>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</si>
  <si>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</si>
  <si>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</si>
  <si>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</si>
  <si>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</si>
  <si>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</si>
  <si>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</si>
  <si>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</si>
  <si>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</si>
  <si>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</si>
  <si>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</si>
  <si>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</si>
  <si>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</si>
  <si>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</si>
  <si>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</si>
  <si>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</si>
  <si>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</si>
  <si>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</si>
  <si>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</si>
  <si>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</si>
  <si>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</si>
  <si>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</si>
  <si>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</si>
  <si>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</si>
  <si>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</si>
  <si>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</si>
  <si>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</si>
  <si>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</si>
  <si>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</si>
  <si>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</si>
  <si>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</si>
  <si>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</si>
  <si>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</si>
  <si>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</si>
  <si>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</si>
  <si>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</si>
  <si>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</si>
  <si>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</si>
  <si>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</si>
  <si>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</si>
  <si>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</si>
  <si>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</si>
  <si>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</si>
  <si>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</si>
  <si>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</si>
  <si>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</si>
  <si>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</si>
  <si>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</si>
  <si>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</si>
  <si>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</si>
  <si>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</si>
  <si>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</si>
  <si>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</si>
  <si>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</si>
  <si>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</si>
  <si>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</si>
  <si>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</si>
  <si>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</si>
  <si>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</si>
  <si>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</si>
  <si>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</si>
  <si>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</si>
  <si>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</si>
  <si>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</si>
  <si>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</si>
  <si>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</si>
  <si>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</si>
  <si>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</si>
  <si>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</si>
  <si>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</si>
  <si>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</si>
  <si>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</si>
  <si>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</si>
  <si>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</si>
  <si>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</si>
  <si>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</si>
  <si>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</si>
  <si>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</si>
  <si>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</si>
  <si>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</si>
  <si>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</si>
  <si>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</si>
  <si>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</si>
  <si>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</si>
  <si>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</si>
  <si>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</si>
  <si>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</si>
  <si>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</si>
  <si>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</si>
  <si>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</si>
  <si>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</si>
  <si>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</si>
  <si>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</si>
  <si>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</si>
  <si>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</si>
  <si>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</si>
  <si>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</si>
  <si>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</si>
  <si>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</si>
  <si>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</si>
  <si>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</si>
  <si>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</si>
  <si>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</si>
  <si>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</si>
  <si>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</si>
  <si>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</si>
  <si>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</si>
  <si>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</si>
  <si>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</si>
  <si>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</si>
  <si>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</si>
  <si>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</si>
  <si>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</si>
  <si>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</si>
  <si>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</si>
  <si>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</si>
  <si>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</si>
  <si>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</si>
  <si>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</si>
  <si>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</si>
  <si>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</si>
  <si>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</si>
  <si>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</si>
  <si>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</si>
  <si>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</si>
  <si>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</si>
  <si>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</si>
  <si>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</si>
  <si>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</si>
  <si>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</si>
  <si>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</si>
  <si>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</si>
  <si>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</si>
  <si>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</si>
  <si>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</si>
  <si>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</si>
  <si>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</si>
  <si>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</si>
  <si>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Column1.lowest</t>
  </si>
  <si>
    <t>Column1.order_count</t>
  </si>
  <si>
    <t>Column1.volume</t>
  </si>
  <si>
    <t>Marketeer Logic Board</t>
  </si>
  <si>
    <t>Valid Marketeer Xpaths</t>
  </si>
  <si>
    <t>Marketeer Formulas</t>
  </si>
  <si>
    <t>SwaggerURL:</t>
  </si>
  <si>
    <t>M Code:</t>
  </si>
  <si>
    <t>FilePath = Excel.CurrentWorkbook(){[Name="FilePath"]}[Content]{0}[Column1],</t>
  </si>
  <si>
    <t>Averages:</t>
  </si>
  <si>
    <t>Latest Price:</t>
  </si>
  <si>
    <t>x</t>
  </si>
  <si>
    <t>Column1</t>
  </si>
  <si>
    <t>Parse</t>
  </si>
  <si>
    <t>Date Formula: =IFERROR((LARGE(F4:$F$4,1)-LARGE(F4:$F$4,2)-1),"")</t>
  </si>
  <si>
    <t>Logic Board</t>
  </si>
  <si>
    <t>Swagger URL 1</t>
  </si>
  <si>
    <t>Swagger URL 2</t>
  </si>
  <si>
    <t>https://esi.evetech.net/latest/markets/</t>
  </si>
  <si>
    <t>/history/?datasource=tranquility&amp;type_id=</t>
  </si>
  <si>
    <t>Region ID:</t>
  </si>
  <si>
    <t>Concatenate 1:</t>
  </si>
  <si>
    <t>Current Date:</t>
  </si>
  <si>
    <t>Days Since Sale</t>
  </si>
  <si>
    <t>Timezone</t>
  </si>
  <si>
    <t>Number of hours BEHIND GMT</t>
  </si>
  <si>
    <t>&lt;-- Should be the date in Eve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</si>
</sst>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4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  <xf numFmtId="0" fontId="5" fillId="25" borderId="0" applyNumberFormat="0" applyBorder="0" applyAlignment="0" applyProtection="0"/>
    <xf numFmtId="0" fontId="12" fillId="26" borderId="0" applyNumberFormat="0" applyBorder="0" applyAlignment="0" applyProtection="0"/>
  </cellStyleXfs>
  <cellXfs count="100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164" fontId="9" fillId="24" borderId="2" xfId="8" applyNumberFormat="1" applyFont="1" applyFill="1" applyBorder="1"/>
    <xf numFmtId="14" fontId="0" fillId="0" borderId="0" xfId="0" applyNumberFormat="1"/>
    <xf numFmtId="0" fontId="12" fillId="26" borderId="0" xfId="23"/>
    <xf numFmtId="0" fontId="11" fillId="26" borderId="0" xfId="23" applyFont="1"/>
    <xf numFmtId="0" fontId="5" fillId="22" borderId="0" xfId="20"/>
    <xf numFmtId="0" fontId="5" fillId="25" borderId="0" xfId="22"/>
    <xf numFmtId="14" fontId="3" fillId="4" borderId="0" xfId="3" applyNumberFormat="1"/>
    <xf numFmtId="4" fontId="0" fillId="0" borderId="0" xfId="0" applyNumberFormat="1"/>
    <xf numFmtId="0" fontId="10" fillId="11" borderId="0" xfId="8" applyAlignment="1">
      <alignment horizontal="center"/>
    </xf>
    <xf numFmtId="4" fontId="3" fillId="4" borderId="0" xfId="3" applyNumberFormat="1"/>
    <xf numFmtId="4" fontId="5" fillId="22" borderId="0" xfId="20" applyNumberFormat="1"/>
    <xf numFmtId="1" fontId="3" fillId="4" borderId="0" xfId="3" applyNumberFormat="1"/>
    <xf numFmtId="0" fontId="18" fillId="4" borderId="0" xfId="3" applyFont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4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2" xfId="22" builtinId="36"/>
    <cellStyle name="60% - Accent4" xfId="20" builtinId="44"/>
    <cellStyle name="Accent1" xfId="9" builtinId="29"/>
    <cellStyle name="Accent2" xfId="10" builtinId="33"/>
    <cellStyle name="Accent3" xfId="17" builtinId="37"/>
    <cellStyle name="Accent4" xfId="23" builtinId="41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23"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2"/>
      <tableStyleElement type="firstRowStripe" dxfId="221"/>
      <tableStyleElement type="secondRowStripe" dxfId="220"/>
    </tableStyle>
  </tableStyles>
  <colors>
    <mruColors>
      <color rgb="FFFFA3AE"/>
      <color rgb="FFFFB9C1"/>
      <color rgb="FFFF7989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13" xr16:uid="{3F924F72-BB19-4B57-9575-63718A60B2D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4" xr16:uid="{FDFF45D7-4964-44DE-921E-499C5E8D4D0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35" xr16:uid="{2B68A0D6-6DDC-42E2-9027-EFB77B33E2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46" xr16:uid="{61333F76-21AC-4A63-8FCB-2E43C799548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57" xr16:uid="{7AED699D-82AF-48B5-9D96-EA91E54983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68" xr16:uid="{E91814D0-988B-42BA-BFBF-51AFE19A0AA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79" xr16:uid="{5658AAD9-AEAD-4332-80C6-98ECAFBBC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90" xr16:uid="{2E477626-3730-4EBB-AC9E-E7032D8C11A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2" xr16:uid="{37C5958C-DCA9-49A9-B52E-22E684E241D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4" xr16:uid="{12D660DF-B20E-47B6-81E1-25BDBF26F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5" xr16:uid="{4FF3FE59-E7D7-4710-B67F-6894200C34D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6" xr16:uid="{99036C13-B9DE-4B84-A0CE-F22661EA1F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7" xr16:uid="{13A3FA20-323A-4FF4-9133-4075B0AA386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8" xr16:uid="{0C754D02-D669-41B6-B201-D9E8CFFEB65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9" xr16:uid="{6708E20F-F41E-40B2-9999-F195A6283F8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10" xr16:uid="{3F4045EB-C8B0-4965-A486-FD6A78FE08B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11" xr16:uid="{66A223C4-FD27-48DE-8209-75A18B0352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12" xr16:uid="{EAC724CE-1103-4C38-A616-0C53001794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14" xr16:uid="{4840D623-87C3-40F4-A200-35404B4087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15" xr16:uid="{A62B2E92-30F8-4CC7-91EE-386FE228D8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16" xr16:uid="{986A8580-DE26-49CE-8107-419E307F61B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17" xr16:uid="{052F71F6-C7AC-4781-BA91-4D91D2FF73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18" xr16:uid="{AE156D59-65C5-4ECD-ACC7-EF4A37D40A7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19" xr16:uid="{E20ACD40-FDAE-4D30-B95D-12F20DA8BC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20" xr16:uid="{A369EE55-512A-40B5-B770-9DF06C62510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21" xr16:uid="{C541197C-859C-4229-89B7-BA1BAF99810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22" xr16:uid="{D1304522-F362-41C2-AD5F-26524A557B8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23" xr16:uid="{CDC47FA2-556D-4580-B37B-A823079F3E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25" xr16:uid="{A991693B-AF72-44AF-ADD1-548264F112E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26" xr16:uid="{B502290F-8717-4DB0-944C-C7B9F1745EC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27" xr16:uid="{2A54D9F6-CBB7-40FB-B402-ACAC3FBDCB9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28" xr16:uid="{68CD992E-318C-4C70-8100-DC25DAF57E1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29" xr16:uid="{D01732E8-0BC5-422E-809B-4BC37F212A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30" xr16:uid="{153ABE8B-D205-4726-9556-B41861C620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31" xr16:uid="{A422E7B6-C0F9-44A1-93CA-22080536B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32" xr16:uid="{B5E65E3A-EF43-498C-9D34-BACAEE41CB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33" xr16:uid="{63896510-A89C-4FB3-9278-02119BA350B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34" xr16:uid="{0378877E-DC27-4FB5-8CCF-EA5543AEBF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36" xr16:uid="{29FC4970-BB5E-460D-81A4-C6818B6C84D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37" xr16:uid="{EB3D81CF-33FF-44AB-B767-CE4D0512E69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38" xr16:uid="{685B38A3-DA93-4E86-BD9D-2523244AB2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39" xr16:uid="{548919F8-9485-487C-A157-1CB38A75A1E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40" xr16:uid="{62736871-D3D3-4CA9-BA63-9530BF60E02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41" xr16:uid="{03763F61-5666-485E-B48E-21E6C26068A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42" xr16:uid="{2C146F04-B039-4B20-8922-7140EA1021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43" xr16:uid="{B37143C4-6E69-4D9E-85C0-ACEA3F22ED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44" xr16:uid="{E00F5D13-2220-47CA-9F50-1CCA55A7805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45" xr16:uid="{ADB9DB6C-78EE-4E5F-A234-3E06BC6A3F1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47" xr16:uid="{F753C5B4-4A7C-41CE-B4C5-A468BB09746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48" xr16:uid="{6B168994-3CD9-475C-BAE1-70E1593E0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49" xr16:uid="{00B02AB0-ED7C-41DC-84F0-0EEF41F9BF2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50" xr16:uid="{B6E31148-2416-4031-8A6C-9DCF256CC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51" xr16:uid="{279CF540-CC39-4552-9F1B-14CBB9F4920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52" xr16:uid="{34D87627-6B7F-407C-8344-E87F995D31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53" xr16:uid="{2AD015F4-9BB0-44D9-B3EF-38F1A961180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54" xr16:uid="{07A5F355-D182-441B-87EA-1100A1782F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55" xr16:uid="{302FD575-5A69-439E-B42F-035E40C1B15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56" xr16:uid="{0A86DDFE-5D7F-4075-83F7-CA533EF453B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58" xr16:uid="{D79647F5-8BA1-4582-90FD-45C50AA3D9B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59" xr16:uid="{DF793FAD-0B28-4C50-861F-8A573B5F184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60" xr16:uid="{4E8F711A-0CC9-4344-A533-70E1B3B7E2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61" xr16:uid="{D7A7C491-CAE0-4AE5-9BC4-469785F82E4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62" xr16:uid="{5822C9D2-63F2-43C1-9B99-06CB94F7E1C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63" xr16:uid="{0177086D-CB1D-4F96-9CAC-8CFE23B0849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64" xr16:uid="{9B43A708-2DFA-4701-8BDA-E2F263D4523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65" xr16:uid="{C81D99CB-0239-4D95-910A-9E113921C4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66" xr16:uid="{E37CE053-56A8-4D79-B75C-12561AE9BE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67" xr16:uid="{ED216B9A-D23D-4D85-9751-A932F022B9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69" xr16:uid="{4C14FDC8-0CAF-4B73-A6AD-1B3246532D6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70" xr16:uid="{4A696BD1-5BDE-41B4-8957-2853600F8FB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71" xr16:uid="{AA1DFD09-7087-4683-965F-081F94773B8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72" xr16:uid="{2D860715-AE38-4351-95F2-F2848CF301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73" xr16:uid="{13064000-40F9-48B1-B552-5ED3E739F8F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74" xr16:uid="{DC748F85-7200-474C-B619-1F3B2AD4EF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75" xr16:uid="{24DE8316-3B0F-4D6E-84F8-E9E1D8B769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76" xr16:uid="{6242D49F-DA76-4B4B-B6B0-1119D7DCD51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77" xr16:uid="{55F2C8C5-494D-499F-B45F-2F4D0E1B25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78" xr16:uid="{384CE11C-D98A-48A5-9F0B-D5F6D1230D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80" xr16:uid="{DD23D29E-DE13-437D-A4A7-B52C52DD2F0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81" xr16:uid="{2FB37F76-B066-492A-B8DB-89911C49C2D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82" xr16:uid="{C527EEF0-95B3-480B-B4F9-0D5DCDB688E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83" xr16:uid="{16A2B53A-B3FF-46C6-B4E7-201CA2E6EB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84" xr16:uid="{2ADDE469-FA58-4461-82EE-7266E17F14D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85" xr16:uid="{BF6D1CE3-D6F5-4C5B-853F-AE70E14719B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86" xr16:uid="{F846E66F-0609-4D1E-8196-428DF8AE508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87" xr16:uid="{9E82BAE2-C18B-4BD6-9EC6-9D77A17870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88" xr16:uid="{AFFAF6B1-240B-465D-AE0F-242CFF8A0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89" xr16:uid="{5B2F40AB-6544-43CF-B051-A28156BA17A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91" xr16:uid="{24145B6E-F4C1-4DE2-814E-68F54E85FC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92" xr16:uid="{3F6C3C62-9ABC-4DF3-A13C-34B4773C71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93" xr16:uid="{566D0817-CA5F-427F-8C8F-3700B6C54B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94" xr16:uid="{179BF552-564E-4E9B-95EB-2E338C74054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95" xr16:uid="{58E7A7C3-3980-4AE3-9A6A-8ECBDF2EB96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96" xr16:uid="{5092CDE1-6F88-4955-AE1B-8188E9748F4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97" xr16:uid="{25E73FA8-447B-4F12-A82C-A64E215B51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98" xr16:uid="{FE056553-A20E-41E4-BF5C-053B722CBEA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99" xr16:uid="{93308EBD-1527-46F8-A79E-DABABD159F6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00" xr16:uid="{5AAAEC99-B055-4E39-BB4A-492097FD5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" xr16:uid="{C3FF5872-F329-4646-A10F-13FE6EBD3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tables/_rels/table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8" totalsRowShown="0" dataDxfId="215">
  <autoFilter ref="A1:N78" xr:uid="{2AF95D97-3FE0-4640-8C77-A5D7FDE275BB}"/>
  <sortState xmlns:xlrd2="http://schemas.microsoft.com/office/spreadsheetml/2017/richdata2" ref="A2:N78">
    <sortCondition ref="A1:A78"/>
  </sortState>
  <tableColumns count="14">
    <tableColumn id="1" xr3:uid="{C641B123-62B0-4D9E-8C7B-5BC97C8954B1}" name="Name" dataDxfId="214"/>
    <tableColumn id="2" xr3:uid="{63C85D97-D97F-4BB3-B594-6ED26C3992EE}" name="TypeID" dataDxfId="213">
      <calculatedColumnFormula>VLOOKUP(A2,TypeIDs!B:C,2,FALSE)</calculatedColumnFormula>
    </tableColumn>
    <tableColumn id="9" xr3:uid="{5114D7DC-2FCC-48F1-8B02-7608C7FF09B1}" name="Category" dataDxfId="212"/>
    <tableColumn id="7" xr3:uid="{603AFD24-D6CE-4E31-8568-B0840F81EC76}" name="#" dataDxfId="211" dataCellStyle="Neutral">
      <calculatedColumnFormula>VLOOKUP(B2,TradeSheet!B:J,9,FALSE)-N2</calculatedColumnFormula>
    </tableColumn>
    <tableColumn id="12" xr3:uid="{3AC93A2C-99A1-4898-9434-63553A752E86}" name="# +/-" dataDxfId="210" dataCellStyle="Neutral"/>
    <tableColumn id="10" xr3:uid="{7AB7EC78-F703-4366-B1CE-54F75442F9D0}" name=" " dataDxfId="209" dataCellStyle="Input">
      <calculatedColumnFormula>VLOOKUP(B2,TypeIDs!C:D,2,FALSE)</calculatedColumnFormula>
    </tableColumn>
    <tableColumn id="11" xr3:uid="{F84A1AB7-ECF9-42FD-88C3-0CC8188587F8}" name="Volume" dataDxfId="208" dataCellStyle="Input">
      <calculatedColumnFormula>F2*(D2+E2)</calculatedColumnFormula>
    </tableColumn>
    <tableColumn id="3" xr3:uid="{B8A9B089-19F3-47E6-980C-77B26CEF9D43}" name="Buy" dataDxfId="207" dataCellStyle="Bad">
      <calculatedColumnFormula>VLOOKUP(B2,TradeSheet!B:E,3,FALSE)</calculatedColumnFormula>
    </tableColumn>
    <tableColumn id="4" xr3:uid="{69767C5F-1B59-4BBB-8552-9B8118414C1D}" name="Total Revenue" dataDxfId="206" dataCellStyle="Normal">
      <calculatedColumnFormula>VLOOKUP(B2,TradeSheet!B:F,5,FALSE)*D2</calculatedColumnFormula>
    </tableColumn>
    <tableColumn id="13" xr3:uid="{4A4512D5-5DEE-4141-84F0-C43F8D1DAB45}" name="Total Investment" dataDxfId="205">
      <calculatedColumnFormula>VLOOKUP(B2,TradeSheet!B:E,3,FALSE)*(D2+E2)</calculatedColumnFormula>
    </tableColumn>
    <tableColumn id="5" xr3:uid="{9952A3C5-2D3A-447C-8E4A-430B0E9F7C91}" name="Profit" dataDxfId="204">
      <calculatedColumnFormula>(I2-J2)</calculatedColumnFormula>
    </tableColumn>
    <tableColumn id="6" xr3:uid="{71BB8A3C-295F-45BD-A034-F8EC1805889E}" name="Order Date" dataDxfId="203"/>
    <tableColumn id="8" xr3:uid="{55DE6210-B9F5-4630-9A28-812209C8C180}" name="Out?" dataDxfId="202"/>
    <tableColumn id="14" xr3:uid="{AF966135-9064-4DA5-8BCE-E923C2B822E1}" name="Left" dataDxfId="20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  <tableColumn id="2" xr3:uid="{F71BB1AE-6571-4A79-A4FB-0FF3041BF8C2}" uniqueName="2" name="Parse" queryTableFieldId="7" dataDxfId="199"/>
    <tableColumn id="3" xr3:uid="{E037F50F-ECD8-4159-8910-F9731A03C578}" uniqueName="3" name="Column1" queryTableFieldId="8" dataDxfId="198">
      <calculatedColumnFormula>IFERROR(IF((F4-F3)&gt;1,(LARGE(F4:$F4,1)-LARGE(F4:$F$4,2)),""),"")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8796F52-9D7F-4D4C-A6C3-D00D29044CD2}" name="datasource_tranquility_type_id_2048105" displayName="datasource_tranquility_type_id_2048105" ref="B18:G32" tableType="queryTable" totalsRowShown="0">
  <autoFilter ref="B18:G32" xr:uid="{28796F52-9D7F-4D4C-A6C3-D00D29044CD2}"/>
  <tableColumns count="6">
    <tableColumn id="1" xr3:uid="{414F937A-B4E8-4BE1-A08B-BC17E0F796AF}" uniqueName="1" name="Column1.average" queryTableFieldId="1"/>
    <tableColumn id="4" xr3:uid="{542532AC-042F-4555-9FF4-D3DC136FDAB9}" uniqueName="4" name="Column1.lowest" queryTableFieldId="4"/>
    <tableColumn id="5" xr3:uid="{A612AE5A-74B6-4875-A32B-EB966F699586}" uniqueName="5" name="Column1.order_count" queryTableFieldId="5"/>
    <tableColumn id="6" xr3:uid="{2E0733B3-9879-4797-943B-B0B5691A16E7}" uniqueName="6" name="Column1.volume" queryTableFieldId="6"/>
    <tableColumn id="2" xr3:uid="{7BEABC0B-602C-4BC5-9787-7B38AECA1895}" uniqueName="2" name="Parse" queryTableFieldId="7" dataDxfId="197"/>
    <tableColumn id="3" xr3:uid="{A5576819-3EF2-4FA2-8337-C07D374F6425}" uniqueName="3" name="Column1" queryTableFieldId="8" dataDxfId="196">
      <calculatedColumnFormula>IFERROR(IF((F19-F18)&gt;1,(LARGE(F19:$F19,1)-LARGE(F$19:$F19,2))-1,""),"")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6D500522-292E-445F-9387-DC4526312304}" name="datasource_tranquility_type_id_2048105106" displayName="datasource_tranquility_type_id_2048105106" ref="B33:G47" tableType="queryTable" totalsRowShown="0">
  <autoFilter ref="B33:G47" xr:uid="{6D500522-292E-445F-9387-DC4526312304}"/>
  <tableColumns count="6">
    <tableColumn id="1" xr3:uid="{E7D4B304-1966-4FAC-9D38-EE7997CEA03B}" uniqueName="1" name="Column1.average" queryTableFieldId="1"/>
    <tableColumn id="4" xr3:uid="{E0CBF06C-2083-4946-B913-AF526A443146}" uniqueName="4" name="Column1.lowest" queryTableFieldId="4"/>
    <tableColumn id="5" xr3:uid="{2680C3E4-0F3C-4250-911B-DABF0C7D13A5}" uniqueName="5" name="Column1.order_count" queryTableFieldId="5"/>
    <tableColumn id="6" xr3:uid="{60618AE0-08E6-40FA-A4FC-E4B1DD6D12E7}" uniqueName="6" name="Column1.volume" queryTableFieldId="6"/>
    <tableColumn id="2" xr3:uid="{294A1347-49E3-4474-9AF4-DE6D84F5DA5C}" uniqueName="2" name="Parse" queryTableFieldId="7" dataDxfId="195"/>
    <tableColumn id="3" xr3:uid="{7561C059-A353-43DF-8961-ACE8975D3C93}" uniqueName="3" name="Column1" queryTableFieldId="8" dataDxfId="194">
      <calculatedColumnFormula>IFERROR(IF((F34-F33)&gt;1,(LARGE(F34:$F34,1)-LARGE(F$34:$F34,2))-1,""),"")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CD9082B-7EA9-4B8E-9AEE-ACB84A9DCCBD}" name="datasource_tranquility_type_id_2048105106107" displayName="datasource_tranquility_type_id_2048105106107" ref="B48:G62" tableType="queryTable" totalsRowShown="0">
  <autoFilter ref="B48:G62" xr:uid="{8CD9082B-7EA9-4B8E-9AEE-ACB84A9DCCBD}"/>
  <tableColumns count="6">
    <tableColumn id="1" xr3:uid="{9AC6941B-FF28-4D26-978C-C3F7148BED20}" uniqueName="1" name="Column1.average" queryTableFieldId="1"/>
    <tableColumn id="4" xr3:uid="{602368A8-8713-4821-95CA-9504081812B3}" uniqueName="4" name="Column1.lowest" queryTableFieldId="4"/>
    <tableColumn id="5" xr3:uid="{6C16C27F-6970-49DA-972A-92E07663A2CA}" uniqueName="5" name="Column1.order_count" queryTableFieldId="5"/>
    <tableColumn id="6" xr3:uid="{27A33C0E-AD93-46B4-8D70-0318925E06E4}" uniqueName="6" name="Column1.volume" queryTableFieldId="6"/>
    <tableColumn id="2" xr3:uid="{7150C28D-DC9D-4040-89E8-3452181F1203}" uniqueName="2" name="Parse" queryTableFieldId="7" dataDxfId="193"/>
    <tableColumn id="3" xr3:uid="{B039DD3A-2F18-497F-8E4E-3BB566D25D85}" uniqueName="3" name="Column1" queryTableFieldId="8" dataDxfId="192">
      <calculatedColumnFormula>IFERROR(IF((F49-F48)&gt;1,(LARGE(F49:$F49,1)-LARGE(F$49:$F49,2))-1,""),"")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7A36E60E-93D9-4CF4-B8A2-6398D1999452}" name="datasource_tranquility_type_id_2048105106107108" displayName="datasource_tranquility_type_id_2048105106107108" ref="B63:G77" tableType="queryTable" totalsRowShown="0">
  <autoFilter ref="B63:G77" xr:uid="{7A36E60E-93D9-4CF4-B8A2-6398D1999452}"/>
  <tableColumns count="6">
    <tableColumn id="1" xr3:uid="{9B15D19A-945E-4E70-83C1-6C4B64050FFA}" uniqueName="1" name="Column1.average" queryTableFieldId="1"/>
    <tableColumn id="4" xr3:uid="{5A404F28-366E-4F53-811C-320D4139FC3D}" uniqueName="4" name="Column1.lowest" queryTableFieldId="4"/>
    <tableColumn id="5" xr3:uid="{9890AE11-9214-4B53-9B58-577CAF6D5243}" uniqueName="5" name="Column1.order_count" queryTableFieldId="5"/>
    <tableColumn id="6" xr3:uid="{8487D7C8-EAFF-4861-B54E-A1A58C96ABFE}" uniqueName="6" name="Column1.volume" queryTableFieldId="6"/>
    <tableColumn id="2" xr3:uid="{D6EB8C27-33D2-4AFF-92E3-ABCDA8213693}" uniqueName="2" name="Parse" queryTableFieldId="7" dataDxfId="191"/>
    <tableColumn id="3" xr3:uid="{781AA01F-98F6-4351-8F2E-E1488BDE21B8}" uniqueName="3" name="Column1" queryTableFieldId="8" dataDxfId="190">
      <calculatedColumnFormula>IFERROR(IF((F64-F63)&gt;1,(LARGE(F64:$F64,1)-LARGE(F$64:$F64,2))-1,""),"")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8E5E11-9031-40BB-8494-3A2E36D0AC69}" name="datasource_tranquility_type_id_20481051061071084" displayName="datasource_tranquility_type_id_20481051061071084" ref="B78:G92" tableType="queryTable" totalsRowShown="0">
  <autoFilter ref="B78:G92" xr:uid="{F58E5E11-9031-40BB-8494-3A2E36D0AC69}"/>
  <tableColumns count="6">
    <tableColumn id="1" xr3:uid="{A070B266-7F19-45F6-8AC1-E483A98F7B2F}" uniqueName="1" name="Column1.average" queryTableFieldId="1"/>
    <tableColumn id="4" xr3:uid="{562C689A-26C6-41C6-8F4B-189589BF9529}" uniqueName="4" name="Column1.lowest" queryTableFieldId="4"/>
    <tableColumn id="5" xr3:uid="{14F010FB-602A-4809-A3BB-FDB6827CB34A}" uniqueName="5" name="Column1.order_count" queryTableFieldId="5"/>
    <tableColumn id="6" xr3:uid="{82127521-0264-4210-8A16-BE45CF9037E8}" uniqueName="6" name="Column1.volume" queryTableFieldId="6"/>
    <tableColumn id="2" xr3:uid="{FADF0459-EEDA-4761-BC6A-7E3EDF6F6833}" uniqueName="2" name="Parse" queryTableFieldId="7" dataDxfId="189"/>
    <tableColumn id="3" xr3:uid="{3DC01886-9AA9-49A3-88D4-296CAAE079B1}" uniqueName="3" name="Column1" queryTableFieldId="8" dataDxfId="188">
      <calculatedColumnFormula>IFERROR(IF((F79-F78)&gt;1,(LARGE(F79:$F79,1)-LARGE(F$79:$F79,2))-1,""),"")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4D6549-6FF5-4D3C-B3D1-6D4AED8D20F1}" name="datasource_tranquility_type_id_204810510610710845" displayName="datasource_tranquility_type_id_204810510610710845" ref="B93:G107" tableType="queryTable" totalsRowShown="0">
  <autoFilter ref="B93:G107" xr:uid="{E74D6549-6FF5-4D3C-B3D1-6D4AED8D20F1}"/>
  <tableColumns count="6">
    <tableColumn id="1" xr3:uid="{6C0ADB76-F3B8-436A-9010-9A3D317E24FB}" uniqueName="1" name="Column1.average" queryTableFieldId="1"/>
    <tableColumn id="4" xr3:uid="{92A4DDBF-033B-4846-BAA1-2826547BA17E}" uniqueName="4" name="Column1.lowest" queryTableFieldId="4"/>
    <tableColumn id="5" xr3:uid="{3ECDF039-76B7-455F-84CB-9DC9EB14ECBF}" uniqueName="5" name="Column1.order_count" queryTableFieldId="5"/>
    <tableColumn id="6" xr3:uid="{C6AB04F8-857B-48CE-91A8-DDC12FCB91A9}" uniqueName="6" name="Column1.volume" queryTableFieldId="6"/>
    <tableColumn id="2" xr3:uid="{78E311A4-F003-40B3-9B13-9DDA8F1C2CBF}" uniqueName="2" name="Parse" queryTableFieldId="7" dataDxfId="187"/>
    <tableColumn id="3" xr3:uid="{CD9F2163-BBE8-456A-B1CE-925ABF559A65}" uniqueName="3" name="Column1" queryTableFieldId="8" dataDxfId="186">
      <calculatedColumnFormula>IFERROR(IF((F94-F93)&gt;1,(LARGE(F94:$F94,1)-LARGE(F$94:$F94,2))-1,""),"")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B61399-14DD-410E-8C53-6EF197706D12}" name="datasource_tranquility_type_id_2048105106107108457" displayName="datasource_tranquility_type_id_2048105106107108457" ref="B108:G122" tableType="queryTable" totalsRowShown="0">
  <autoFilter ref="B108:G122" xr:uid="{5BB61399-14DD-410E-8C53-6EF197706D12}"/>
  <tableColumns count="6">
    <tableColumn id="1" xr3:uid="{778F01FE-8623-4E3B-8431-7BD4650B4A18}" uniqueName="1" name="Column1.average" queryTableFieldId="1"/>
    <tableColumn id="4" xr3:uid="{E4AE3DD3-C7DB-4804-82E1-A9713707A606}" uniqueName="4" name="Column1.lowest" queryTableFieldId="4"/>
    <tableColumn id="5" xr3:uid="{758336AC-53EF-4CBA-B831-FFAE11068EF3}" uniqueName="5" name="Column1.order_count" queryTableFieldId="5"/>
    <tableColumn id="6" xr3:uid="{966B0610-8482-4082-B93E-E771207D74C5}" uniqueName="6" name="Column1.volume" queryTableFieldId="6"/>
    <tableColumn id="2" xr3:uid="{0D5901EC-5F71-41E4-8E1F-E6B1044AA349}" uniqueName="2" name="Parse" queryTableFieldId="7" dataDxfId="185"/>
    <tableColumn id="3" xr3:uid="{1A8DEB81-1FA0-4EA1-B123-5036F260B3D0}" uniqueName="3" name="Column1" queryTableFieldId="8" dataDxfId="184">
      <calculatedColumnFormula>IFERROR(IF((F109-F108)&gt;1,(LARGE(F109:$F109,1)-LARGE(F$109:$F109,2))-1,""),"")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194166-0EEE-467B-8A07-E7FEBE23F43D}" name="datasource_tranquility_type_id_20481051061071084578" displayName="datasource_tranquility_type_id_20481051061071084578" ref="B123:G137" tableType="queryTable" totalsRowShown="0">
  <autoFilter ref="B123:G137" xr:uid="{5A194166-0EEE-467B-8A07-E7FEBE23F43D}"/>
  <tableColumns count="6">
    <tableColumn id="1" xr3:uid="{34BBCC23-CD3F-4EE4-8994-1F5164B45834}" uniqueName="1" name="Column1.average" queryTableFieldId="1"/>
    <tableColumn id="4" xr3:uid="{FCD560CA-BA6D-4F39-82BF-6ED705248CB3}" uniqueName="4" name="Column1.lowest" queryTableFieldId="4"/>
    <tableColumn id="5" xr3:uid="{96855524-7FE0-4592-930A-B7B915417C67}" uniqueName="5" name="Column1.order_count" queryTableFieldId="5"/>
    <tableColumn id="6" xr3:uid="{B3F8709C-862A-48AA-9119-5896D2AA659B}" uniqueName="6" name="Column1.volume" queryTableFieldId="6"/>
    <tableColumn id="2" xr3:uid="{87CC34F4-485A-4290-90B5-DE7A429AFBE3}" uniqueName="2" name="Parse" queryTableFieldId="7" dataDxfId="183"/>
    <tableColumn id="3" xr3:uid="{0DB8B75D-F130-4F57-9655-47E147BE0C18}" uniqueName="3" name="Column1" queryTableFieldId="8" dataDxfId="182">
      <calculatedColumnFormula>IFERROR(IF((F124-F123)&gt;1,(LARGE(F124:$F124,1)-LARGE(F$124:$F124,2))-1,""),"")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893E5B-CF21-4244-B9F8-B3575D595C94}" name="datasource_tranquility_type_id_204810510610710845789" displayName="datasource_tranquility_type_id_204810510610710845789" ref="B138:G152" tableType="queryTable" totalsRowShown="0">
  <autoFilter ref="B138:G152" xr:uid="{66893E5B-CF21-4244-B9F8-B3575D595C94}"/>
  <tableColumns count="6">
    <tableColumn id="1" xr3:uid="{72D6D92D-3C04-47EA-B61A-7E89EABB1310}" uniqueName="1" name="Column1.average" queryTableFieldId="1"/>
    <tableColumn id="4" xr3:uid="{09E2B63C-E87F-4E1F-837F-32E42B7A55E5}" uniqueName="4" name="Column1.lowest" queryTableFieldId="4"/>
    <tableColumn id="5" xr3:uid="{9ADAD2CA-24F3-46F1-80C4-3DEF71711D14}" uniqueName="5" name="Column1.order_count" queryTableFieldId="5"/>
    <tableColumn id="6" xr3:uid="{40EB16E2-BE49-4F1E-94D3-5C375E74C947}" uniqueName="6" name="Column1.volume" queryTableFieldId="6"/>
    <tableColumn id="2" xr3:uid="{68779FA5-D4A2-480D-B86C-FD65D9F03AF2}" uniqueName="2" name="Parse" queryTableFieldId="7" dataDxfId="181"/>
    <tableColumn id="3" xr3:uid="{493EC343-C3F6-4B84-B6D6-94F9AEBD7705}" uniqueName="3" name="Column1" queryTableFieldId="8" dataDxfId="180">
      <calculatedColumnFormula>IFERROR(IF((F139-F138)&gt;1,(LARGE(F139:$F139,1)-LARGE(F$139:$F139,2))-1,""),"")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9EF9D7-68C3-4144-82FE-201DAD64E98C}" name="datasource_tranquility_type_id_20481051061071084578910" displayName="datasource_tranquility_type_id_20481051061071084578910" ref="B153:G167" tableType="queryTable" totalsRowShown="0">
  <autoFilter ref="B153:G167" xr:uid="{709EF9D7-68C3-4144-82FE-201DAD64E98C}"/>
  <tableColumns count="6">
    <tableColumn id="1" xr3:uid="{3E1A1F22-2D24-42D2-9614-9C8D0CD4A079}" uniqueName="1" name="Column1.average" queryTableFieldId="1"/>
    <tableColumn id="4" xr3:uid="{D52FE9FB-9953-48CD-8092-4408CE4D82F4}" uniqueName="4" name="Column1.lowest" queryTableFieldId="4"/>
    <tableColumn id="5" xr3:uid="{46471AD7-0F7A-4DFD-B3AA-07774720E205}" uniqueName="5" name="Column1.order_count" queryTableFieldId="5"/>
    <tableColumn id="6" xr3:uid="{EDB0B9EB-EB64-46A3-9CA1-69A925E25B80}" uniqueName="6" name="Column1.volume" queryTableFieldId="6"/>
    <tableColumn id="2" xr3:uid="{E0361F27-D633-4039-B944-AD89756EE72F}" uniqueName="2" name="Parse" queryTableFieldId="7" dataDxfId="179"/>
    <tableColumn id="3" xr3:uid="{CB1376D8-1394-424F-90E6-2A4C6895E59A}" uniqueName="3" name="Column1" queryTableFieldId="8" dataDxfId="178">
      <calculatedColumnFormula>IFERROR(IF((F154-F153)&gt;1,(LARGE(F154:$F154,1)-LARGE(F$154:$F154,2))-1,""),"")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38EE46-3BEF-4783-8D55-DB7598C0F4C3}" name="datasource_tranquility_type_id_2048105106107108457891011" displayName="datasource_tranquility_type_id_2048105106107108457891011" ref="B168:G182" tableType="queryTable" totalsRowShown="0">
  <autoFilter ref="B168:G182" xr:uid="{2538EE46-3BEF-4783-8D55-DB7598C0F4C3}"/>
  <tableColumns count="6">
    <tableColumn id="1" xr3:uid="{413E8AFF-BA63-4F3B-A5FB-D084F258E047}" uniqueName="1" name="Column1.average" queryTableFieldId="1"/>
    <tableColumn id="4" xr3:uid="{FA05E23C-558C-456F-AD90-F1D683A3B616}" uniqueName="4" name="Column1.lowest" queryTableFieldId="4"/>
    <tableColumn id="5" xr3:uid="{34A3ED37-6E10-42BD-9D0B-39473409F8C1}" uniqueName="5" name="Column1.order_count" queryTableFieldId="5"/>
    <tableColumn id="6" xr3:uid="{07EF265F-F78F-4396-945C-7964C4D2C528}" uniqueName="6" name="Column1.volume" queryTableFieldId="6"/>
    <tableColumn id="2" xr3:uid="{B10DE7B9-6DBB-4FE2-B951-3E4FB17F89C9}" uniqueName="2" name="Parse" queryTableFieldId="7" dataDxfId="177"/>
    <tableColumn id="3" xr3:uid="{8FAAA63E-F598-479F-938F-3359C3A65E96}" uniqueName="3" name="Column1" queryTableFieldId="8" dataDxfId="176">
      <calculatedColumnFormula>IFERROR(IF((F169-F168)&gt;1,(LARGE(F169:$F169,1)-LARGE(F$169:$F169,2))-1,""),"")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2B7B23-9FD2-428F-BE66-456D58FA5A57}" name="datasource_tranquility_type_id_204810510610710845789101112" displayName="datasource_tranquility_type_id_204810510610710845789101112" ref="B183:G197" tableType="queryTable" totalsRowShown="0">
  <autoFilter ref="B183:G197" xr:uid="{F32B7B23-9FD2-428F-BE66-456D58FA5A57}"/>
  <tableColumns count="6">
    <tableColumn id="1" xr3:uid="{5EEAFEA5-F218-4E74-A394-5234D670940B}" uniqueName="1" name="Column1.average" queryTableFieldId="1"/>
    <tableColumn id="4" xr3:uid="{C5AB040D-982C-4FBB-A5AD-52EC3CC39625}" uniqueName="4" name="Column1.lowest" queryTableFieldId="4"/>
    <tableColumn id="5" xr3:uid="{422F30C8-2186-499A-A792-F968AA3C574C}" uniqueName="5" name="Column1.order_count" queryTableFieldId="5"/>
    <tableColumn id="6" xr3:uid="{581DADAD-B265-477C-9B88-23795FEDB4D5}" uniqueName="6" name="Column1.volume" queryTableFieldId="6"/>
    <tableColumn id="2" xr3:uid="{35465CED-0439-4F09-A9E5-185E6B988AFB}" uniqueName="2" name="Parse" queryTableFieldId="7" dataDxfId="175"/>
    <tableColumn id="3" xr3:uid="{48F2ED9F-C1D5-492B-A37F-903BF7A2164C}" uniqueName="3" name="Column1" queryTableFieldId="8" dataDxfId="174">
      <calculatedColumnFormula>IFERROR(IF((F184-F183)&gt;1,(LARGE(F184:$F184,1)-LARGE(F$184:$F184,2))-1,""),"")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FE5938-6094-46DF-B71C-53C092BAE02F}" name="datasource_tranquility_type_id_20481051061071084578910111213" displayName="datasource_tranquility_type_id_20481051061071084578910111213" ref="B198:G212" tableType="queryTable" totalsRowShown="0">
  <autoFilter ref="B198:G212" xr:uid="{64FE5938-6094-46DF-B71C-53C092BAE02F}"/>
  <tableColumns count="6">
    <tableColumn id="1" xr3:uid="{FB96ED13-3833-468D-8D7B-B84E025DFCC3}" uniqueName="1" name="Column1.average" queryTableFieldId="1"/>
    <tableColumn id="4" xr3:uid="{E77A6C2B-28C4-4975-9E49-D0C54F1D20A6}" uniqueName="4" name="Column1.lowest" queryTableFieldId="4"/>
    <tableColumn id="5" xr3:uid="{1FB47A2D-2FD5-46B9-B28C-0F206507AB67}" uniqueName="5" name="Column1.order_count" queryTableFieldId="5"/>
    <tableColumn id="6" xr3:uid="{8B709254-2E96-4223-843F-E1E385E9BA84}" uniqueName="6" name="Column1.volume" queryTableFieldId="6"/>
    <tableColumn id="2" xr3:uid="{455D4D73-EB71-4E74-A73D-16650BEFBB02}" uniqueName="2" name="Parse" queryTableFieldId="7" dataDxfId="173"/>
    <tableColumn id="3" xr3:uid="{4BB203C8-5EAD-4155-88FD-52B22A90A605}" uniqueName="3" name="Column1" queryTableFieldId="8" dataDxfId="172">
      <calculatedColumnFormula>IFERROR(IF((F199-F198)&gt;1,(LARGE(F199:$F199,1)-LARGE(F$199:$F199,2))-1,""),"")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FFA956-73AA-4067-B4EE-632DB8AD367E}" name="datasource_tranquility_type_id_2048105106107108457891011121314" displayName="datasource_tranquility_type_id_2048105106107108457891011121314" ref="B213:G227" tableType="queryTable" totalsRowShown="0">
  <autoFilter ref="B213:G227" xr:uid="{82FFA956-73AA-4067-B4EE-632DB8AD367E}"/>
  <tableColumns count="6">
    <tableColumn id="1" xr3:uid="{C56C88B3-7D9D-4048-8205-630BB3FE5544}" uniqueName="1" name="Column1.average" queryTableFieldId="1"/>
    <tableColumn id="4" xr3:uid="{D51EF828-B059-41DA-B605-6C6F5CD0E015}" uniqueName="4" name="Column1.lowest" queryTableFieldId="4"/>
    <tableColumn id="5" xr3:uid="{40019139-8229-4B3B-BAB1-B8DCA25C0703}" uniqueName="5" name="Column1.order_count" queryTableFieldId="5"/>
    <tableColumn id="6" xr3:uid="{A7018F8F-99F0-4D00-A783-A14F4D4B3C25}" uniqueName="6" name="Column1.volume" queryTableFieldId="6"/>
    <tableColumn id="2" xr3:uid="{ECFFD00C-B19D-44F8-A596-50CC4C8AFBCC}" uniqueName="2" name="Parse" queryTableFieldId="7" dataDxfId="171"/>
    <tableColumn id="3" xr3:uid="{A0D1241B-DF24-45BD-9E20-0D810568B321}" uniqueName="3" name="Column1" queryTableFieldId="8" dataDxfId="170">
      <calculatedColumnFormula>IFERROR(IF((F214-F213)&gt;1,(LARGE(F214:$F214,1)-LARGE(F$214:$F214,2))-1,""),"")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5F2B9C-4FC2-455D-B244-98D872DF2EDD}" name="datasource_tranquility_type_id_204810510610710845789101112131415" displayName="datasource_tranquility_type_id_204810510610710845789101112131415" ref="B228:G242" tableType="queryTable" totalsRowShown="0">
  <autoFilter ref="B228:G242" xr:uid="{815F2B9C-4FC2-455D-B244-98D872DF2EDD}"/>
  <tableColumns count="6">
    <tableColumn id="1" xr3:uid="{CDFA073E-D573-4E54-B166-10F910D2F043}" uniqueName="1" name="Column1.average" queryTableFieldId="1"/>
    <tableColumn id="4" xr3:uid="{7E900143-9B02-45CE-8C61-EB8515C533E5}" uniqueName="4" name="Column1.lowest" queryTableFieldId="4"/>
    <tableColumn id="5" xr3:uid="{739EE427-0212-4471-94A5-DA7B3E7D1CE5}" uniqueName="5" name="Column1.order_count" queryTableFieldId="5"/>
    <tableColumn id="6" xr3:uid="{238B13AD-F0BE-489E-B5CC-979757383B9E}" uniqueName="6" name="Column1.volume" queryTableFieldId="6"/>
    <tableColumn id="2" xr3:uid="{1E8133DF-A720-4607-A432-0032B50ADA1F}" uniqueName="2" name="Parse" queryTableFieldId="7" dataDxfId="169"/>
    <tableColumn id="3" xr3:uid="{52218C7A-3EF4-46D5-BF42-D9E2E8C4135C}" uniqueName="3" name="Column1" queryTableFieldId="8" dataDxfId="168">
      <calculatedColumnFormula>IFERROR(IF((F229-F228)&gt;1,(LARGE(F229:$F229,1)-LARGE(F$229:$F229,2))-1,""),"")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124570-642E-4A2E-9FF4-9A389391E24E}" name="datasource_tranquility_type_id_20481051061071084578910111213141516" displayName="datasource_tranquility_type_id_20481051061071084578910111213141516" ref="B243:G257" tableType="queryTable" totalsRowShown="0">
  <autoFilter ref="B243:G257" xr:uid="{CE124570-642E-4A2E-9FF4-9A389391E24E}"/>
  <tableColumns count="6">
    <tableColumn id="1" xr3:uid="{D08E1E7D-9490-4AAE-A26C-861422E68466}" uniqueName="1" name="Column1.average" queryTableFieldId="1"/>
    <tableColumn id="4" xr3:uid="{F37F1593-7BD0-4CDC-9456-4D0AF0E01441}" uniqueName="4" name="Column1.lowest" queryTableFieldId="4"/>
    <tableColumn id="5" xr3:uid="{C71D30F0-5787-44D5-BC58-E489B052BF13}" uniqueName="5" name="Column1.order_count" queryTableFieldId="5"/>
    <tableColumn id="6" xr3:uid="{2638B789-D29F-4673-AA29-7198F21AD5AD}" uniqueName="6" name="Column1.volume" queryTableFieldId="6"/>
    <tableColumn id="2" xr3:uid="{E2444D22-66C1-4916-8F21-F2B7CBA327D4}" uniqueName="2" name="Parse" queryTableFieldId="7" dataDxfId="167"/>
    <tableColumn id="3" xr3:uid="{5D17E40B-6879-4511-B74F-D175456431B0}" uniqueName="3" name="Column1" queryTableFieldId="8" dataDxfId="166">
      <calculatedColumnFormula>IFERROR(IF((F244-F243)&gt;1,(LARGE(F244:$F244,1)-LARGE(F$244:$F244,2))-1,""),"")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DF8584E-4649-4329-8DDC-C293115F8DBA}" name="datasource_tranquility_type_id_2048105106107108457891011121314151617" displayName="datasource_tranquility_type_id_2048105106107108457891011121314151617" ref="B258:G272" tableType="queryTable" totalsRowShown="0">
  <autoFilter ref="B258:G272" xr:uid="{6DF8584E-4649-4329-8DDC-C293115F8DBA}"/>
  <tableColumns count="6">
    <tableColumn id="1" xr3:uid="{9ED1D7FA-6C83-4CD3-8B2E-5D7E3A868BE1}" uniqueName="1" name="Column1.average" queryTableFieldId="1"/>
    <tableColumn id="4" xr3:uid="{2552A7CF-7C6B-413B-8420-D98821754BB1}" uniqueName="4" name="Column1.lowest" queryTableFieldId="4"/>
    <tableColumn id="5" xr3:uid="{30BF2BF5-3124-4EBA-9366-85B09F6CAF0A}" uniqueName="5" name="Column1.order_count" queryTableFieldId="5"/>
    <tableColumn id="6" xr3:uid="{61773BD7-A386-44DF-8127-EB3BC186EE77}" uniqueName="6" name="Column1.volume" queryTableFieldId="6"/>
    <tableColumn id="2" xr3:uid="{10634E12-7400-4FE0-817B-25911FAEFF2A}" uniqueName="2" name="Parse" queryTableFieldId="7" dataDxfId="165"/>
    <tableColumn id="3" xr3:uid="{4FA6F118-5B95-4FDF-8C30-A1B69EAD2CD9}" uniqueName="3" name="Column1" queryTableFieldId="8" dataDxfId="164">
      <calculatedColumnFormula>IFERROR(IF((F259-F258)&gt;1,(LARGE(F259:$F259,1)-LARGE(F$259:$F259,2))-1,""),"")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7BAFC1-F259-4DCE-9E8C-4E8CD92431A2}" name="datasource_tranquility_type_id_204810510610710845789101112131415161718" displayName="datasource_tranquility_type_id_204810510610710845789101112131415161718" ref="B273:G287" tableType="queryTable" totalsRowShown="0">
  <autoFilter ref="B273:G287" xr:uid="{3B7BAFC1-F259-4DCE-9E8C-4E8CD92431A2}"/>
  <tableColumns count="6">
    <tableColumn id="1" xr3:uid="{B0BB3224-FB47-46F8-B410-2A15509305AA}" uniqueName="1" name="Column1.average" queryTableFieldId="1"/>
    <tableColumn id="4" xr3:uid="{9E950277-481E-4E26-8FE7-8FB13770CE00}" uniqueName="4" name="Column1.lowest" queryTableFieldId="4"/>
    <tableColumn id="5" xr3:uid="{54014EF0-1C34-4846-B092-8360518B0EB4}" uniqueName="5" name="Column1.order_count" queryTableFieldId="5"/>
    <tableColumn id="6" xr3:uid="{8A3435F8-CD54-4D21-BAC5-11E3F5E34DD4}" uniqueName="6" name="Column1.volume" queryTableFieldId="6"/>
    <tableColumn id="2" xr3:uid="{C1B09A61-BA6A-42B2-9C2D-204ADE768D41}" uniqueName="2" name="Parse" queryTableFieldId="7" dataDxfId="163"/>
    <tableColumn id="3" xr3:uid="{DAAB44E3-E4C9-427D-83B0-19B3DAB4E999}" uniqueName="3" name="Column1" queryTableFieldId="8" dataDxfId="162">
      <calculatedColumnFormula>IFERROR(IF((F274-F273)&gt;1,(LARGE(F274:$F274,1)-LARGE(F$274:$F274,2))-1,""),"")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A19A66-5292-4BED-A226-85CED02096DE}" name="datasource_tranquility_type_id_20481051061071084578910111213141516171819" displayName="datasource_tranquility_type_id_20481051061071084578910111213141516171819" ref="B288:G302" tableType="queryTable" totalsRowShown="0">
  <autoFilter ref="B288:G302" xr:uid="{88A19A66-5292-4BED-A226-85CED02096DE}"/>
  <tableColumns count="6">
    <tableColumn id="1" xr3:uid="{34CC382A-8EBF-4F81-876A-15EAAF832387}" uniqueName="1" name="Column1.average" queryTableFieldId="1"/>
    <tableColumn id="4" xr3:uid="{35CB8A63-7158-4A6F-9E84-FCE96EEE1A24}" uniqueName="4" name="Column1.lowest" queryTableFieldId="4"/>
    <tableColumn id="5" xr3:uid="{EFA847CA-B2AC-478B-AD80-9D27073E913C}" uniqueName="5" name="Column1.order_count" queryTableFieldId="5"/>
    <tableColumn id="6" xr3:uid="{48D0501A-3009-48C2-8D7A-AD9DB64DA740}" uniqueName="6" name="Column1.volume" queryTableFieldId="6"/>
    <tableColumn id="2" xr3:uid="{302C4DB4-A037-47CA-930C-598B1680C5C5}" uniqueName="2" name="Parse" queryTableFieldId="7" dataDxfId="161"/>
    <tableColumn id="3" xr3:uid="{94B81C39-91B7-44A3-A26F-E18258ADEF69}" uniqueName="3" name="Column1" queryTableFieldId="8" dataDxfId="160">
      <calculatedColumnFormula>IFERROR(IF((F289-F288)&gt;1,(LARGE(F289:$F289,1)-LARGE(F$289:$F289,2))-1,""),"")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4169B63-CA03-44AB-A96B-E72FF8C9148E}" name="datasource_tranquility_type_id_2048105106107108457891011121314151617181920" displayName="datasource_tranquility_type_id_2048105106107108457891011121314151617181920" ref="B303:G317" tableType="queryTable" totalsRowShown="0">
  <autoFilter ref="B303:G317" xr:uid="{14169B63-CA03-44AB-A96B-E72FF8C9148E}"/>
  <tableColumns count="6">
    <tableColumn id="1" xr3:uid="{C4A0E79B-FA3F-4E22-B580-14C6F27AFFC9}" uniqueName="1" name="Column1.average" queryTableFieldId="1"/>
    <tableColumn id="4" xr3:uid="{CF940453-1FE6-47EB-B0FE-7F4AE092B878}" uniqueName="4" name="Column1.lowest" queryTableFieldId="4"/>
    <tableColumn id="5" xr3:uid="{14EFA75F-B2C7-494E-93C3-CC771724EF11}" uniqueName="5" name="Column1.order_count" queryTableFieldId="5"/>
    <tableColumn id="6" xr3:uid="{0F1CB052-D8A9-4F06-A05E-A048A1483C66}" uniqueName="6" name="Column1.volume" queryTableFieldId="6"/>
    <tableColumn id="2" xr3:uid="{C13BFAEA-5956-4750-B0FE-0F4DE87FDFD7}" uniqueName="2" name="Parse" queryTableFieldId="7" dataDxfId="159"/>
    <tableColumn id="3" xr3:uid="{8BD212DE-BB28-4992-94D5-0C4F057F71A9}" uniqueName="3" name="Column1" queryTableFieldId="8" dataDxfId="158">
      <calculatedColumnFormula>IFERROR(IF((F304-F303)&gt;1,(LARGE(F304:$F304,1)-LARGE(F$304:$F304,2))-1,""),"")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EF043B7-357D-4AC8-8046-4616515E5A3D}" name="datasource_tranquility_type_id_204810510610710845789101112131415161718192021" displayName="datasource_tranquility_type_id_204810510610710845789101112131415161718192021" ref="B318:G332" tableType="queryTable" totalsRowShown="0">
  <autoFilter ref="B318:G332" xr:uid="{AEF043B7-357D-4AC8-8046-4616515E5A3D}"/>
  <tableColumns count="6">
    <tableColumn id="1" xr3:uid="{67914F14-365E-4FE1-A523-B675210508CE}" uniqueName="1" name="Column1.average" queryTableFieldId="1"/>
    <tableColumn id="4" xr3:uid="{C71F8D7B-F32F-486B-A948-5EF02077ABA2}" uniqueName="4" name="Column1.lowest" queryTableFieldId="4"/>
    <tableColumn id="5" xr3:uid="{358D4FC7-79FB-4FAB-A50F-26A226F3FDA1}" uniqueName="5" name="Column1.order_count" queryTableFieldId="5"/>
    <tableColumn id="6" xr3:uid="{38FE8E7C-3414-4A89-B9B3-6E618E81FD96}" uniqueName="6" name="Column1.volume" queryTableFieldId="6"/>
    <tableColumn id="2" xr3:uid="{1348BAE9-8FB2-49C9-8316-1F75197458BF}" uniqueName="2" name="Parse" queryTableFieldId="7" dataDxfId="157"/>
    <tableColumn id="3" xr3:uid="{5E56B818-0BF2-4F64-B3BE-85202638F8C8}" uniqueName="3" name="Column1" queryTableFieldId="8" dataDxfId="156">
      <calculatedColumnFormula>IFERROR(IF((F319-F318)&gt;1,(LARGE(F319:$F319,1)-LARGE(F$319:$F319,2))-1,""),"")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8F2F417-6C5A-456C-B27F-B2F5AE4FE4ED}" name="datasource_tranquility_type_id_20481051061071084578910111213141516171819202122" displayName="datasource_tranquility_type_id_20481051061071084578910111213141516171819202122" ref="B333:G347" tableType="queryTable" totalsRowShown="0">
  <autoFilter ref="B333:G347" xr:uid="{68F2F417-6C5A-456C-B27F-B2F5AE4FE4ED}"/>
  <tableColumns count="6">
    <tableColumn id="1" xr3:uid="{CBC85DC5-CFC3-4756-9774-4F626E83FFC1}" uniqueName="1" name="Column1.average" queryTableFieldId="1"/>
    <tableColumn id="4" xr3:uid="{35B2BC10-399A-418D-A4A3-3156016F37EF}" uniqueName="4" name="Column1.lowest" queryTableFieldId="4"/>
    <tableColumn id="5" xr3:uid="{57AC83D1-2321-4B61-B290-4AF6F580C909}" uniqueName="5" name="Column1.order_count" queryTableFieldId="5"/>
    <tableColumn id="6" xr3:uid="{C68ED0DA-BC1B-4111-9B4E-4DAD1B2362C4}" uniqueName="6" name="Column1.volume" queryTableFieldId="6"/>
    <tableColumn id="2" xr3:uid="{00F0CAC1-930F-445E-8D58-4514AE8A2B0D}" uniqueName="2" name="Parse" queryTableFieldId="7" dataDxfId="155"/>
    <tableColumn id="3" xr3:uid="{A26C3F70-164C-4A92-B4FC-49CF39239DDF}" uniqueName="3" name="Column1" queryTableFieldId="8" dataDxfId="154">
      <calculatedColumnFormula>IFERROR(IF((F334-F333)&gt;1,(LARGE(F334:$F334,1)-LARGE(F$334:$F334,2))-1,""),"")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16C4F7-B888-4564-9F95-5EC6E14CC26F}" name="datasource_tranquility_type_id_2048105106107108457891011121314151617181920212223" displayName="datasource_tranquility_type_id_2048105106107108457891011121314151617181920212223" ref="B348:G362" tableType="queryTable" totalsRowShown="0">
  <autoFilter ref="B348:G362" xr:uid="{2316C4F7-B888-4564-9F95-5EC6E14CC26F}"/>
  <tableColumns count="6">
    <tableColumn id="1" xr3:uid="{3F3AEE75-DEC0-4EBD-BCC2-119B18682250}" uniqueName="1" name="Column1.average" queryTableFieldId="1"/>
    <tableColumn id="4" xr3:uid="{A203301A-4711-4C79-B006-BD9A3DB91731}" uniqueName="4" name="Column1.lowest" queryTableFieldId="4"/>
    <tableColumn id="5" xr3:uid="{4A20F2BC-DFEF-447C-8B3A-89E7FB799933}" uniqueName="5" name="Column1.order_count" queryTableFieldId="5"/>
    <tableColumn id="6" xr3:uid="{DFA6544D-0623-4E83-85DF-C442D42DF1C8}" uniqueName="6" name="Column1.volume" queryTableFieldId="6"/>
    <tableColumn id="2" xr3:uid="{5D574EAD-A925-4011-8637-E35F40A84AA8}" uniqueName="2" name="Parse" queryTableFieldId="7" dataDxfId="153"/>
    <tableColumn id="3" xr3:uid="{5AE04B27-DDC6-4D1F-8FC0-994614302B09}" uniqueName="3" name="Column1" queryTableFieldId="8" dataDxfId="152">
      <calculatedColumnFormula>IFERROR(IF((F349-F348)&gt;1,(LARGE(F349:$F349,1)-LARGE(F$349:$F349,2))-1,""),"")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2F6C118-1F6E-4DE9-ADAE-0D8AC6902284}" name="datasource_tranquility_type_id_204810510610710845789101112131415161718192021222324" displayName="datasource_tranquility_type_id_204810510610710845789101112131415161718192021222324" ref="B363:G377" tableType="queryTable" totalsRowShown="0">
  <autoFilter ref="B363:G377" xr:uid="{82F6C118-1F6E-4DE9-ADAE-0D8AC6902284}"/>
  <tableColumns count="6">
    <tableColumn id="1" xr3:uid="{A965912B-3439-42AC-85E0-31D7F0358541}" uniqueName="1" name="Column1.average" queryTableFieldId="1"/>
    <tableColumn id="4" xr3:uid="{99714C35-D139-45B4-B0E9-C2AC848924F1}" uniqueName="4" name="Column1.lowest" queryTableFieldId="4"/>
    <tableColumn id="5" xr3:uid="{A43FF90A-986E-4E99-A3ED-CF7D8FE29784}" uniqueName="5" name="Column1.order_count" queryTableFieldId="5"/>
    <tableColumn id="6" xr3:uid="{52DFA143-2076-4AFF-8035-2ED61120BC2C}" uniqueName="6" name="Column1.volume" queryTableFieldId="6"/>
    <tableColumn id="2" xr3:uid="{260767C7-77CD-4452-9A2B-F7BC7A7531EB}" uniqueName="2" name="Parse" queryTableFieldId="7" dataDxfId="151"/>
    <tableColumn id="3" xr3:uid="{1E608BA7-B1DE-406B-8311-A8579056C7F6}" uniqueName="3" name="Column1" queryTableFieldId="8" dataDxfId="150">
      <calculatedColumnFormula>IFERROR(IF((F364-F363)&gt;1,(LARGE(F364:$F364,1)-LARGE(F$364:$F364,2))-1,""),"")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3FE9918-BAB4-4011-8019-23DFEC2B9203}" name="datasource_tranquility_type_id_20481051061071084578910111213141516171819202122232425" displayName="datasource_tranquility_type_id_20481051061071084578910111213141516171819202122232425" ref="B378:G392" tableType="queryTable" totalsRowShown="0">
  <autoFilter ref="B378:G392" xr:uid="{63FE9918-BAB4-4011-8019-23DFEC2B9203}"/>
  <tableColumns count="6">
    <tableColumn id="1" xr3:uid="{659C42B8-91B3-419F-B382-02B41D4257BC}" uniqueName="1" name="Column1.average" queryTableFieldId="1"/>
    <tableColumn id="4" xr3:uid="{A12AE575-FDA6-4600-A0A2-A061E5C4A2A6}" uniqueName="4" name="Column1.lowest" queryTableFieldId="4"/>
    <tableColumn id="5" xr3:uid="{A1F137FC-50C4-43E0-B9DC-D8B7E76581E3}" uniqueName="5" name="Column1.order_count" queryTableFieldId="5"/>
    <tableColumn id="6" xr3:uid="{406BE8C8-DF2C-4566-B45F-4B3F16F5B3D4}" uniqueName="6" name="Column1.volume" queryTableFieldId="6"/>
    <tableColumn id="2" xr3:uid="{9FE2FE24-F8A3-46F0-830E-50F74EABDA09}" uniqueName="2" name="Parse" queryTableFieldId="7" dataDxfId="149"/>
    <tableColumn id="3" xr3:uid="{39B50E70-B21C-4503-9D2D-DC8A5385BB9F}" uniqueName="3" name="Column1" queryTableFieldId="8" dataDxfId="148">
      <calculatedColumnFormula>IFERROR(IF((F379-F378)&gt;1,(LARGE(F379:$F379,1)-LARGE(F$379:$F379,2))-1,""),"")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D5D1A65-58F7-4C46-9D8B-979C2194A8D7}" name="datasource_tranquility_type_id_2048105106107108457891011121314151617181920212223242526" displayName="datasource_tranquility_type_id_2048105106107108457891011121314151617181920212223242526" ref="B393:G407" tableType="queryTable" totalsRowShown="0">
  <autoFilter ref="B393:G407" xr:uid="{CD5D1A65-58F7-4C46-9D8B-979C2194A8D7}"/>
  <tableColumns count="6">
    <tableColumn id="1" xr3:uid="{B767A94B-3269-437A-8D07-83D09E5111BC}" uniqueName="1" name="Column1.average" queryTableFieldId="1"/>
    <tableColumn id="4" xr3:uid="{B833C5F8-56E7-46E2-B937-70A42138B061}" uniqueName="4" name="Column1.lowest" queryTableFieldId="4"/>
    <tableColumn id="5" xr3:uid="{C43152E2-1028-4706-8564-2F95E9427212}" uniqueName="5" name="Column1.order_count" queryTableFieldId="5"/>
    <tableColumn id="6" xr3:uid="{C8C76870-7313-4DD9-9387-68BD2CEB3FF4}" uniqueName="6" name="Column1.volume" queryTableFieldId="6"/>
    <tableColumn id="2" xr3:uid="{E6202F45-387E-4094-97D2-06F0BA97EA3F}" uniqueName="2" name="Parse" queryTableFieldId="7" dataDxfId="147"/>
    <tableColumn id="3" xr3:uid="{A30AD665-E75C-4D21-8C7D-B2CE8FA503CF}" uniqueName="3" name="Column1" queryTableFieldId="8" dataDxfId="146">
      <calculatedColumnFormula>IFERROR(IF((F394-F393)&gt;1,(LARGE(F394:$F394,1)-LARGE(F$394:$F394,2))-1,""),"")</calculatedColumnFormula>
    </tableColumn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B9D41D1-73DB-4F27-AAB5-0BED7A777595}" name="datasource_tranquility_type_id_204810510610710845789101112131415161718192021222324252627" displayName="datasource_tranquility_type_id_204810510610710845789101112131415161718192021222324252627" ref="B408:G422" tableType="queryTable" totalsRowShown="0">
  <autoFilter ref="B408:G422" xr:uid="{0B9D41D1-73DB-4F27-AAB5-0BED7A777595}"/>
  <tableColumns count="6">
    <tableColumn id="1" xr3:uid="{78C2A978-0036-4C30-BA11-09B0F65C8441}" uniqueName="1" name="Column1.average" queryTableFieldId="1"/>
    <tableColumn id="4" xr3:uid="{C0A226AB-118D-4647-B75D-36BE02442C61}" uniqueName="4" name="Column1.lowest" queryTableFieldId="4"/>
    <tableColumn id="5" xr3:uid="{4623CA93-BB61-4555-8010-4FF256034030}" uniqueName="5" name="Column1.order_count" queryTableFieldId="5"/>
    <tableColumn id="6" xr3:uid="{900B510E-427A-46E6-A0B2-212D88D39C2A}" uniqueName="6" name="Column1.volume" queryTableFieldId="6"/>
    <tableColumn id="2" xr3:uid="{30C9A7C0-C820-41E7-A190-2C2675B6A17F}" uniqueName="2" name="Parse" queryTableFieldId="7" dataDxfId="145"/>
    <tableColumn id="3" xr3:uid="{536AD163-D846-4722-96E3-5863A0B0BDEE}" uniqueName="3" name="Column1" queryTableFieldId="8" dataDxfId="144">
      <calculatedColumnFormula>IFERROR(IF((F409-F408)&gt;1,(LARGE(F409:$F409,1)-LARGE(F$409:$F409,2))-1,""),"")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C07A0FC-7904-4B3D-8573-6A6B9688CD96}" name="datasource_tranquility_type_id_20481051061071084578910111213141516171819202122232425262728" displayName="datasource_tranquility_type_id_20481051061071084578910111213141516171819202122232425262728" ref="B423:G437" tableType="queryTable" totalsRowShown="0">
  <autoFilter ref="B423:G437" xr:uid="{0C07A0FC-7904-4B3D-8573-6A6B9688CD96}"/>
  <tableColumns count="6">
    <tableColumn id="1" xr3:uid="{307BC85B-1675-48B6-947C-4206E53C31C4}" uniqueName="1" name="Column1.average" queryTableFieldId="1"/>
    <tableColumn id="4" xr3:uid="{0A3742F1-339D-4B47-897D-331A1F2A8A7B}" uniqueName="4" name="Column1.lowest" queryTableFieldId="4"/>
    <tableColumn id="5" xr3:uid="{8DEEA8B9-95CC-42F8-AFC3-D05F9C5B3E3C}" uniqueName="5" name="Column1.order_count" queryTableFieldId="5"/>
    <tableColumn id="6" xr3:uid="{879CB899-A4BF-4B06-BFE6-1C25FB3A8663}" uniqueName="6" name="Column1.volume" queryTableFieldId="6"/>
    <tableColumn id="2" xr3:uid="{64044C75-D612-4CF4-86C0-A067086274B5}" uniqueName="2" name="Parse" queryTableFieldId="7" dataDxfId="143"/>
    <tableColumn id="3" xr3:uid="{525BB6D3-DE6A-4E94-8D15-CF8F6E0BEF58}" uniqueName="3" name="Column1" queryTableFieldId="8" dataDxfId="142">
      <calculatedColumnFormula>IFERROR(IF((F424-F423)&gt;1,(LARGE(F424:$F424,1)-LARGE(F$424:$F424,2))-1,""),"")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F6AFBA-397A-46B4-A147-895748A58AC8}" name="datasource_tranquility_type_id_2048105106107108457891011121314151617181920212223242526272829" displayName="datasource_tranquility_type_id_2048105106107108457891011121314151617181920212223242526272829" ref="B438:G452" tableType="queryTable" totalsRowShown="0">
  <autoFilter ref="B438:G452" xr:uid="{2DF6AFBA-397A-46B4-A147-895748A58AC8}"/>
  <tableColumns count="6">
    <tableColumn id="1" xr3:uid="{679A538B-1DDF-40AD-B3F4-7413C7555629}" uniqueName="1" name="Column1.average" queryTableFieldId="1"/>
    <tableColumn id="4" xr3:uid="{6E1C49F7-2D6D-4B8C-9F65-85874C5458B0}" uniqueName="4" name="Column1.lowest" queryTableFieldId="4"/>
    <tableColumn id="5" xr3:uid="{28E8FD19-ADD0-425C-98E2-1FB12E57A7F6}" uniqueName="5" name="Column1.order_count" queryTableFieldId="5"/>
    <tableColumn id="6" xr3:uid="{9833117E-BF27-4911-8395-B4C03A8D0030}" uniqueName="6" name="Column1.volume" queryTableFieldId="6"/>
    <tableColumn id="2" xr3:uid="{4D910C92-5008-4BCE-9A3B-F036DEE4DA30}" uniqueName="2" name="Parse" queryTableFieldId="7" dataDxfId="141"/>
    <tableColumn id="3" xr3:uid="{F370FB14-12B6-46FA-A091-A0636D4DEDD2}" uniqueName="3" name="Column1" queryTableFieldId="8" dataDxfId="140">
      <calculatedColumnFormula>IFERROR(IF((F439-F438)&gt;1,(LARGE(F439:$F439,1)-LARGE(F$439:$F439,2))-1,""),"")</calculatedColumnFormula>
    </tableColumn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E920292-82E7-4356-98AE-57472C5517B1}" name="datasource_tranquility_type_id_204810510610710845789101112131415161718192021222324252627282930" displayName="datasource_tranquility_type_id_204810510610710845789101112131415161718192021222324252627282930" ref="B453:G467" tableType="queryTable" totalsRowShown="0">
  <autoFilter ref="B453:G467" xr:uid="{3E920292-82E7-4356-98AE-57472C5517B1}"/>
  <tableColumns count="6">
    <tableColumn id="1" xr3:uid="{1FB477F5-C869-4B51-AB3D-4E34BBDB7727}" uniqueName="1" name="Column1.average" queryTableFieldId="1"/>
    <tableColumn id="4" xr3:uid="{6AE82A3B-F988-4F0D-865C-6751B0F334B2}" uniqueName="4" name="Column1.lowest" queryTableFieldId="4"/>
    <tableColumn id="5" xr3:uid="{D5B9E102-5E45-404B-8F13-EF1F45E9966C}" uniqueName="5" name="Column1.order_count" queryTableFieldId="5"/>
    <tableColumn id="6" xr3:uid="{AA740525-4B60-482C-A690-44F15F257438}" uniqueName="6" name="Column1.volume" queryTableFieldId="6"/>
    <tableColumn id="2" xr3:uid="{34928509-2FA2-4BAA-892B-3EAD7341D9A3}" uniqueName="2" name="Parse" queryTableFieldId="7" dataDxfId="139"/>
    <tableColumn id="3" xr3:uid="{5EADB032-643C-4E1A-822C-1F65B33A3A1D}" uniqueName="3" name="Column1" queryTableFieldId="8" dataDxfId="138">
      <calculatedColumnFormula>IFERROR(IF((F454-F453)&gt;1,(LARGE(F454:$F454,1)-LARGE(F$454:$F454,2))-1,""),"")</calculatedColumnFormula>
    </tableColumn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6DA6CAB-EB11-46B5-B76B-136AB07795AE}" name="datasource_tranquility_type_id_20481051061071084578910111213141516171819202122232425262728293031" displayName="datasource_tranquility_type_id_20481051061071084578910111213141516171819202122232425262728293031" ref="B468:G482" tableType="queryTable" totalsRowShown="0">
  <autoFilter ref="B468:G482" xr:uid="{76DA6CAB-EB11-46B5-B76B-136AB07795AE}"/>
  <tableColumns count="6">
    <tableColumn id="1" xr3:uid="{CC8966BC-53C9-479A-841B-F27CFD285351}" uniqueName="1" name="Column1.average" queryTableFieldId="1"/>
    <tableColumn id="4" xr3:uid="{33C20E53-A308-4C7D-B21E-08B4D08DA279}" uniqueName="4" name="Column1.lowest" queryTableFieldId="4"/>
    <tableColumn id="5" xr3:uid="{CF54E037-0C26-454E-93DA-318483DD64CB}" uniqueName="5" name="Column1.order_count" queryTableFieldId="5"/>
    <tableColumn id="6" xr3:uid="{2436C1DB-3FF0-442E-A370-C056FF61BD74}" uniqueName="6" name="Column1.volume" queryTableFieldId="6"/>
    <tableColumn id="2" xr3:uid="{35C2ABC4-B10C-4CAF-9AF5-FF4843C3980A}" uniqueName="2" name="Parse" queryTableFieldId="7" dataDxfId="137"/>
    <tableColumn id="3" xr3:uid="{1A2DB773-2A24-48D6-AC2D-BBED2DD71FD2}" uniqueName="3" name="Column1" queryTableFieldId="8" dataDxfId="136">
      <calculatedColumnFormula>IFERROR(IF((F469-F468)&gt;1,(LARGE(F469:$F469,1)-LARGE(F$469:$F469,2))-1,""),"")</calculatedColumnFormula>
    </tableColumn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477FB7A-485C-44A0-9ED6-F0B789EA6BB9}" name="datasource_tranquility_type_id_2048105106107108457891011121314151617181920212223242526272829303132" displayName="datasource_tranquility_type_id_2048105106107108457891011121314151617181920212223242526272829303132" ref="B483:G497" tableType="queryTable" totalsRowShown="0">
  <autoFilter ref="B483:G497" xr:uid="{F477FB7A-485C-44A0-9ED6-F0B789EA6BB9}"/>
  <tableColumns count="6">
    <tableColumn id="1" xr3:uid="{1D85CD71-1AA3-4575-8747-CC5E6BC142BE}" uniqueName="1" name="Column1.average" queryTableFieldId="1"/>
    <tableColumn id="4" xr3:uid="{70F835A0-E3E9-4052-8649-224C896DC557}" uniqueName="4" name="Column1.lowest" queryTableFieldId="4"/>
    <tableColumn id="5" xr3:uid="{7FA3FE50-23DA-4CD7-BE33-65215CD62471}" uniqueName="5" name="Column1.order_count" queryTableFieldId="5"/>
    <tableColumn id="6" xr3:uid="{F6373EA8-C0DE-490D-9B55-A6919A15E1D1}" uniqueName="6" name="Column1.volume" queryTableFieldId="6"/>
    <tableColumn id="2" xr3:uid="{E6CEB3BA-FE2A-459A-A09D-E14ECA69D22A}" uniqueName="2" name="Parse" queryTableFieldId="7" dataDxfId="135"/>
    <tableColumn id="3" xr3:uid="{82C1E7FD-1059-4BA8-885B-AE3E4B52FC04}" uniqueName="3" name="Column1" queryTableFieldId="8" dataDxfId="134">
      <calculatedColumnFormula>IFERROR(IF((F484-F483)&gt;1,(LARGE(F484:$F484,1)-LARGE(F$484:$F484,2))-1,""),"")</calculatedColumnFormula>
    </tableColumn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6F49577-237D-49E1-A4EC-4E2D57F0F689}" name="datasource_tranquility_type_id_204810510610710845789101112131415161718192021222324252627282930313233" displayName="datasource_tranquility_type_id_204810510610710845789101112131415161718192021222324252627282930313233" ref="B498:G512" tableType="queryTable" totalsRowShown="0">
  <autoFilter ref="B498:G512" xr:uid="{36F49577-237D-49E1-A4EC-4E2D57F0F689}"/>
  <tableColumns count="6">
    <tableColumn id="1" xr3:uid="{35E30D9F-AB74-4123-BBE5-19AB4553E1A2}" uniqueName="1" name="Column1.average" queryTableFieldId="1"/>
    <tableColumn id="4" xr3:uid="{A862B8E6-DEB9-47A3-A8A2-72A804EEB382}" uniqueName="4" name="Column1.lowest" queryTableFieldId="4"/>
    <tableColumn id="5" xr3:uid="{B4B67BAC-8C84-4564-9C3F-B581F77A3211}" uniqueName="5" name="Column1.order_count" queryTableFieldId="5"/>
    <tableColumn id="6" xr3:uid="{3E45D285-410A-4558-B839-2974CB632D01}" uniqueName="6" name="Column1.volume" queryTableFieldId="6"/>
    <tableColumn id="2" xr3:uid="{7CA6199F-EA98-4F67-85D5-47981AEE4389}" uniqueName="2" name="Parse" queryTableFieldId="7" dataDxfId="133"/>
    <tableColumn id="3" xr3:uid="{D6175245-40C6-4621-ADA5-E78AD90FE091}" uniqueName="3" name="Column1" queryTableFieldId="8" dataDxfId="132">
      <calculatedColumnFormula>IFERROR(IF((F499-F498)&gt;1,(LARGE(F499:$F499,1)-LARGE(F$499:$F499,2))-1,""),"")</calculatedColumnFormula>
    </tableColumn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B97DE35-B6E5-455E-A3CB-C1F56EE8A3F1}" name="datasource_tranquility_type_id_20481051061071084578910111213141516171819202122232425262728293031323334" displayName="datasource_tranquility_type_id_20481051061071084578910111213141516171819202122232425262728293031323334" ref="B513:G527" tableType="queryTable" totalsRowShown="0">
  <autoFilter ref="B513:G527" xr:uid="{5B97DE35-B6E5-455E-A3CB-C1F56EE8A3F1}"/>
  <tableColumns count="6">
    <tableColumn id="1" xr3:uid="{AE9BD600-7389-4C2D-ADDB-9F6EF7E5CA5F}" uniqueName="1" name="Column1.average" queryTableFieldId="1"/>
    <tableColumn id="4" xr3:uid="{C1464DFA-F9DC-4C1C-AEEC-35F002CF62E1}" uniqueName="4" name="Column1.lowest" queryTableFieldId="4"/>
    <tableColumn id="5" xr3:uid="{35F86954-3842-42EB-BF9D-A4FF3A9B1242}" uniqueName="5" name="Column1.order_count" queryTableFieldId="5"/>
    <tableColumn id="6" xr3:uid="{1C82E859-1EDB-4FD0-A661-FD8DC11457DD}" uniqueName="6" name="Column1.volume" queryTableFieldId="6"/>
    <tableColumn id="2" xr3:uid="{68FA862B-49C4-4EB5-8B51-8950FD62F136}" uniqueName="2" name="Parse" queryTableFieldId="7" dataDxfId="131"/>
    <tableColumn id="3" xr3:uid="{A926C164-5FB4-419E-A711-0C993917D6F7}" uniqueName="3" name="Column1" queryTableFieldId="8" dataDxfId="130">
      <calculatedColumnFormula>IFERROR(IF((F514-F513)&gt;1,(LARGE(F514:$F514,1)-LARGE(F$514:$F514,2))-1,""),"")</calculatedColumnFormula>
    </tableColumn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5AD736B-4903-4294-837B-08B92794E49C}" name="datasource_tranquility_type_id_2048105106107108457891011121314151617181920212223242526272829303132333435" displayName="datasource_tranquility_type_id_2048105106107108457891011121314151617181920212223242526272829303132333435" ref="B528:G542" tableType="queryTable" totalsRowShown="0">
  <autoFilter ref="B528:G542" xr:uid="{A5AD736B-4903-4294-837B-08B92794E49C}"/>
  <tableColumns count="6">
    <tableColumn id="1" xr3:uid="{03B57C15-F747-4956-A3F9-75196CE387B2}" uniqueName="1" name="Column1.average" queryTableFieldId="1"/>
    <tableColumn id="4" xr3:uid="{551BF537-B0E5-492A-B364-5EBAD1486B1B}" uniqueName="4" name="Column1.lowest" queryTableFieldId="4"/>
    <tableColumn id="5" xr3:uid="{3A4C729B-D2D1-4BFD-8E90-008D3EBD1895}" uniqueName="5" name="Column1.order_count" queryTableFieldId="5"/>
    <tableColumn id="6" xr3:uid="{56397719-5B2B-48D1-BC74-183337688A61}" uniqueName="6" name="Column1.volume" queryTableFieldId="6"/>
    <tableColumn id="2" xr3:uid="{D0A690B2-6DB2-43ED-B0F5-999CA65C7B17}" uniqueName="2" name="Parse" queryTableFieldId="7" dataDxfId="129"/>
    <tableColumn id="3" xr3:uid="{4748B1FB-5FBF-489E-8120-F07CFF3B40A9}" uniqueName="3" name="Column1" queryTableFieldId="8" dataDxfId="128">
      <calculatedColumnFormula>IFERROR(IF((F529-F528)&gt;1,(LARGE(F529:$F529,1)-LARGE(F$529:$F529,2))-1,""),"")</calculatedColumnFormula>
    </tableColumn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D887F4F-05C1-470E-9B01-0C4A0389C617}" name="datasource_tranquility_type_id_204810510610710845789101112131415161718192021222324252627282930313233343536" displayName="datasource_tranquility_type_id_204810510610710845789101112131415161718192021222324252627282930313233343536" ref="B543:G557" tableType="queryTable" totalsRowShown="0">
  <autoFilter ref="B543:G557" xr:uid="{1D887F4F-05C1-470E-9B01-0C4A0389C617}"/>
  <tableColumns count="6">
    <tableColumn id="1" xr3:uid="{0E147E3F-EA2A-4A0E-BC1F-C48617CCED98}" uniqueName="1" name="Column1.average" queryTableFieldId="1"/>
    <tableColumn id="4" xr3:uid="{3F100885-7D05-4046-811B-DAB43BC0CBC2}" uniqueName="4" name="Column1.lowest" queryTableFieldId="4"/>
    <tableColumn id="5" xr3:uid="{1EB8FFC8-DFDC-4B02-AEF4-A2D89F824FBA}" uniqueName="5" name="Column1.order_count" queryTableFieldId="5"/>
    <tableColumn id="6" xr3:uid="{5257D607-1FEC-4ED3-847D-CA9ABE654292}" uniqueName="6" name="Column1.volume" queryTableFieldId="6"/>
    <tableColumn id="2" xr3:uid="{1723A2F5-A87F-42DC-B392-24153B26C55F}" uniqueName="2" name="Parse" queryTableFieldId="7" dataDxfId="127"/>
    <tableColumn id="3" xr3:uid="{8F11AFCC-62C2-41B3-B884-2C55B2829CBD}" uniqueName="3" name="Column1" queryTableFieldId="8" dataDxfId="126">
      <calculatedColumnFormula>IFERROR(IF((F544-F543)&gt;1,(LARGE(F544:$F544,1)-LARGE(F$544:$F544,2))-1,""),"")</calculatedColumnFormula>
    </tableColumn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F82DADA-467A-4370-91E0-C460F0C258BC}" name="datasource_tranquility_type_id_20481051061071084578910111213141516171819202122232425262728293031323334353637" displayName="datasource_tranquility_type_id_20481051061071084578910111213141516171819202122232425262728293031323334353637" ref="B558:G572" tableType="queryTable" totalsRowShown="0">
  <autoFilter ref="B558:G572" xr:uid="{5F82DADA-467A-4370-91E0-C460F0C258BC}"/>
  <tableColumns count="6">
    <tableColumn id="1" xr3:uid="{4B267EDC-59BF-41D2-819E-D505259763FD}" uniqueName="1" name="Column1.average" queryTableFieldId="1"/>
    <tableColumn id="4" xr3:uid="{2F8B6D12-0AA2-43D2-88B0-F16F01800A56}" uniqueName="4" name="Column1.lowest" queryTableFieldId="4"/>
    <tableColumn id="5" xr3:uid="{15FA4779-0EBD-42C9-B597-D80C03FE536F}" uniqueName="5" name="Column1.order_count" queryTableFieldId="5"/>
    <tableColumn id="6" xr3:uid="{FACCF093-C804-4429-85EF-0D4CA86F0A41}" uniqueName="6" name="Column1.volume" queryTableFieldId="6"/>
    <tableColumn id="2" xr3:uid="{B65C9999-DEF3-42B8-9266-88E53BA6EE85}" uniqueName="2" name="Parse" queryTableFieldId="7" dataDxfId="125"/>
    <tableColumn id="3" xr3:uid="{76AA7A56-35C0-41BF-A163-B1D27E54B3D7}" uniqueName="3" name="Column1" queryTableFieldId="8" dataDxfId="124">
      <calculatedColumnFormula>IFERROR(IF((F559-F558)&gt;1,(LARGE(F559:$F559,1)-LARGE(F$559:$F559,2))-1,""),"")</calculatedColumnFormula>
    </tableColumn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0463C44-E11A-460A-A8EB-7A6EEEDDFE26}" name="datasource_tranquility_type_id_2048105106107108457891011121314151617181920212223242526272829303132333435363738" displayName="datasource_tranquility_type_id_2048105106107108457891011121314151617181920212223242526272829303132333435363738" ref="B573:G587" tableType="queryTable" totalsRowShown="0">
  <autoFilter ref="B573:G587" xr:uid="{10463C44-E11A-460A-A8EB-7A6EEEDDFE26}"/>
  <tableColumns count="6">
    <tableColumn id="1" xr3:uid="{014129A4-AC89-4D37-90B1-51696BAB6E71}" uniqueName="1" name="Column1.average" queryTableFieldId="1"/>
    <tableColumn id="4" xr3:uid="{3EA2CD1C-E562-43CB-AEE6-E95AD86165BA}" uniqueName="4" name="Column1.lowest" queryTableFieldId="4"/>
    <tableColumn id="5" xr3:uid="{7BC827B9-7077-44C1-A2CA-92A908244840}" uniqueName="5" name="Column1.order_count" queryTableFieldId="5"/>
    <tableColumn id="6" xr3:uid="{5C7D9E8C-214D-4B7D-A4C2-046167F85E40}" uniqueName="6" name="Column1.volume" queryTableFieldId="6"/>
    <tableColumn id="2" xr3:uid="{F9C43309-2B2A-490D-BE75-942F894A77FD}" uniqueName="2" name="Parse" queryTableFieldId="7" dataDxfId="123"/>
    <tableColumn id="3" xr3:uid="{1E685411-BE66-4900-B833-3328FE025524}" uniqueName="3" name="Column1" queryTableFieldId="8" dataDxfId="122">
      <calculatedColumnFormula>IFERROR(IF((F574-F573)&gt;1,(LARGE(F574:$F574,1)-LARGE(F$574:$F574,2))-1,""),"")</calculatedColumnFormula>
    </tableColumn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92339B7-385B-4724-89B9-7BA4DEFF8363}" name="datasource_tranquility_type_id_204810510610710845789101112131415161718192021222324252627282930313233343536373839" displayName="datasource_tranquility_type_id_204810510610710845789101112131415161718192021222324252627282930313233343536373839" ref="B588:G602" tableType="queryTable" totalsRowShown="0">
  <autoFilter ref="B588:G602" xr:uid="{092339B7-385B-4724-89B9-7BA4DEFF8363}"/>
  <tableColumns count="6">
    <tableColumn id="1" xr3:uid="{B016F26B-0534-43DC-804A-25A19F3C9F8F}" uniqueName="1" name="Column1.average" queryTableFieldId="1"/>
    <tableColumn id="4" xr3:uid="{51EEFA57-FAB1-4649-98EB-4842FD156EBA}" uniqueName="4" name="Column1.lowest" queryTableFieldId="4"/>
    <tableColumn id="5" xr3:uid="{506B1412-F538-4F4D-9792-45CB65B039FD}" uniqueName="5" name="Column1.order_count" queryTableFieldId="5"/>
    <tableColumn id="6" xr3:uid="{C419D288-E126-4967-934E-FADF81106700}" uniqueName="6" name="Column1.volume" queryTableFieldId="6"/>
    <tableColumn id="2" xr3:uid="{30D27887-EAD2-4B49-A3B6-7EB15C9ED527}" uniqueName="2" name="Parse" queryTableFieldId="7" dataDxfId="121"/>
    <tableColumn id="3" xr3:uid="{D3C45D4E-42F6-4AFE-9389-F9A59050AF30}" uniqueName="3" name="Column1" queryTableFieldId="8" dataDxfId="120">
      <calculatedColumnFormula>IFERROR(IF((F589-F588)&gt;1,(LARGE(F589:$F589,1)-LARGE(F$589:$F589,2))-1,""),"")</calculatedColumnFormula>
    </tableColumn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70E6383-AC45-41F5-9B73-2D710CCEBA05}" name="datasource_tranquility_type_id_20481051061071084578910111213141516171819202122232425262728293031323334353637383940" displayName="datasource_tranquility_type_id_20481051061071084578910111213141516171819202122232425262728293031323334353637383940" ref="B603:G617" tableType="queryTable" totalsRowShown="0">
  <autoFilter ref="B603:G617" xr:uid="{A70E6383-AC45-41F5-9B73-2D710CCEBA05}"/>
  <tableColumns count="6">
    <tableColumn id="1" xr3:uid="{5A906D94-C262-4948-8948-50DD8AFA553E}" uniqueName="1" name="Column1.average" queryTableFieldId="1"/>
    <tableColumn id="4" xr3:uid="{3426CA7A-896A-4368-83E0-9008C8EA2254}" uniqueName="4" name="Column1.lowest" queryTableFieldId="4"/>
    <tableColumn id="5" xr3:uid="{BEE0B963-B870-4116-8ACC-506F181F92C6}" uniqueName="5" name="Column1.order_count" queryTableFieldId="5"/>
    <tableColumn id="6" xr3:uid="{5ED6989B-9D53-4331-B339-5CD7323ABB62}" uniqueName="6" name="Column1.volume" queryTableFieldId="6"/>
    <tableColumn id="2" xr3:uid="{D5489677-5EBA-4A75-A13C-EEED844A2595}" uniqueName="2" name="Parse" queryTableFieldId="7" dataDxfId="119"/>
    <tableColumn id="3" xr3:uid="{28C783CD-45F4-45A0-9CBC-C37008942E52}" uniqueName="3" name="Column1" queryTableFieldId="8" dataDxfId="118">
      <calculatedColumnFormula>IFERROR(IF((F604-F603)&gt;1,(LARGE(F604:$F604,1)-LARGE(F$604:$F604,2))-1,""),"")</calculatedColumnFormula>
    </tableColumn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2CD0E36-8445-4243-8D86-EE4294D91B9D}" name="datasource_tranquility_type_id_2048105106107108457891011121314151617181920212223242526272829303132333435363738394041" displayName="datasource_tranquility_type_id_2048105106107108457891011121314151617181920212223242526272829303132333435363738394041" ref="B618:G632" tableType="queryTable" totalsRowShown="0">
  <autoFilter ref="B618:G632" xr:uid="{02CD0E36-8445-4243-8D86-EE4294D91B9D}"/>
  <tableColumns count="6">
    <tableColumn id="1" xr3:uid="{3C55ADC8-25CC-4BA6-BE84-FA2F0E9AA5C6}" uniqueName="1" name="Column1.average" queryTableFieldId="1"/>
    <tableColumn id="4" xr3:uid="{111DFC6D-E5A4-4BAA-B2B3-F17E42200693}" uniqueName="4" name="Column1.lowest" queryTableFieldId="4"/>
    <tableColumn id="5" xr3:uid="{B5FB5955-23A7-453C-97DD-A06CF91C91D3}" uniqueName="5" name="Column1.order_count" queryTableFieldId="5"/>
    <tableColumn id="6" xr3:uid="{62423D85-8D66-4166-A3E2-18264D22DDEF}" uniqueName="6" name="Column1.volume" queryTableFieldId="6"/>
    <tableColumn id="2" xr3:uid="{077ECF6E-2361-464D-99DA-E8A8D932AB95}" uniqueName="2" name="Parse" queryTableFieldId="7" dataDxfId="117"/>
    <tableColumn id="3" xr3:uid="{B44731BC-DB58-45F5-B7C5-91D9375247D5}" uniqueName="3" name="Column1" queryTableFieldId="8" dataDxfId="116">
      <calculatedColumnFormula>IFERROR(IF((F619-F618)&gt;1,(LARGE(F619:$F619,1)-LARGE(F$619:$F619,2))-1,""),"")</calculatedColumnFormula>
    </tableColumn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2173016-250D-41F9-8370-578A646B46BD}" name="datasource_tranquility_type_id_204810510610710845789101112131415161718192021222324252627282930313233343536373839404142" displayName="datasource_tranquility_type_id_204810510610710845789101112131415161718192021222324252627282930313233343536373839404142" ref="B633:G647" tableType="queryTable" totalsRowShown="0">
  <autoFilter ref="B633:G647" xr:uid="{02173016-250D-41F9-8370-578A646B46BD}"/>
  <tableColumns count="6">
    <tableColumn id="1" xr3:uid="{16F57C31-D4AA-4969-A916-9116D2842799}" uniqueName="1" name="Column1.average" queryTableFieldId="1"/>
    <tableColumn id="4" xr3:uid="{3689B343-9B7E-4FC6-B3E9-30313BAE7922}" uniqueName="4" name="Column1.lowest" queryTableFieldId="4"/>
    <tableColumn id="5" xr3:uid="{FB064FB9-FED0-4751-9CC3-094468DE8A7F}" uniqueName="5" name="Column1.order_count" queryTableFieldId="5"/>
    <tableColumn id="6" xr3:uid="{E11634C8-2272-4161-8A1F-BE1C0C1550C3}" uniqueName="6" name="Column1.volume" queryTableFieldId="6"/>
    <tableColumn id="2" xr3:uid="{0B249324-F7F6-4244-A424-6F0269EEC242}" uniqueName="2" name="Parse" queryTableFieldId="7" dataDxfId="115"/>
    <tableColumn id="3" xr3:uid="{064A5491-41E3-4824-899B-751FA51755B9}" uniqueName="3" name="Column1" queryTableFieldId="8" dataDxfId="114">
      <calculatedColumnFormula>IFERROR(IF((F634-F633)&gt;1,(LARGE(F634:$F634,1)-LARGE(F$634:$F634,2))-1,""),"")</calculatedColumnFormula>
    </tableColumn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20F76BC-C631-4BBB-AB12-BE7986012F9C}" name="datasource_tranquility_type_id_20481051061071084578910111213141516171819202122232425262728293031323334353637383940414243" displayName="datasource_tranquility_type_id_20481051061071084578910111213141516171819202122232425262728293031323334353637383940414243" ref="B648:G662" tableType="queryTable" totalsRowShown="0">
  <autoFilter ref="B648:G662" xr:uid="{A20F76BC-C631-4BBB-AB12-BE7986012F9C}"/>
  <tableColumns count="6">
    <tableColumn id="1" xr3:uid="{3BBC6FFB-1044-43DF-90F4-402D91E94F33}" uniqueName="1" name="Column1.average" queryTableFieldId="1"/>
    <tableColumn id="4" xr3:uid="{A360DFA8-CDE0-429E-9FF6-5F4437101919}" uniqueName="4" name="Column1.lowest" queryTableFieldId="4"/>
    <tableColumn id="5" xr3:uid="{DF779289-66E5-4375-88EC-8EB33562A9B7}" uniqueName="5" name="Column1.order_count" queryTableFieldId="5"/>
    <tableColumn id="6" xr3:uid="{AE746D03-E525-4874-B677-D839BF0C11F6}" uniqueName="6" name="Column1.volume" queryTableFieldId="6"/>
    <tableColumn id="2" xr3:uid="{12690D57-B360-4F22-BDD3-31190221CF9C}" uniqueName="2" name="Parse" queryTableFieldId="7" dataDxfId="113"/>
    <tableColumn id="3" xr3:uid="{4272845D-1189-4A54-AAB2-8EB070A596F1}" uniqueName="3" name="Column1" queryTableFieldId="8" dataDxfId="112">
      <calculatedColumnFormula>IFERROR(IF((F649-F648)&gt;1,(LARGE(F649:$F649,1)-LARGE(F$649:$F649,2))-1,""),"")</calculatedColumnFormula>
    </tableColumn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0E34740-1DFF-4F2B-97E5-AF4E0E00FE22}" name="datasource_tranquility_type_id_2048105106107108457891011121314151617181920212223242526272829303132333435363738394041424344" displayName="datasource_tranquility_type_id_2048105106107108457891011121314151617181920212223242526272829303132333435363738394041424344" ref="B663:G677" tableType="queryTable" totalsRowShown="0">
  <autoFilter ref="B663:G677" xr:uid="{20E34740-1DFF-4F2B-97E5-AF4E0E00FE22}"/>
  <tableColumns count="6">
    <tableColumn id="1" xr3:uid="{FB17E7E2-8B03-4965-B5C4-6C81C493C09B}" uniqueName="1" name="Column1.average" queryTableFieldId="1"/>
    <tableColumn id="4" xr3:uid="{CA47BF3D-8CED-4F12-8851-32DFE2DFD126}" uniqueName="4" name="Column1.lowest" queryTableFieldId="4"/>
    <tableColumn id="5" xr3:uid="{60B504F1-53A1-4213-8765-2A9B65E6AD95}" uniqueName="5" name="Column1.order_count" queryTableFieldId="5"/>
    <tableColumn id="6" xr3:uid="{25A6D34F-AF32-4F6D-9144-0CA973710FEA}" uniqueName="6" name="Column1.volume" queryTableFieldId="6"/>
    <tableColumn id="2" xr3:uid="{719E3904-77AC-4775-9E7A-0BB3AF052D42}" uniqueName="2" name="Parse" queryTableFieldId="7" dataDxfId="111"/>
    <tableColumn id="3" xr3:uid="{CE3C027E-4A5C-4819-A8CE-B9613FD00D17}" uniqueName="3" name="Column1" queryTableFieldId="8" dataDxfId="110">
      <calculatedColumnFormula>IFERROR(IF((F664-F663)&gt;1,(LARGE(F664:$F664,1)-LARGE(F$664:$F664,2))-1,""),"")</calculatedColumnFormula>
    </tableColumn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60B8EE-4498-4148-BFD7-2B1CF9962DD5}" name="datasource_tranquility_type_id_204810510610710845789101112131415161718192021222324252627282930313233343536373839404142434445" displayName="datasource_tranquility_type_id_204810510610710845789101112131415161718192021222324252627282930313233343536373839404142434445" ref="B678:G692" tableType="queryTable" totalsRowShown="0">
  <autoFilter ref="B678:G692" xr:uid="{4260B8EE-4498-4148-BFD7-2B1CF9962DD5}"/>
  <tableColumns count="6">
    <tableColumn id="1" xr3:uid="{572A2A14-0255-4536-B114-A1335F3AF6FE}" uniqueName="1" name="Column1.average" queryTableFieldId="1"/>
    <tableColumn id="4" xr3:uid="{82417B8F-F301-4468-A686-1D7075C82609}" uniqueName="4" name="Column1.lowest" queryTableFieldId="4"/>
    <tableColumn id="5" xr3:uid="{67BE7F66-64F9-4FF9-8E49-8BB82A738497}" uniqueName="5" name="Column1.order_count" queryTableFieldId="5"/>
    <tableColumn id="6" xr3:uid="{5E4B30F6-C458-493D-887A-2D9DAC18A86F}" uniqueName="6" name="Column1.volume" queryTableFieldId="6"/>
    <tableColumn id="2" xr3:uid="{A8814B89-92CE-45AF-AAD2-6197E749E948}" uniqueName="2" name="Parse" queryTableFieldId="7" dataDxfId="109"/>
    <tableColumn id="3" xr3:uid="{87F98E17-91F3-4B00-978D-25971A95735E}" uniqueName="3" name="Column1" queryTableFieldId="8" dataDxfId="108">
      <calculatedColumnFormula>IFERROR(IF((F679-F678)&gt;1,(LARGE(F679:$F679,1)-LARGE(F$679:$F679,2))-1,""),"")</calculatedColumnFormula>
    </tableColumn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29C34DE-307C-42F8-B0AF-C9347AE4A39A}" name="datasource_tranquility_type_id_20481051061071084578910111213141516171819202122232425262728293031323334353637383940414243444546" displayName="datasource_tranquility_type_id_20481051061071084578910111213141516171819202122232425262728293031323334353637383940414243444546" ref="B693:G707" tableType="queryTable" totalsRowShown="0">
  <autoFilter ref="B693:G707" xr:uid="{F29C34DE-307C-42F8-B0AF-C9347AE4A39A}"/>
  <tableColumns count="6">
    <tableColumn id="1" xr3:uid="{45F8E0E8-D252-4B75-B8EC-AD46E87125DC}" uniqueName="1" name="Column1.average" queryTableFieldId="1"/>
    <tableColumn id="4" xr3:uid="{8C29EF1C-023F-411A-B920-BBEE59FBCADE}" uniqueName="4" name="Column1.lowest" queryTableFieldId="4"/>
    <tableColumn id="5" xr3:uid="{154B203D-7494-4ADE-9DC5-1C7081F12750}" uniqueName="5" name="Column1.order_count" queryTableFieldId="5"/>
    <tableColumn id="6" xr3:uid="{4BE59479-CA36-462D-8A82-46FF6D4B48DB}" uniqueName="6" name="Column1.volume" queryTableFieldId="6"/>
    <tableColumn id="2" xr3:uid="{EF417825-56C0-4D9D-8919-A192F8E9B37C}" uniqueName="2" name="Parse" queryTableFieldId="7" dataDxfId="107"/>
    <tableColumn id="3" xr3:uid="{AD2F5CF9-9347-4FA4-89CF-9C3A0217FC2A}" uniqueName="3" name="Column1" queryTableFieldId="8" dataDxfId="106">
      <calculatedColumnFormula>IFERROR(IF((F694-F693)&gt;1,(LARGE(F694:$F694,1)-LARGE(F$694:$F694,2))-1,""),"")</calculatedColumnFormula>
    </tableColumn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778C573-EF3F-439B-A142-52C2D8B9684E}" name="datasource_tranquility_type_id_2048105106107108457891011121314151617181920212223242526272829303132333435363738394041424344454647" displayName="datasource_tranquility_type_id_2048105106107108457891011121314151617181920212223242526272829303132333435363738394041424344454647" ref="B708:G722" tableType="queryTable" totalsRowShown="0">
  <autoFilter ref="B708:G722" xr:uid="{F778C573-EF3F-439B-A142-52C2D8B9684E}"/>
  <tableColumns count="6">
    <tableColumn id="1" xr3:uid="{FA887E52-3408-423F-953D-C62FB654267A}" uniqueName="1" name="Column1.average" queryTableFieldId="1"/>
    <tableColumn id="4" xr3:uid="{71DF9EEF-83D4-40E7-A579-B5F0D02AE0BF}" uniqueName="4" name="Column1.lowest" queryTableFieldId="4"/>
    <tableColumn id="5" xr3:uid="{81E7DDBE-64E4-412D-AB52-581FFE08EC9C}" uniqueName="5" name="Column1.order_count" queryTableFieldId="5"/>
    <tableColumn id="6" xr3:uid="{2B0CEB06-A560-41F8-B27D-CA8AB0F85981}" uniqueName="6" name="Column1.volume" queryTableFieldId="6"/>
    <tableColumn id="2" xr3:uid="{9EB0CBC8-2F41-432B-8BF3-87DBE925B953}" uniqueName="2" name="Parse" queryTableFieldId="7" dataDxfId="105"/>
    <tableColumn id="3" xr3:uid="{2748CBF1-CC43-4BBE-B2CF-725DDC4F103A}" uniqueName="3" name="Column1" queryTableFieldId="8" dataDxfId="104">
      <calculatedColumnFormula>IFERROR(IF((F709-F708)&gt;1,(LARGE(F709:$F709,1)-LARGE(F$709:$F709,2))-1,""),"")</calculatedColumnFormula>
    </tableColumn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22FB7C3-FE8D-453D-B9AA-687CB7884BE5}" name="datasource_tranquility_type_id_204810510610710845789101112131415161718192021222324252627282930313233343536373839404142434445464748" displayName="datasource_tranquility_type_id_204810510610710845789101112131415161718192021222324252627282930313233343536373839404142434445464748" ref="B723:G737" tableType="queryTable" totalsRowShown="0">
  <autoFilter ref="B723:G737" xr:uid="{E22FB7C3-FE8D-453D-B9AA-687CB7884BE5}"/>
  <tableColumns count="6">
    <tableColumn id="1" xr3:uid="{46FE8FC7-C5F7-4BBF-9CC9-65377D6E3556}" uniqueName="1" name="Column1.average" queryTableFieldId="1"/>
    <tableColumn id="4" xr3:uid="{EBAEE06D-2AD9-4418-ADA7-07DE36D06C03}" uniqueName="4" name="Column1.lowest" queryTableFieldId="4"/>
    <tableColumn id="5" xr3:uid="{AC233F8E-FEE8-4F45-B528-C13D65842771}" uniqueName="5" name="Column1.order_count" queryTableFieldId="5"/>
    <tableColumn id="6" xr3:uid="{EB6E86B6-8C45-4E7A-91E4-99E5E6D68D32}" uniqueName="6" name="Column1.volume" queryTableFieldId="6"/>
    <tableColumn id="2" xr3:uid="{E78D23C0-A32A-4A2E-8720-05FD19070469}" uniqueName="2" name="Parse" queryTableFieldId="7" dataDxfId="103"/>
    <tableColumn id="3" xr3:uid="{F19BFC2F-0936-4E27-855A-0815BA080BA4}" uniqueName="3" name="Column1" queryTableFieldId="8" dataDxfId="102">
      <calculatedColumnFormula>IFERROR(IF((F724-F723)&gt;1,(LARGE(F724:$F724,1)-LARGE(F$724:$F724,2))-1,""),"")</calculatedColumnFormula>
    </tableColumn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65B8B4C-2CE2-4735-B787-914409BC69F4}" name="datasource_tranquility_type_id_20481051061071084578910111213141516171819202122232425262728293031323334353637383940414243444546474849" displayName="datasource_tranquility_type_id_20481051061071084578910111213141516171819202122232425262728293031323334353637383940414243444546474849" ref="B738:G752" tableType="queryTable" totalsRowShown="0">
  <autoFilter ref="B738:G752" xr:uid="{865B8B4C-2CE2-4735-B787-914409BC69F4}"/>
  <tableColumns count="6">
    <tableColumn id="1" xr3:uid="{8A0B3CA9-4805-4ED9-B749-2C349FE1AAA5}" uniqueName="1" name="Column1.average" queryTableFieldId="1"/>
    <tableColumn id="4" xr3:uid="{3BE2FDD6-B159-49C2-9707-FDD69F988D47}" uniqueName="4" name="Column1.lowest" queryTableFieldId="4"/>
    <tableColumn id="5" xr3:uid="{5F5A7B8D-B59A-44E0-A845-A02DE080AB67}" uniqueName="5" name="Column1.order_count" queryTableFieldId="5"/>
    <tableColumn id="6" xr3:uid="{F0CFE65D-4953-40E9-928B-D876AAF474C1}" uniqueName="6" name="Column1.volume" queryTableFieldId="6"/>
    <tableColumn id="2" xr3:uid="{C743157A-4F56-484D-84FC-388535D792FD}" uniqueName="2" name="Parse" queryTableFieldId="7" dataDxfId="101"/>
    <tableColumn id="3" xr3:uid="{C0CD868C-F1EB-4A8D-81DE-94CDCF09CC3C}" uniqueName="3" name="Column1" queryTableFieldId="8" dataDxfId="100">
      <calculatedColumnFormula>IFERROR(IF((F739-F738)&gt;1,(LARGE(F739:$F739,1)-LARGE(F$739:$F739,2))-1,""),"")</calculatedColumnFormula>
    </tableColumn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6BA9C78-6824-4874-B049-34BD3612F7E3}" name="datasource_tranquility_type_id_2048105106107108457891011121314151617181920212223242526272829303132333435363738394041424344454647484950" displayName="datasource_tranquility_type_id_2048105106107108457891011121314151617181920212223242526272829303132333435363738394041424344454647484950" ref="B753:G767" tableType="queryTable" totalsRowShown="0">
  <autoFilter ref="B753:G767" xr:uid="{46BA9C78-6824-4874-B049-34BD3612F7E3}"/>
  <tableColumns count="6">
    <tableColumn id="1" xr3:uid="{8CD9A4A1-253E-4FAB-9AAC-673777D613DB}" uniqueName="1" name="Column1.average" queryTableFieldId="1"/>
    <tableColumn id="4" xr3:uid="{95284E0F-92D6-48AC-B635-82755EF1894A}" uniqueName="4" name="Column1.lowest" queryTableFieldId="4"/>
    <tableColumn id="5" xr3:uid="{F66CFD61-A2E5-408F-B6E6-159AC878F6B8}" uniqueName="5" name="Column1.order_count" queryTableFieldId="5"/>
    <tableColumn id="6" xr3:uid="{92D316C0-7C7F-40B4-9CF8-AFB31EC82D0E}" uniqueName="6" name="Column1.volume" queryTableFieldId="6"/>
    <tableColumn id="2" xr3:uid="{2CCEA728-BEDF-4FBE-8D79-6670ADA621D3}" uniqueName="2" name="Parse" queryTableFieldId="7" dataDxfId="99"/>
    <tableColumn id="3" xr3:uid="{E17252D8-ED95-4781-8630-9F43EE6C0092}" uniqueName="3" name="Column1" queryTableFieldId="8" dataDxfId="98">
      <calculatedColumnFormula>IFERROR(IF((F754-F753)&gt;1,(LARGE(F754:$F754,1)-LARGE(F$754:$F754,2))-1,""),"")</calculatedColumnFormula>
    </tableColumn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898D9AD-95D2-4BCA-B569-EF47F1A0ECB5}" name="datasource_tranquility_type_id_204810510610710845789101112131415161718192021222324252627282930313233343536373839404142434445464748495051" displayName="datasource_tranquility_type_id_204810510610710845789101112131415161718192021222324252627282930313233343536373839404142434445464748495051" ref="B768:G782" tableType="queryTable" totalsRowShown="0">
  <autoFilter ref="B768:G782" xr:uid="{C898D9AD-95D2-4BCA-B569-EF47F1A0ECB5}"/>
  <tableColumns count="6">
    <tableColumn id="1" xr3:uid="{DC214D61-CA97-409C-BBD5-EC6E27261359}" uniqueName="1" name="Column1.average" queryTableFieldId="1"/>
    <tableColumn id="4" xr3:uid="{E8E241B6-A799-479E-823D-08DEC43039FC}" uniqueName="4" name="Column1.lowest" queryTableFieldId="4"/>
    <tableColumn id="5" xr3:uid="{E62F1FC3-E5B6-4507-8332-E977012CBC92}" uniqueName="5" name="Column1.order_count" queryTableFieldId="5"/>
    <tableColumn id="6" xr3:uid="{0F2B8F8C-331B-4B90-A2D0-FBA12243AA42}" uniqueName="6" name="Column1.volume" queryTableFieldId="6"/>
    <tableColumn id="2" xr3:uid="{00525FEA-5382-4153-A40C-FD659C2A13FB}" uniqueName="2" name="Parse" queryTableFieldId="7" dataDxfId="97"/>
    <tableColumn id="3" xr3:uid="{03BC229A-46F7-4283-872F-96DA1F2CD4D2}" uniqueName="3" name="Column1" queryTableFieldId="8" dataDxfId="96">
      <calculatedColumnFormula>IFERROR(IF((F769-F768)&gt;1,(LARGE(F769:$F769,1)-LARGE(F$769:$F769,2))-1,""),"")</calculatedColumnFormula>
    </tableColumn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905B413-4188-4E6E-BA60-9FCC3A37B410}" name="datasource_tranquility_type_id_20481051061071084578910111213141516171819202122232425262728293031323334353637383940414243444546474849505152" displayName="datasource_tranquility_type_id_20481051061071084578910111213141516171819202122232425262728293031323334353637383940414243444546474849505152" ref="B783:G797" tableType="queryTable" totalsRowShown="0">
  <autoFilter ref="B783:G797" xr:uid="{6905B413-4188-4E6E-BA60-9FCC3A37B410}"/>
  <tableColumns count="6">
    <tableColumn id="1" xr3:uid="{81670F87-1F52-4027-8956-CB9AD2DA863A}" uniqueName="1" name="Column1.average" queryTableFieldId="1"/>
    <tableColumn id="4" xr3:uid="{83E549A6-3F1C-4F3A-8CA0-C60DA98DC45B}" uniqueName="4" name="Column1.lowest" queryTableFieldId="4"/>
    <tableColumn id="5" xr3:uid="{C94D53BD-8D61-4B23-8A87-22596B108A60}" uniqueName="5" name="Column1.order_count" queryTableFieldId="5"/>
    <tableColumn id="6" xr3:uid="{9B0482A4-0B8F-41F9-AF9F-6F33CEBBD557}" uniqueName="6" name="Column1.volume" queryTableFieldId="6"/>
    <tableColumn id="2" xr3:uid="{BECF539F-0B43-4B89-A919-FF19326F8B66}" uniqueName="2" name="Parse" queryTableFieldId="7" dataDxfId="95"/>
    <tableColumn id="3" xr3:uid="{26151955-64CA-49A7-B798-E5DF661E683D}" uniqueName="3" name="Column1" queryTableFieldId="8" dataDxfId="94">
      <calculatedColumnFormula>IFERROR(IF((F784-F783)&gt;1,(LARGE(F784:$F784,1)-LARGE(F$784:$F784,2))-1,""),"")</calculatedColumnFormula>
    </tableColumn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22D2293-ACBC-4D98-B403-46FDE7FECCA9}" name="datasource_tranquility_type_id_2048105106107108457891011121314151617181920212223242526272829303132333435363738394041424344454647484950515253" displayName="datasource_tranquility_type_id_2048105106107108457891011121314151617181920212223242526272829303132333435363738394041424344454647484950515253" ref="B798:G812" tableType="queryTable" totalsRowShown="0">
  <autoFilter ref="B798:G812" xr:uid="{322D2293-ACBC-4D98-B403-46FDE7FECCA9}"/>
  <tableColumns count="6">
    <tableColumn id="1" xr3:uid="{40B60462-632C-492B-9734-00A2C4DF6873}" uniqueName="1" name="Column1.average" queryTableFieldId="1"/>
    <tableColumn id="4" xr3:uid="{4503624B-0435-4A45-9480-9A348DCE1D74}" uniqueName="4" name="Column1.lowest" queryTableFieldId="4"/>
    <tableColumn id="5" xr3:uid="{D1FBE863-B80D-4978-8942-354DCBD9CC60}" uniqueName="5" name="Column1.order_count" queryTableFieldId="5"/>
    <tableColumn id="6" xr3:uid="{128CF95E-6780-4FA4-90AD-371ACBC34AF0}" uniqueName="6" name="Column1.volume" queryTableFieldId="6"/>
    <tableColumn id="2" xr3:uid="{643453D1-714E-49AD-B769-1380877C5D9D}" uniqueName="2" name="Parse" queryTableFieldId="7" dataDxfId="93"/>
    <tableColumn id="3" xr3:uid="{9C415269-AE73-48E3-A3B3-A03AE154B957}" uniqueName="3" name="Column1" queryTableFieldId="8" dataDxfId="92">
      <calculatedColumnFormula>IFERROR(IF((F799-F798)&gt;1,(LARGE(F799:$F799,1)-LARGE(F$799:$F799,2))-1,""),"")</calculatedColumnFormula>
    </tableColumn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56FC6DA-5054-462A-8A6B-4046C64B0CF4}" name="datasource_tranquility_type_id_204810510610710845789101112131415161718192021222324252627282930313233343536373839404142434445464748495051525354" displayName="datasource_tranquility_type_id_204810510610710845789101112131415161718192021222324252627282930313233343536373839404142434445464748495051525354" ref="B813:G827" tableType="queryTable" totalsRowShown="0">
  <autoFilter ref="B813:G827" xr:uid="{356FC6DA-5054-462A-8A6B-4046C64B0CF4}"/>
  <tableColumns count="6">
    <tableColumn id="1" xr3:uid="{7D8B6297-D645-4C3B-A4C5-9D99CB32EB49}" uniqueName="1" name="Column1.average" queryTableFieldId="1"/>
    <tableColumn id="4" xr3:uid="{C229318F-8D05-43E2-8B5E-64E9AC3D2F71}" uniqueName="4" name="Column1.lowest" queryTableFieldId="4"/>
    <tableColumn id="5" xr3:uid="{3EE041F8-99C2-4024-B12D-FAA818BCC465}" uniqueName="5" name="Column1.order_count" queryTableFieldId="5"/>
    <tableColumn id="6" xr3:uid="{E2DEF4DE-2DD5-4F12-A1A8-DB6E2A4BF2C8}" uniqueName="6" name="Column1.volume" queryTableFieldId="6"/>
    <tableColumn id="2" xr3:uid="{C3AF08A8-21E5-4423-845A-8FB1DCDB89DF}" uniqueName="2" name="Parse" queryTableFieldId="7" dataDxfId="91"/>
    <tableColumn id="3" xr3:uid="{4709ABAA-D56C-4BDF-AE77-B9831404042B}" uniqueName="3" name="Column1" queryTableFieldId="8" dataDxfId="90">
      <calculatedColumnFormula>IFERROR(IF((F814-F813)&gt;1,(LARGE(F814:$F814,1)-LARGE(F$814:$F814,2))-1,""),"")</calculatedColumnFormula>
    </tableColumn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B1BD1EA-F84F-4C8C-9112-AB53D1813735}" name="datasource_tranquility_type_id_20481051061071084578910111213141516171819202122232425262728293031323334353637383940414243444546474849505152535455" displayName="datasource_tranquility_type_id_20481051061071084578910111213141516171819202122232425262728293031323334353637383940414243444546474849505152535455" ref="B828:G842" tableType="queryTable" totalsRowShown="0">
  <autoFilter ref="B828:G842" xr:uid="{9B1BD1EA-F84F-4C8C-9112-AB53D1813735}"/>
  <tableColumns count="6">
    <tableColumn id="1" xr3:uid="{ADEC681F-8061-4326-A47D-09D2F33C6CEC}" uniqueName="1" name="Column1.average" queryTableFieldId="1"/>
    <tableColumn id="4" xr3:uid="{5C64C0CE-2ADF-49CD-9358-C9EB409A42CD}" uniqueName="4" name="Column1.lowest" queryTableFieldId="4"/>
    <tableColumn id="5" xr3:uid="{D6A24103-2751-4143-94DA-33F0B30CACA1}" uniqueName="5" name="Column1.order_count" queryTableFieldId="5"/>
    <tableColumn id="6" xr3:uid="{6D8F5B85-CFC6-487D-B149-E05A77E1A641}" uniqueName="6" name="Column1.volume" queryTableFieldId="6"/>
    <tableColumn id="2" xr3:uid="{EFD1FD5C-2382-4D90-9D97-D8E5DFF89319}" uniqueName="2" name="Parse" queryTableFieldId="7" dataDxfId="89"/>
    <tableColumn id="3" xr3:uid="{5E7DA78E-5FCA-4FCA-9798-B21D531B997E}" uniqueName="3" name="Column1" queryTableFieldId="8" dataDxfId="88">
      <calculatedColumnFormula>IFERROR(IF((F829-F828)&gt;1,(LARGE(F829:$F829,1)-LARGE(F$829:$F829,2))-1,""),"")</calculatedColumnFormula>
    </tableColumn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4162600-93D7-4FA9-B8A4-040C7C33D3FC}" name="datasource_tranquility_type_id_2048105106107108457891011121314151617181920212223242526272829303132333435363738394041424344454647484950515253545556" displayName="datasource_tranquility_type_id_2048105106107108457891011121314151617181920212223242526272829303132333435363738394041424344454647484950515253545556" ref="B843:G857" tableType="queryTable" totalsRowShown="0">
  <autoFilter ref="B843:G857" xr:uid="{74162600-93D7-4FA9-B8A4-040C7C33D3FC}"/>
  <tableColumns count="6">
    <tableColumn id="1" xr3:uid="{0998E81D-5DA6-43D4-995F-084E033CDCBF}" uniqueName="1" name="Column1.average" queryTableFieldId="1"/>
    <tableColumn id="4" xr3:uid="{353E4846-765C-4682-8DF6-5EA614239397}" uniqueName="4" name="Column1.lowest" queryTableFieldId="4"/>
    <tableColumn id="5" xr3:uid="{C87B1308-EE8C-427D-85FF-0EB111B69981}" uniqueName="5" name="Column1.order_count" queryTableFieldId="5"/>
    <tableColumn id="6" xr3:uid="{01E8F24D-FCD1-494E-A6BA-D53F1E261B84}" uniqueName="6" name="Column1.volume" queryTableFieldId="6"/>
    <tableColumn id="2" xr3:uid="{81DB8678-1BC2-4A91-8EE3-F1CAFAEDE3F5}" uniqueName="2" name="Parse" queryTableFieldId="7" dataDxfId="87"/>
    <tableColumn id="3" xr3:uid="{A709D644-4EF7-46B9-83A0-550329E0FA21}" uniqueName="3" name="Column1" queryTableFieldId="8" dataDxfId="86">
      <calculatedColumnFormula>IFERROR(IF((F844-F843)&gt;1,(LARGE(F844:$F844,1)-LARGE(F$844:$F844,2))-1,""),"")</calculatedColumnFormula>
    </tableColumn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A1B5505-F284-4C82-A4CA-4FB76A920628}" name="datasource_tranquility_type_id_204810510610710845789101112131415161718192021222324252627282930313233343536373839404142434445464748495051525354555657" displayName="datasource_tranquility_type_id_204810510610710845789101112131415161718192021222324252627282930313233343536373839404142434445464748495051525354555657" ref="B858:G872" tableType="queryTable" totalsRowShown="0">
  <autoFilter ref="B858:G872" xr:uid="{7A1B5505-F284-4C82-A4CA-4FB76A920628}"/>
  <tableColumns count="6">
    <tableColumn id="1" xr3:uid="{B4BE1974-D1CD-440D-93F4-B846BFF99EC9}" uniqueName="1" name="Column1.average" queryTableFieldId="1"/>
    <tableColumn id="4" xr3:uid="{A8055C9F-1C46-448A-AE92-6DE0BF8CEF10}" uniqueName="4" name="Column1.lowest" queryTableFieldId="4"/>
    <tableColumn id="5" xr3:uid="{3FC6443E-F93C-4F4F-8FEC-95B116F477EC}" uniqueName="5" name="Column1.order_count" queryTableFieldId="5"/>
    <tableColumn id="6" xr3:uid="{FCA2B096-9E0A-4493-99A0-34553E31B5E8}" uniqueName="6" name="Column1.volume" queryTableFieldId="6"/>
    <tableColumn id="2" xr3:uid="{65A8343B-2C81-44BF-BC6B-E4B533109C77}" uniqueName="2" name="Parse" queryTableFieldId="7" dataDxfId="85"/>
    <tableColumn id="3" xr3:uid="{FF59584E-95DB-440C-A26B-559250811AE4}" uniqueName="3" name="Column1" queryTableFieldId="8" dataDxfId="84">
      <calculatedColumnFormula>IFERROR(IF((F859-F858)&gt;1,(LARGE(F859:$F859,1)-LARGE(F$859:$F859,2))-1,""),"")</calculatedColumnFormula>
    </tableColumn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825E172-8A7E-4D24-85C3-0D3F2F46FB9B}" name="datasource_tranquility_type_id_20481051061071084578910111213141516171819202122232425262728293031323334353637383940414243444546474849505152535455565758" displayName="datasource_tranquility_type_id_20481051061071084578910111213141516171819202122232425262728293031323334353637383940414243444546474849505152535455565758" ref="B873:G887" tableType="queryTable" totalsRowShown="0">
  <autoFilter ref="B873:G887" xr:uid="{3825E172-8A7E-4D24-85C3-0D3F2F46FB9B}"/>
  <tableColumns count="6">
    <tableColumn id="1" xr3:uid="{B64CEDF6-F0A9-4A8F-9B02-62475CCA7D68}" uniqueName="1" name="Column1.average" queryTableFieldId="1"/>
    <tableColumn id="4" xr3:uid="{BE2B17DB-70BF-493A-8833-0E9314382E1C}" uniqueName="4" name="Column1.lowest" queryTableFieldId="4"/>
    <tableColumn id="5" xr3:uid="{1EA9819B-F7AF-4C20-BD7E-FE20D64D9222}" uniqueName="5" name="Column1.order_count" queryTableFieldId="5"/>
    <tableColumn id="6" xr3:uid="{859609DB-C3AD-4AAB-B39F-7B2E3FA24722}" uniqueName="6" name="Column1.volume" queryTableFieldId="6"/>
    <tableColumn id="2" xr3:uid="{E533BFAD-BB4B-41BE-85C2-C0AC1E1CED0A}" uniqueName="2" name="Parse" queryTableFieldId="7" dataDxfId="83"/>
    <tableColumn id="3" xr3:uid="{C74DC916-1307-4B58-9047-4050502D9AC0}" uniqueName="3" name="Column1" queryTableFieldId="8" dataDxfId="82">
      <calculatedColumnFormula>IFERROR(IF((F874-F873)&gt;1,(LARGE(F874:$F874,1)-LARGE(F$874:$F874,2))-1,""),"")</calculatedColumnFormula>
    </tableColumn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3E2B9D80-FC25-4743-9CB7-66EE7D14D8C6}" name="datasource_tranquility_type_id_2048105106107108457891011121314151617181920212223242526272829303132333435363738394041424344454647484950515253545556575859" displayName="datasource_tranquility_type_id_2048105106107108457891011121314151617181920212223242526272829303132333435363738394041424344454647484950515253545556575859" ref="B888:G902" tableType="queryTable" totalsRowShown="0">
  <autoFilter ref="B888:G902" xr:uid="{3E2B9D80-FC25-4743-9CB7-66EE7D14D8C6}"/>
  <tableColumns count="6">
    <tableColumn id="1" xr3:uid="{48C54703-339B-4F54-B515-951324E68E94}" uniqueName="1" name="Column1.average" queryTableFieldId="1"/>
    <tableColumn id="4" xr3:uid="{2A9A2BC9-EFFA-4D23-891A-9DC2FCD0316E}" uniqueName="4" name="Column1.lowest" queryTableFieldId="4"/>
    <tableColumn id="5" xr3:uid="{6DF5DC07-A8EA-4BCF-AE0F-6128051C0EDD}" uniqueName="5" name="Column1.order_count" queryTableFieldId="5"/>
    <tableColumn id="6" xr3:uid="{FE42E5B4-D7FE-49CB-8129-27D12CC9DF42}" uniqueName="6" name="Column1.volume" queryTableFieldId="6"/>
    <tableColumn id="2" xr3:uid="{9C993881-769E-49B3-9AD5-83EA51DCA987}" uniqueName="2" name="Parse" queryTableFieldId="7" dataDxfId="81"/>
    <tableColumn id="3" xr3:uid="{553B7B6C-E48E-4347-9897-B66AC39AF62E}" uniqueName="3" name="Column1" queryTableFieldId="8" dataDxfId="80">
      <calculatedColumnFormula>IFERROR(IF((F889-F888)&gt;1,(LARGE(F889:$F889,1)-LARGE(F$889:$F889,2))-1,""),"")</calculatedColumnFormula>
    </tableColumn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AC11635-52B3-42D1-8C8E-AE4F73101132}" name="datasource_tranquility_type_id_204810510610710845789101112131415161718192021222324252627282930313233343536373839404142434445464748495051525354555657585960" displayName="datasource_tranquility_type_id_204810510610710845789101112131415161718192021222324252627282930313233343536373839404142434445464748495051525354555657585960" ref="B903:G917" tableType="queryTable" totalsRowShown="0">
  <autoFilter ref="B903:G917" xr:uid="{6AC11635-52B3-42D1-8C8E-AE4F73101132}"/>
  <tableColumns count="6">
    <tableColumn id="1" xr3:uid="{358982C7-1CCD-4D5D-B317-80E2563AB69E}" uniqueName="1" name="Column1.average" queryTableFieldId="1"/>
    <tableColumn id="4" xr3:uid="{E6371CAB-9A28-4452-A3E1-EE6C74DF6777}" uniqueName="4" name="Column1.lowest" queryTableFieldId="4"/>
    <tableColumn id="5" xr3:uid="{DA74E38C-B23D-429B-8C93-126DD9715BA0}" uniqueName="5" name="Column1.order_count" queryTableFieldId="5"/>
    <tableColumn id="6" xr3:uid="{DDC0251E-C0C9-47B1-A7A5-9816C76C78E1}" uniqueName="6" name="Column1.volume" queryTableFieldId="6"/>
    <tableColumn id="2" xr3:uid="{C0BD2F94-8B8B-48E3-ADCD-503C98C9EAF3}" uniqueName="2" name="Parse" queryTableFieldId="7" dataDxfId="79"/>
    <tableColumn id="3" xr3:uid="{269DA8D9-677F-4354-AC02-936F999D309C}" uniqueName="3" name="Column1" queryTableFieldId="8" dataDxfId="78">
      <calculatedColumnFormula>IFERROR(IF((F904-F903)&gt;1,(LARGE(F904:$F904,1)-LARGE(F$904:$F904,2))-1,""),"")</calculatedColumnFormula>
    </tableColumn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7127DC0-60E2-4786-B75B-E4A80B85D98E}" name="datasource_tranquility_type_id_20481051061071084578910111213141516171819202122232425262728293031323334353637383940414243444546474849505152535455565758596061" displayName="datasource_tranquility_type_id_20481051061071084578910111213141516171819202122232425262728293031323334353637383940414243444546474849505152535455565758596061" ref="B918:G932" tableType="queryTable" totalsRowShown="0">
  <autoFilter ref="B918:G932" xr:uid="{27127DC0-60E2-4786-B75B-E4A80B85D98E}"/>
  <tableColumns count="6">
    <tableColumn id="1" xr3:uid="{878320A3-4FC9-46CE-BE1D-A0F71B19C8A5}" uniqueName="1" name="Column1.average" queryTableFieldId="1"/>
    <tableColumn id="4" xr3:uid="{18CA7550-40A1-4A47-BA7B-E2EED2D98CBB}" uniqueName="4" name="Column1.lowest" queryTableFieldId="4"/>
    <tableColumn id="5" xr3:uid="{803CFDC6-B06B-4984-B07A-B696CEE678E8}" uniqueName="5" name="Column1.order_count" queryTableFieldId="5"/>
    <tableColumn id="6" xr3:uid="{4394FDD0-0F1F-4BAD-B044-EFD76505C5C3}" uniqueName="6" name="Column1.volume" queryTableFieldId="6"/>
    <tableColumn id="2" xr3:uid="{D830D3C9-2E5C-4B3A-A417-C7CDCAB4B0CF}" uniqueName="2" name="Parse" queryTableFieldId="7" dataDxfId="77"/>
    <tableColumn id="3" xr3:uid="{1DAAEB22-330D-47E1-83A5-16B7FD90EF89}" uniqueName="3" name="Column1" queryTableFieldId="8" dataDxfId="76">
      <calculatedColumnFormula>IFERROR(IF((F919-F918)&gt;1,(LARGE(F919:$F919,1)-LARGE(F$919:$F919,2))-1,""),"")</calculatedColumnFormula>
    </tableColumn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01AB0D5-C9F9-48E3-B9D3-32F74FBF320D}" name="datasource_tranquility_type_id_2048105106107108457891011121314151617181920212223242526272829303132333435363738394041424344454647484950515253545556575859606162" displayName="datasource_tranquility_type_id_2048105106107108457891011121314151617181920212223242526272829303132333435363738394041424344454647484950515253545556575859606162" ref="B933:G947" tableType="queryTable" totalsRowShown="0">
  <autoFilter ref="B933:G947" xr:uid="{601AB0D5-C9F9-48E3-B9D3-32F74FBF320D}"/>
  <tableColumns count="6">
    <tableColumn id="1" xr3:uid="{95827BB7-5FF8-407A-BEF7-23BAA6E8E142}" uniqueName="1" name="Column1.average" queryTableFieldId="1"/>
    <tableColumn id="4" xr3:uid="{892567EF-2705-406A-8338-FCB2563B555B}" uniqueName="4" name="Column1.lowest" queryTableFieldId="4"/>
    <tableColumn id="5" xr3:uid="{58EDDE8A-E30B-4091-862C-04DB8B280239}" uniqueName="5" name="Column1.order_count" queryTableFieldId="5"/>
    <tableColumn id="6" xr3:uid="{1091906D-EEFF-493D-BBAD-74483B55C5CF}" uniqueName="6" name="Column1.volume" queryTableFieldId="6"/>
    <tableColumn id="2" xr3:uid="{47A9DBC3-A154-43E8-AFA4-F1F5A4550524}" uniqueName="2" name="Parse" queryTableFieldId="7" dataDxfId="75"/>
    <tableColumn id="3" xr3:uid="{5C08D980-16A9-446C-B9E4-F4D8F88CE419}" uniqueName="3" name="Column1" queryTableFieldId="8" dataDxfId="74">
      <calculatedColumnFormula>IFERROR(IF((F934-F933)&gt;1,(LARGE(F934:$F934,1)-LARGE(F$934:$F934,2))-1,""),"")</calculatedColumnFormula>
    </tableColumn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EA79B53-512D-4562-9A41-F544219392A4}" name="datasource_tranquility_type_id_204810510610710845789101112131415161718192021222324252627282930313233343536373839404142434445464748495051525354555657585960616263" displayName="datasource_tranquility_type_id_204810510610710845789101112131415161718192021222324252627282930313233343536373839404142434445464748495051525354555657585960616263" ref="B948:G962" tableType="queryTable" totalsRowShown="0">
  <autoFilter ref="B948:G962" xr:uid="{4EA79B53-512D-4562-9A41-F544219392A4}"/>
  <tableColumns count="6">
    <tableColumn id="1" xr3:uid="{184BB94D-490E-4559-9AA3-9F7BED669445}" uniqueName="1" name="Column1.average" queryTableFieldId="1"/>
    <tableColumn id="4" xr3:uid="{F5A67AB7-1E81-400C-9A07-57AFC7F1F129}" uniqueName="4" name="Column1.lowest" queryTableFieldId="4"/>
    <tableColumn id="5" xr3:uid="{7B6C6E4F-D983-4487-B826-823EF11820A9}" uniqueName="5" name="Column1.order_count" queryTableFieldId="5"/>
    <tableColumn id="6" xr3:uid="{C5F728FF-F5D4-4092-86D6-42BB752B4A0A}" uniqueName="6" name="Column1.volume" queryTableFieldId="6"/>
    <tableColumn id="2" xr3:uid="{D5D1DA50-4091-495F-ACC3-D6B31FFC5102}" uniqueName="2" name="Parse" queryTableFieldId="7" dataDxfId="73"/>
    <tableColumn id="3" xr3:uid="{80DDE7AF-FAEE-4B26-98F4-9143980DF72E}" uniqueName="3" name="Column1" queryTableFieldId="8" dataDxfId="72">
      <calculatedColumnFormula>IFERROR(IF((F949-F948)&gt;1,(LARGE(F949:$F949,1)-LARGE(F$949:$F949,2))-1,""),"")</calculatedColumnFormula>
    </tableColumn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F504A1B-D385-47A2-9115-933620F33017}" name="datasource_tranquility_type_id_20481051061071084578910111213141516171819202122232425262728293031323334353637383940414243444546474849505152535455565758596061626364" displayName="datasource_tranquility_type_id_20481051061071084578910111213141516171819202122232425262728293031323334353637383940414243444546474849505152535455565758596061626364" ref="B963:G977" tableType="queryTable" totalsRowShown="0">
  <autoFilter ref="B963:G977" xr:uid="{6F504A1B-D385-47A2-9115-933620F33017}"/>
  <tableColumns count="6">
    <tableColumn id="1" xr3:uid="{17328B4D-7533-42EB-90DA-FDE870D26960}" uniqueName="1" name="Column1.average" queryTableFieldId="1"/>
    <tableColumn id="4" xr3:uid="{303AE32D-217F-4D19-B456-93B243B933A3}" uniqueName="4" name="Column1.lowest" queryTableFieldId="4"/>
    <tableColumn id="5" xr3:uid="{86BA412E-6096-4913-9CC6-D0432FA283DC}" uniqueName="5" name="Column1.order_count" queryTableFieldId="5"/>
    <tableColumn id="6" xr3:uid="{9B39140E-1F03-4413-A33C-D24C4C609A44}" uniqueName="6" name="Column1.volume" queryTableFieldId="6"/>
    <tableColumn id="2" xr3:uid="{53D5A150-5972-4117-A3BE-C554356A9D30}" uniqueName="2" name="Parse" queryTableFieldId="7" dataDxfId="71"/>
    <tableColumn id="3" xr3:uid="{BDB20384-59DD-4C67-9477-287F48775E63}" uniqueName="3" name="Column1" queryTableFieldId="8" dataDxfId="70">
      <calculatedColumnFormula>IFERROR(IF((F964-F963)&gt;1,(LARGE(F964:$F964,1)-LARGE(F$964:$F964,2))-1,""),"")</calculatedColumnFormula>
    </tableColumn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9E16431-695F-47EA-B622-AE3F9C7AE35A}" name="datasource_tranquility_type_id_2048105106107108457891011121314151617181920212223242526272829303132333435363738394041424344454647484950515253545556575859606162636465" displayName="datasource_tranquility_type_id_2048105106107108457891011121314151617181920212223242526272829303132333435363738394041424344454647484950515253545556575859606162636465" ref="B978:G992" tableType="queryTable" totalsRowShown="0">
  <autoFilter ref="B978:G992" xr:uid="{29E16431-695F-47EA-B622-AE3F9C7AE35A}"/>
  <tableColumns count="6">
    <tableColumn id="1" xr3:uid="{7400078D-3307-4910-B255-4F2A0919E895}" uniqueName="1" name="Column1.average" queryTableFieldId="1"/>
    <tableColumn id="4" xr3:uid="{2CC9C726-EE93-458E-88C7-1D7860D952EE}" uniqueName="4" name="Column1.lowest" queryTableFieldId="4"/>
    <tableColumn id="5" xr3:uid="{B1C10735-A752-47AC-903D-7A3FC2EB620A}" uniqueName="5" name="Column1.order_count" queryTableFieldId="5"/>
    <tableColumn id="6" xr3:uid="{BF2A43D8-E0DC-4912-8123-7C537725B87A}" uniqueName="6" name="Column1.volume" queryTableFieldId="6"/>
    <tableColumn id="2" xr3:uid="{4A5B41E8-7F7A-49F3-902B-58250D939A71}" uniqueName="2" name="Parse" queryTableFieldId="7" dataDxfId="69"/>
    <tableColumn id="3" xr3:uid="{53BF3D4F-A44E-4E99-AB3B-37EADD0957EF}" uniqueName="3" name="Column1" queryTableFieldId="8" dataDxfId="68">
      <calculatedColumnFormula>IFERROR(IF((F979-F978)&gt;1,(LARGE(F979:$F979,1)-LARGE(F$979:$F979,2))-1,""),"")</calculatedColumnFormula>
    </tableColumn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55EA1C-7E1C-442D-A83C-18FE96F527DB}" name="datasource_tranquility_type_id_204810510610710845789101112131415161718192021222324252627282930313233343536373839404142434445464748495051525354555657585960616263646566" displayName="datasource_tranquility_type_id_204810510610710845789101112131415161718192021222324252627282930313233343536373839404142434445464748495051525354555657585960616263646566" ref="B993:G1007" tableType="queryTable" totalsRowShown="0">
  <autoFilter ref="B993:G1007" xr:uid="{0C55EA1C-7E1C-442D-A83C-18FE96F527DB}"/>
  <tableColumns count="6">
    <tableColumn id="1" xr3:uid="{DA7757AB-C639-42A8-AA88-96AA2950BAAD}" uniqueName="1" name="Column1.average" queryTableFieldId="1"/>
    <tableColumn id="4" xr3:uid="{F09410F4-80D2-40A8-AF55-03E83F8FD0AB}" uniqueName="4" name="Column1.lowest" queryTableFieldId="4"/>
    <tableColumn id="5" xr3:uid="{4A49F241-6E0D-46A9-A72B-6C0B62BDAF7B}" uniqueName="5" name="Column1.order_count" queryTableFieldId="5"/>
    <tableColumn id="6" xr3:uid="{46858905-539D-45CD-813B-885EF7B157BB}" uniqueName="6" name="Column1.volume" queryTableFieldId="6"/>
    <tableColumn id="2" xr3:uid="{59248B00-29D8-40F6-A2EB-1E6FFA49904B}" uniqueName="2" name="Parse" queryTableFieldId="7" dataDxfId="67"/>
    <tableColumn id="3" xr3:uid="{D22DA249-B057-43B6-A4AB-0D4431703354}" uniqueName="3" name="Column1" queryTableFieldId="8" dataDxfId="66">
      <calculatedColumnFormula>IFERROR(IF((F994-F993)&gt;1,(LARGE(F994:$F994,1)-LARGE(F$994:$F994,2))-1,""),"")</calculatedColumnFormula>
    </tableColumn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7DE856-62BC-4ECD-BE48-47E6DB637BBC}" name="datasource_tranquility_type_id_20481051061071084578910111213141516171819202122232425262728293031323334353637383940414243444546474849505152535455565758596061626364656667" displayName="datasource_tranquility_type_id_20481051061071084578910111213141516171819202122232425262728293031323334353637383940414243444546474849505152535455565758596061626364656667" ref="B1008:G1022" tableType="queryTable" totalsRowShown="0">
  <autoFilter ref="B1008:G1022" xr:uid="{007DE856-62BC-4ECD-BE48-47E6DB637BBC}"/>
  <tableColumns count="6">
    <tableColumn id="1" xr3:uid="{8C315B9E-C3A3-47E9-ACE3-96E5A2BA24C0}" uniqueName="1" name="Column1.average" queryTableFieldId="1"/>
    <tableColumn id="4" xr3:uid="{EEE4AA34-A311-49B3-AB6C-E03B64D65DD2}" uniqueName="4" name="Column1.lowest" queryTableFieldId="4"/>
    <tableColumn id="5" xr3:uid="{447DB0F6-D6AE-4371-A828-5EE894707816}" uniqueName="5" name="Column1.order_count" queryTableFieldId="5"/>
    <tableColumn id="6" xr3:uid="{3953D951-A40D-4604-9A7A-5BE4F30884B2}" uniqueName="6" name="Column1.volume" queryTableFieldId="6"/>
    <tableColumn id="2" xr3:uid="{77DC0912-FCBB-4F65-9ADF-1CC4078315CC}" uniqueName="2" name="Parse" queryTableFieldId="7" dataDxfId="65"/>
    <tableColumn id="3" xr3:uid="{9C3B6D39-F872-4732-9484-8EC98B3193FB}" uniqueName="3" name="Column1" queryTableFieldId="8" dataDxfId="64">
      <calculatedColumnFormula>IFERROR(IF((F1009-F1008)&gt;1,(LARGE(F1009:$F1009,1)-LARGE(F$1009:$F1009,2))-1,""),"")</calculatedColumnFormula>
    </tableColumn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ABD32A7-9C86-44CC-AA8F-5DD44CBF3469}" name="datasource_tranquility_type_id_2048105106107108457891011121314151617181920212223242526272829303132333435363738394041424344454647484950515253545556575859606162636465666768" displayName="datasource_tranquility_type_id_2048105106107108457891011121314151617181920212223242526272829303132333435363738394041424344454647484950515253545556575859606162636465666768" ref="B1023:G1037" tableType="queryTable" totalsRowShown="0">
  <autoFilter ref="B1023:G1037" xr:uid="{1ABD32A7-9C86-44CC-AA8F-5DD44CBF3469}"/>
  <tableColumns count="6">
    <tableColumn id="1" xr3:uid="{C79DD143-8547-484C-9A3C-F0370EDB4180}" uniqueName="1" name="Column1.average" queryTableFieldId="1"/>
    <tableColumn id="4" xr3:uid="{E53248B4-4BB0-4333-93C5-D29213CC6584}" uniqueName="4" name="Column1.lowest" queryTableFieldId="4"/>
    <tableColumn id="5" xr3:uid="{D517081F-3583-4731-9844-5299EAAD60CA}" uniqueName="5" name="Column1.order_count" queryTableFieldId="5"/>
    <tableColumn id="6" xr3:uid="{1E23F2DE-5625-4B4D-9A31-4F9847BC3B58}" uniqueName="6" name="Column1.volume" queryTableFieldId="6"/>
    <tableColumn id="2" xr3:uid="{C5A65D42-9272-433F-BED8-0FAFA1CB7433}" uniqueName="2" name="Parse" queryTableFieldId="7" dataDxfId="63"/>
    <tableColumn id="3" xr3:uid="{882CBA37-AB0A-4DFE-A6BA-4BACFC3FC501}" uniqueName="3" name="Column1" queryTableFieldId="8" dataDxfId="62">
      <calculatedColumnFormula>IFERROR(IF((F1024-F1023)&gt;1,(LARGE(F1024:$F1024,1)-LARGE(F$1024:$F1024,2))-1,""),"")</calculatedColumnFormula>
    </tableColumn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2306FE5-5E0F-4FC4-A5C0-31935885D940}" name="datasource_tranquility_type_id_204810510610710845789101112131415161718192021222324252627282930313233343536373839404142434445464748495051525354555657585960616263646566676869" displayName="datasource_tranquility_type_id_204810510610710845789101112131415161718192021222324252627282930313233343536373839404142434445464748495051525354555657585960616263646566676869" ref="B1038:G1052" tableType="queryTable" totalsRowShown="0">
  <autoFilter ref="B1038:G1052" xr:uid="{82306FE5-5E0F-4FC4-A5C0-31935885D940}"/>
  <tableColumns count="6">
    <tableColumn id="1" xr3:uid="{1ECD69BF-AB30-4EC7-A88F-F4099A62AF66}" uniqueName="1" name="Column1.average" queryTableFieldId="1"/>
    <tableColumn id="4" xr3:uid="{43D787A2-8F30-4199-8483-4599C660B737}" uniqueName="4" name="Column1.lowest" queryTableFieldId="4"/>
    <tableColumn id="5" xr3:uid="{14942EF9-EEF9-4BC0-B583-51314330304B}" uniqueName="5" name="Column1.order_count" queryTableFieldId="5"/>
    <tableColumn id="6" xr3:uid="{1BB6BB7A-DBA9-43D0-9D53-D4F541558871}" uniqueName="6" name="Column1.volume" queryTableFieldId="6"/>
    <tableColumn id="2" xr3:uid="{242534F5-6418-4C54-8245-590F87AC66EA}" uniqueName="2" name="Parse" queryTableFieldId="7" dataDxfId="61"/>
    <tableColumn id="3" xr3:uid="{E13AF9FB-A1CF-463E-A802-FA3F298679E7}" uniqueName="3" name="Column1" queryTableFieldId="8" dataDxfId="60">
      <calculatedColumnFormula>IFERROR(IF((F1039-F1038)&gt;1,(LARGE(F1039:$F1039,1)-LARGE(F$1039:$F1039,2))-1,""),"")</calculatedColumnFormula>
    </tableColumn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385C73F-4E99-4D6E-ABF2-0C59FFF7B915}" name="datasource_tranquility_type_id_20481051061071084578910111213141516171819202122232425262728293031323334353637383940414243444546474849505152535455565758596061626364656667686970" displayName="datasource_tranquility_type_id_20481051061071084578910111213141516171819202122232425262728293031323334353637383940414243444546474849505152535455565758596061626364656667686970" ref="B1053:G1067" tableType="queryTable" totalsRowShown="0">
  <autoFilter ref="B1053:G1067" xr:uid="{6385C73F-4E99-4D6E-ABF2-0C59FFF7B915}"/>
  <tableColumns count="6">
    <tableColumn id="1" xr3:uid="{D6E60F95-60D7-435D-8A4D-759E214A6F75}" uniqueName="1" name="Column1.average" queryTableFieldId="1"/>
    <tableColumn id="4" xr3:uid="{5C8EDE39-DFE9-4BB9-86F7-FB42D7729333}" uniqueName="4" name="Column1.lowest" queryTableFieldId="4"/>
    <tableColumn id="5" xr3:uid="{E81B83E4-85DE-46A1-93E3-6709D24AA687}" uniqueName="5" name="Column1.order_count" queryTableFieldId="5"/>
    <tableColumn id="6" xr3:uid="{3CD825B9-7061-49EC-A5B5-4F6EA69283A1}" uniqueName="6" name="Column1.volume" queryTableFieldId="6"/>
    <tableColumn id="2" xr3:uid="{20655286-65D3-48A0-A387-8F562FF7C5C0}" uniqueName="2" name="Parse" queryTableFieldId="7" dataDxfId="59"/>
    <tableColumn id="3" xr3:uid="{8C5EBB0D-877D-4FAA-83BA-44B31AC6A49F}" uniqueName="3" name="Column1" queryTableFieldId="8" dataDxfId="58">
      <calculatedColumnFormula>IFERROR(IF((F1054-F1053)&gt;1,(LARGE(F1054:$F1054,1)-LARGE(F$1054:$F1054,2))-1,""),"")</calculatedColumnFormula>
    </tableColumn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4A0EB40-8662-4D54-9B56-A7FFCDC39EFD}" name="datasource_tranquility_type_id_2048105106107108457891011121314151617181920212223242526272829303132333435363738394041424344454647484950515253545556575859606162636465666768697071" displayName="datasource_tranquility_type_id_2048105106107108457891011121314151617181920212223242526272829303132333435363738394041424344454647484950515253545556575859606162636465666768697071" ref="B1068:G1082" tableType="queryTable" totalsRowShown="0">
  <autoFilter ref="B1068:G1082" xr:uid="{C4A0EB40-8662-4D54-9B56-A7FFCDC39EFD}"/>
  <tableColumns count="6">
    <tableColumn id="1" xr3:uid="{0E235AAB-74B0-46CA-B52E-07A83831D733}" uniqueName="1" name="Column1.average" queryTableFieldId="1"/>
    <tableColumn id="4" xr3:uid="{FCDA3FAB-967E-48DE-B0F7-40E456707591}" uniqueName="4" name="Column1.lowest" queryTableFieldId="4"/>
    <tableColumn id="5" xr3:uid="{CF3C6860-AD8D-4929-85E8-EE7D04CFC002}" uniqueName="5" name="Column1.order_count" queryTableFieldId="5"/>
    <tableColumn id="6" xr3:uid="{88F465AE-10EA-4D18-8FA8-3857C8A7F456}" uniqueName="6" name="Column1.volume" queryTableFieldId="6"/>
    <tableColumn id="2" xr3:uid="{3D472482-70E3-45CD-BE93-9CC2441264D6}" uniqueName="2" name="Parse" queryTableFieldId="7" dataDxfId="57"/>
    <tableColumn id="3" xr3:uid="{B754AC26-6111-4F6F-9969-85DAD581D9F4}" uniqueName="3" name="Column1" queryTableFieldId="8" dataDxfId="56">
      <calculatedColumnFormula>IFERROR(IF((F1069-F1068)&gt;1,(LARGE(F1069:$F1069,1)-LARGE(F$1069:$F1069,2))-1,""),"")</calculatedColumnFormula>
    </tableColumn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90D6655-5274-4385-868F-02CB5FD3C2A4}" name="datasource_tranquility_type_id_204810510610710845789101112131415161718192021222324252627282930313233343536373839404142434445464748495051525354555657585960616263646566676869707172" displayName="datasource_tranquility_type_id_204810510610710845789101112131415161718192021222324252627282930313233343536373839404142434445464748495051525354555657585960616263646566676869707172" ref="B1083:G1097" tableType="queryTable" totalsRowShown="0">
  <autoFilter ref="B1083:G1097" xr:uid="{F90D6655-5274-4385-868F-02CB5FD3C2A4}"/>
  <tableColumns count="6">
    <tableColumn id="1" xr3:uid="{51B7C0DA-409C-497B-B738-2B67C5A72BA6}" uniqueName="1" name="Column1.average" queryTableFieldId="1"/>
    <tableColumn id="4" xr3:uid="{F999FEEB-3509-489E-B6E1-8A10BDC8B358}" uniqueName="4" name="Column1.lowest" queryTableFieldId="4"/>
    <tableColumn id="5" xr3:uid="{85BF062B-6631-4016-996E-2B25DAEC0D05}" uniqueName="5" name="Column1.order_count" queryTableFieldId="5"/>
    <tableColumn id="6" xr3:uid="{2F2CDAAA-FCF2-480B-9BF9-45B0B6DF87E4}" uniqueName="6" name="Column1.volume" queryTableFieldId="6"/>
    <tableColumn id="2" xr3:uid="{210A271A-F481-46F7-BE02-63ED07E045DC}" uniqueName="2" name="Parse" queryTableFieldId="7" dataDxfId="55"/>
    <tableColumn id="3" xr3:uid="{47ABC27B-00CD-4445-AF75-E0BE94C43964}" uniqueName="3" name="Column1" queryTableFieldId="8" dataDxfId="54">
      <calculatedColumnFormula>IFERROR(IF((F1084-F1083)&gt;1,(LARGE(F1084:$F1084,1)-LARGE(F$1084:$F1084,2))-1,""),"")</calculatedColumnFormula>
    </tableColumn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DD24E32-B6B6-446F-A7E8-D13ECF153A6E}" name="datasource_tranquility_type_id_20481051061071084578910111213141516171819202122232425262728293031323334353637383940414243444546474849505152535455565758596061626364656667686970717273" displayName="datasource_tranquility_type_id_20481051061071084578910111213141516171819202122232425262728293031323334353637383940414243444546474849505152535455565758596061626364656667686970717273" ref="B1098:G1112" tableType="queryTable" totalsRowShown="0">
  <autoFilter ref="B1098:G1112" xr:uid="{7DD24E32-B6B6-446F-A7E8-D13ECF153A6E}"/>
  <tableColumns count="6">
    <tableColumn id="1" xr3:uid="{8E7E009D-1DC9-4EAA-A170-CC172F4D52FA}" uniqueName="1" name="Column1.average" queryTableFieldId="1"/>
    <tableColumn id="4" xr3:uid="{48EFEA5B-74F4-4849-9CCA-09DF144BBE3B}" uniqueName="4" name="Column1.lowest" queryTableFieldId="4"/>
    <tableColumn id="5" xr3:uid="{B7222CCE-C683-4444-BED6-CDD393720164}" uniqueName="5" name="Column1.order_count" queryTableFieldId="5"/>
    <tableColumn id="6" xr3:uid="{F7FFB29D-D57B-4ABC-BB53-532031A25758}" uniqueName="6" name="Column1.volume" queryTableFieldId="6"/>
    <tableColumn id="2" xr3:uid="{698A649D-05DC-409C-A9EA-49120A0CAC28}" uniqueName="2" name="Parse" queryTableFieldId="7" dataDxfId="53"/>
    <tableColumn id="3" xr3:uid="{17A325F4-7443-4FCE-9446-4FF5196184FE}" uniqueName="3" name="Column1" queryTableFieldId="8" dataDxfId="52">
      <calculatedColumnFormula>IFERROR(IF((F1099-F1098)&gt;1,(LARGE(F1099:$F1099,1)-LARGE(F$1099:$F1099,2))-1,""),"")</calculatedColumnFormula>
    </tableColumn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0EB0619-AD81-4D26-BBE6-E070ACBFE1CB}" name="datasource_tranquility_type_id_2048105106107108457891011121314151617181920212223242526272829303132333435363738394041424344454647484950515253545556575859606162636465666768697071727374" displayName="datasource_tranquility_type_id_2048105106107108457891011121314151617181920212223242526272829303132333435363738394041424344454647484950515253545556575859606162636465666768697071727374" ref="B1113:G1127" tableType="queryTable" totalsRowShown="0">
  <autoFilter ref="B1113:G1127" xr:uid="{A0EB0619-AD81-4D26-BBE6-E070ACBFE1CB}"/>
  <tableColumns count="6">
    <tableColumn id="1" xr3:uid="{81C956AC-59D0-44AA-BCC3-29804E39CAD2}" uniqueName="1" name="Column1.average" queryTableFieldId="1"/>
    <tableColumn id="4" xr3:uid="{44AE148B-66E6-4B96-8F33-5CE614B5D568}" uniqueName="4" name="Column1.lowest" queryTableFieldId="4"/>
    <tableColumn id="5" xr3:uid="{A82EAA70-F17C-45CC-A9DB-9F68D02C82AC}" uniqueName="5" name="Column1.order_count" queryTableFieldId="5"/>
    <tableColumn id="6" xr3:uid="{89DF0099-8A82-48DC-B091-8B7151394DB1}" uniqueName="6" name="Column1.volume" queryTableFieldId="6"/>
    <tableColumn id="2" xr3:uid="{786C54F0-A3DE-44EF-A6AB-77D85CB597C5}" uniqueName="2" name="Parse" queryTableFieldId="7" dataDxfId="51"/>
    <tableColumn id="3" xr3:uid="{ABB6ECC1-0488-4066-81F7-76ECB8C6E30C}" uniqueName="3" name="Column1" queryTableFieldId="8" dataDxfId="50">
      <calculatedColumnFormula>IFERROR(IF((F1114-F1113)&gt;1,(LARGE(F1114:$F1114,1)-LARGE(F$1114:$F1114,2))-1,""),"")</calculatedColumnFormula>
    </tableColumn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AB9489C-8434-4E64-A77F-D69A68331BB8}" name="datasource_tranquility_type_id_204810510610710845789101112131415161718192021222324252627282930313233343536373839404142434445464748495051525354555657585960616263646566676869707172737475" displayName="datasource_tranquility_type_id_204810510610710845789101112131415161718192021222324252627282930313233343536373839404142434445464748495051525354555657585960616263646566676869707172737475" ref="B1128:G1142" tableType="queryTable" totalsRowShown="0">
  <autoFilter ref="B1128:G1142" xr:uid="{2AB9489C-8434-4E64-A77F-D69A68331BB8}"/>
  <tableColumns count="6">
    <tableColumn id="1" xr3:uid="{89DAE986-AE75-4E30-9B62-7497C682770B}" uniqueName="1" name="Column1.average" queryTableFieldId="1"/>
    <tableColumn id="4" xr3:uid="{7F120743-F1F2-4D77-83CE-AD617DBD2AB9}" uniqueName="4" name="Column1.lowest" queryTableFieldId="4"/>
    <tableColumn id="5" xr3:uid="{866FE393-830B-432C-B909-32F436622DC2}" uniqueName="5" name="Column1.order_count" queryTableFieldId="5"/>
    <tableColumn id="6" xr3:uid="{A1EB024A-7DFC-47F9-B49C-4708BD6B4245}" uniqueName="6" name="Column1.volume" queryTableFieldId="6"/>
    <tableColumn id="2" xr3:uid="{4214E8B8-8831-456D-9847-7EEAC94637F1}" uniqueName="2" name="Parse" queryTableFieldId="7" dataDxfId="49"/>
    <tableColumn id="3" xr3:uid="{FECCAFBE-A759-41F9-A926-091309F9DFA0}" uniqueName="3" name="Column1" queryTableFieldId="8" dataDxfId="48">
      <calculatedColumnFormula>IFERROR(IF((F1129-F1128)&gt;1,(LARGE(F1129:$F1129,1)-LARGE(F$1129:$F1129,2))-1,""),"")</calculatedColumnFormula>
    </tableColumn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2DE51D2-B79B-4C06-8EB3-EBBFB27BF2CE}" name="datasource_tranquility_type_id_20481051061071084578910111213141516171819202122232425262728293031323334353637383940414243444546474849505152535455565758596061626364656667686970717273747576" displayName="datasource_tranquility_type_id_20481051061071084578910111213141516171819202122232425262728293031323334353637383940414243444546474849505152535455565758596061626364656667686970717273747576" ref="B1143:G1157" tableType="queryTable" totalsRowShown="0">
  <autoFilter ref="B1143:G1157" xr:uid="{22DE51D2-B79B-4C06-8EB3-EBBFB27BF2CE}"/>
  <tableColumns count="6">
    <tableColumn id="1" xr3:uid="{E84812EC-7118-49D9-9941-303D883A16B8}" uniqueName="1" name="Column1.average" queryTableFieldId="1"/>
    <tableColumn id="4" xr3:uid="{2C0721BB-6694-49C1-B269-2E40D39AB7F1}" uniqueName="4" name="Column1.lowest" queryTableFieldId="4"/>
    <tableColumn id="5" xr3:uid="{FC46A033-E429-4811-A3D5-D4CEA45B33AA}" uniqueName="5" name="Column1.order_count" queryTableFieldId="5"/>
    <tableColumn id="6" xr3:uid="{269AEC6D-7511-47E7-BD5B-A4E3C19E71E4}" uniqueName="6" name="Column1.volume" queryTableFieldId="6"/>
    <tableColumn id="2" xr3:uid="{D6E0B6A6-3935-49D5-8381-7F3C55257C96}" uniqueName="2" name="Parse" queryTableFieldId="7" dataDxfId="47"/>
    <tableColumn id="3" xr3:uid="{4AEB4463-6E79-44C1-8A7C-0659C106F4DB}" uniqueName="3" name="Column1" queryTableFieldId="8" dataDxfId="46">
      <calculatedColumnFormula>IFERROR(IF((F1144-F1143)&gt;1,(LARGE(F1144:$F1144,1)-LARGE(F$1144:$F1144,2))-1,""),"")</calculatedColumnFormula>
    </tableColumn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5DF716F-C6C9-453D-AC67-D6705C0F1B31}" name="datasource_tranquility_type_id_2048105106107108457891011121314151617181920212223242526272829303132333435363738394041424344454647484950515253545556575859606162636465666768697071727374757677" displayName="datasource_tranquility_type_id_2048105106107108457891011121314151617181920212223242526272829303132333435363738394041424344454647484950515253545556575859606162636465666768697071727374757677" ref="B1158:G1172" tableType="queryTable" totalsRowShown="0">
  <autoFilter ref="B1158:G1172" xr:uid="{F5DF716F-C6C9-453D-AC67-D6705C0F1B31}"/>
  <tableColumns count="6">
    <tableColumn id="1" xr3:uid="{1B099012-7991-4C04-931C-CC028BF3B007}" uniqueName="1" name="Column1.average" queryTableFieldId="1"/>
    <tableColumn id="4" xr3:uid="{0A342570-084E-4A6B-8424-694CE22C7072}" uniqueName="4" name="Column1.lowest" queryTableFieldId="4"/>
    <tableColumn id="5" xr3:uid="{F1074793-22CC-49BC-83D1-0DD4117230A9}" uniqueName="5" name="Column1.order_count" queryTableFieldId="5"/>
    <tableColumn id="6" xr3:uid="{E2E69C25-BDB1-4603-8979-B7F65C5068D2}" uniqueName="6" name="Column1.volume" queryTableFieldId="6"/>
    <tableColumn id="2" xr3:uid="{7D1F751C-72DC-42CD-9A08-675BB836AB1D}" uniqueName="2" name="Parse" queryTableFieldId="7" dataDxfId="45"/>
    <tableColumn id="3" xr3:uid="{26D6CE30-8075-4176-9355-0F539C729EE3}" uniqueName="3" name="Column1" queryTableFieldId="8" dataDxfId="44">
      <calculatedColumnFormula>IFERROR(IF((F1159-F1158)&gt;1,(LARGE(F1159:$F1159,1)-LARGE(F$1159:$F1159,2))-1,""),"")</calculatedColumnFormula>
    </tableColumn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93484261-5E3D-45E1-ABAB-EC6B475E327D}" name="datasource_tranquility_type_id_204810510610710845789101112131415161718192021222324252627282930313233343536373839404142434445464748495051525354555657585960616263646566676869707172737475767778" displayName="datasource_tranquility_type_id_204810510610710845789101112131415161718192021222324252627282930313233343536373839404142434445464748495051525354555657585960616263646566676869707172737475767778" ref="B1173:G1187" tableType="queryTable" totalsRowShown="0">
  <autoFilter ref="B1173:G1187" xr:uid="{93484261-5E3D-45E1-ABAB-EC6B475E327D}"/>
  <tableColumns count="6">
    <tableColumn id="1" xr3:uid="{22EF078D-E9AC-4691-BE09-7A67E3476443}" uniqueName="1" name="Column1.average" queryTableFieldId="1"/>
    <tableColumn id="4" xr3:uid="{C99FFD33-F939-44F8-8A8F-BC75949D5381}" uniqueName="4" name="Column1.lowest" queryTableFieldId="4"/>
    <tableColumn id="5" xr3:uid="{776D2306-1F5B-42BA-9D8F-8B0D4572EF8B}" uniqueName="5" name="Column1.order_count" queryTableFieldId="5"/>
    <tableColumn id="6" xr3:uid="{F27EB8BE-D850-4250-8F22-B2BE540C7051}" uniqueName="6" name="Column1.volume" queryTableFieldId="6"/>
    <tableColumn id="2" xr3:uid="{7C1BEAAF-F797-4EA8-9AD6-25D56750BC55}" uniqueName="2" name="Parse" queryTableFieldId="7" dataDxfId="43"/>
    <tableColumn id="3" xr3:uid="{8EB291F5-D272-4A5D-8ECE-C90E2305D84E}" uniqueName="3" name="Column1" queryTableFieldId="8" dataDxfId="42">
      <calculatedColumnFormula>IFERROR(IF((F1174-F1173)&gt;1,(LARGE(F1174:$F1174,1)-LARGE(F$1174:$F1174,2))-1,""),"")</calculatedColumnFormula>
    </tableColumn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D5AAF8-0C65-4DC9-BCA7-282AF55E0CAA}" name="datasource_tranquility_type_id_20481051061071084578910111213141516171819202122232425262728293031323334353637383940414243444546474849505152535455565758596061626364656667686970717273747576777879" displayName="datasource_tranquility_type_id_20481051061071084578910111213141516171819202122232425262728293031323334353637383940414243444546474849505152535455565758596061626364656667686970717273747576777879" ref="B1188:G1202" tableType="queryTable" totalsRowShown="0">
  <autoFilter ref="B1188:G1202" xr:uid="{58D5AAF8-0C65-4DC9-BCA7-282AF55E0CAA}"/>
  <tableColumns count="6">
    <tableColumn id="1" xr3:uid="{F2CFB561-547B-4F7E-AF53-6F5E013E8726}" uniqueName="1" name="Column1.average" queryTableFieldId="1"/>
    <tableColumn id="4" xr3:uid="{490A508E-CD5F-4E25-A82E-8DAE9D5AB21F}" uniqueName="4" name="Column1.lowest" queryTableFieldId="4"/>
    <tableColumn id="5" xr3:uid="{6BFDCC14-4876-4E8E-B9BC-BDCC68FBAE5D}" uniqueName="5" name="Column1.order_count" queryTableFieldId="5"/>
    <tableColumn id="6" xr3:uid="{18245F4F-E1C1-43D0-B001-F84C120E6E4C}" uniqueName="6" name="Column1.volume" queryTableFieldId="6"/>
    <tableColumn id="2" xr3:uid="{1ED70E5A-26F3-4362-AAB3-BC0052135C79}" uniqueName="2" name="Parse" queryTableFieldId="7" dataDxfId="41"/>
    <tableColumn id="3" xr3:uid="{78CB0E54-6A69-4AB8-8C03-6F07A93C4AD4}" uniqueName="3" name="Column1" queryTableFieldId="8" dataDxfId="40">
      <calculatedColumnFormula>IFERROR(IF((F1189-F1188)&gt;1,(LARGE(F1189:$F1189,1)-LARGE(F$1189:$F1189,2))-1,""),"")</calculatedColumnFormula>
    </tableColumn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D46BE65E-D08D-41C6-90EF-F827ACB675DB}" name="datasource_tranquility_type_id_2048105106107108457891011121314151617181920212223242526272829303132333435363738394041424344454647484950515253545556575859606162636465666768697071727374757677787980" displayName="datasource_tranquility_type_id_2048105106107108457891011121314151617181920212223242526272829303132333435363738394041424344454647484950515253545556575859606162636465666768697071727374757677787980" ref="B1203:G1217" tableType="queryTable" totalsRowShown="0">
  <autoFilter ref="B1203:G1217" xr:uid="{D46BE65E-D08D-41C6-90EF-F827ACB675DB}"/>
  <tableColumns count="6">
    <tableColumn id="1" xr3:uid="{3622BBAC-F4DF-4435-9DBF-2A9E9E167ECB}" uniqueName="1" name="Column1.average" queryTableFieldId="1"/>
    <tableColumn id="4" xr3:uid="{979279A0-B9A6-4061-A53D-380522DA0D3B}" uniqueName="4" name="Column1.lowest" queryTableFieldId="4"/>
    <tableColumn id="5" xr3:uid="{DC3163BE-EE74-4F9C-A03E-CDDD614B8D5B}" uniqueName="5" name="Column1.order_count" queryTableFieldId="5"/>
    <tableColumn id="6" xr3:uid="{0769AFDD-2476-46B1-BB41-4104A792BC33}" uniqueName="6" name="Column1.volume" queryTableFieldId="6"/>
    <tableColumn id="2" xr3:uid="{7F4D6649-1FFC-4ED9-96EE-D806F698C750}" uniqueName="2" name="Parse" queryTableFieldId="7" dataDxfId="39"/>
    <tableColumn id="3" xr3:uid="{0E9A220E-2C7D-4CAB-8AC7-7364691304F6}" uniqueName="3" name="Column1" queryTableFieldId="8" dataDxfId="38">
      <calculatedColumnFormula>IFERROR(IF((F1204-F1203)&gt;1,(LARGE(F1204:$F1204,1)-LARGE(F$1204:$F1204,2))-1,""),"")</calculatedColumnFormula>
    </tableColumn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053A6A-FD8B-4956-BE7C-989977F38C5F}" name="datasource_tranquility_type_id_204810510610710845789101112131415161718192021222324252627282930313233343536373839404142434445464748495051525354555657585960616263646566676869707172737475767778798081" displayName="datasource_tranquility_type_id_204810510610710845789101112131415161718192021222324252627282930313233343536373839404142434445464748495051525354555657585960616263646566676869707172737475767778798081" ref="B1218:G1232" tableType="queryTable" totalsRowShown="0">
  <autoFilter ref="B1218:G1232" xr:uid="{71053A6A-FD8B-4956-BE7C-989977F38C5F}"/>
  <tableColumns count="6">
    <tableColumn id="1" xr3:uid="{D238D76E-1E7A-49C3-BB5B-CD95066E87E5}" uniqueName="1" name="Column1.average" queryTableFieldId="1"/>
    <tableColumn id="4" xr3:uid="{639EEC5B-B57B-4CA7-B5A7-EAB6B1732E22}" uniqueName="4" name="Column1.lowest" queryTableFieldId="4"/>
    <tableColumn id="5" xr3:uid="{AD579B03-F10C-455F-8D25-D3D83BB03698}" uniqueName="5" name="Column1.order_count" queryTableFieldId="5"/>
    <tableColumn id="6" xr3:uid="{44F02BD6-73A0-4AB4-9622-B01555DBA437}" uniqueName="6" name="Column1.volume" queryTableFieldId="6"/>
    <tableColumn id="2" xr3:uid="{B137473D-FD5F-4318-8E3B-6AF0851B7AC7}" uniqueName="2" name="Parse" queryTableFieldId="7" dataDxfId="37"/>
    <tableColumn id="3" xr3:uid="{30A195A9-B252-4244-A61D-1DC142C04CA3}" uniqueName="3" name="Column1" queryTableFieldId="8" dataDxfId="36">
      <calculatedColumnFormula>IFERROR(IF((F1219-F1218)&gt;1,(LARGE(F1219:$F1219,1)-LARGE(F$1219:$F1219,2))-1,""),"")</calculatedColumnFormula>
    </tableColumn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258DD6B-E548-429C-B1FE-AF302035F30C}" name="datasource_tranquility_type_id_20481051061071084578910111213141516171819202122232425262728293031323334353637383940414243444546474849505152535455565758596061626364656667686970717273747576777879808182" displayName="datasource_tranquility_type_id_20481051061071084578910111213141516171819202122232425262728293031323334353637383940414243444546474849505152535455565758596061626364656667686970717273747576777879808182" ref="B1233:G1247" tableType="queryTable" totalsRowShown="0">
  <autoFilter ref="B1233:G1247" xr:uid="{C258DD6B-E548-429C-B1FE-AF302035F30C}"/>
  <tableColumns count="6">
    <tableColumn id="1" xr3:uid="{8C43A266-4E12-4525-944C-66990C56038D}" uniqueName="1" name="Column1.average" queryTableFieldId="1"/>
    <tableColumn id="4" xr3:uid="{3C43AAB8-5AB4-46C3-AC0A-E8AB8CF204B6}" uniqueName="4" name="Column1.lowest" queryTableFieldId="4"/>
    <tableColumn id="5" xr3:uid="{63A4B228-BCB4-4BAB-89B0-09BEAD600EDE}" uniqueName="5" name="Column1.order_count" queryTableFieldId="5"/>
    <tableColumn id="6" xr3:uid="{94032AFF-6CD6-48CB-A235-1770EBA080CA}" uniqueName="6" name="Column1.volume" queryTableFieldId="6"/>
    <tableColumn id="2" xr3:uid="{78A123E5-08AA-48AD-AA98-8DE617A1BBA6}" uniqueName="2" name="Parse" queryTableFieldId="7" dataDxfId="35"/>
    <tableColumn id="3" xr3:uid="{22CACEEF-CC72-4CE6-A3FD-2855603BBB6F}" uniqueName="3" name="Column1" queryTableFieldId="8" dataDxfId="34">
      <calculatedColumnFormula>IFERROR(IF((F1234-F1233)&gt;1,(LARGE(F1234:$F1234,1)-LARGE(F$1234:$F1234,2))-1,""),"")</calculatedColumnFormula>
    </tableColumn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5393DA3-7129-4073-9055-C3B422B47776}" name="datasource_tranquility_type_id_2048105106107108457891011121314151617181920212223242526272829303132333435363738394041424344454647484950515253545556575859606162636465666768697071727374757677787980818283" displayName="datasource_tranquility_type_id_2048105106107108457891011121314151617181920212223242526272829303132333435363738394041424344454647484950515253545556575859606162636465666768697071727374757677787980818283" ref="B1248:G1262" tableType="queryTable" totalsRowShown="0">
  <autoFilter ref="B1248:G1262" xr:uid="{F5393DA3-7129-4073-9055-C3B422B47776}"/>
  <tableColumns count="6">
    <tableColumn id="1" xr3:uid="{EA29EFEA-2A6D-4D47-BE91-3498FEA57ABD}" uniqueName="1" name="Column1.average" queryTableFieldId="1"/>
    <tableColumn id="4" xr3:uid="{F31B3F2B-AD41-4ECF-8458-472B5CDFED24}" uniqueName="4" name="Column1.lowest" queryTableFieldId="4"/>
    <tableColumn id="5" xr3:uid="{8907362C-3F7B-46D9-AEDA-708EB32E8CC4}" uniqueName="5" name="Column1.order_count" queryTableFieldId="5"/>
    <tableColumn id="6" xr3:uid="{9551966F-9B30-4BE1-9C71-F835479F713F}" uniqueName="6" name="Column1.volume" queryTableFieldId="6"/>
    <tableColumn id="2" xr3:uid="{1CE3AD4C-15F0-4E15-9171-B7BF23123B2C}" uniqueName="2" name="Parse" queryTableFieldId="7" dataDxfId="33"/>
    <tableColumn id="3" xr3:uid="{1732F667-C5B4-4203-A0B4-98BDD08E3733}" uniqueName="3" name="Column1" queryTableFieldId="8" dataDxfId="32">
      <calculatedColumnFormula>IFERROR(IF((F1249-F1248)&gt;1,(LARGE(F1249:$F1249,1)-LARGE(F$1249:$F1249,2))-1,""),"")</calculatedColumnFormula>
    </tableColumn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1EEDF2E-44BE-4D30-9717-B03A452E47BF}" name="datasource_tranquility_type_id_204810510610710845789101112131415161718192021222324252627282930313233343536373839404142434445464748495051525354555657585960616263646566676869707172737475767778798081828384" displayName="datasource_tranquility_type_id_204810510610710845789101112131415161718192021222324252627282930313233343536373839404142434445464748495051525354555657585960616263646566676869707172737475767778798081828384" ref="B1263:G1277" tableType="queryTable" totalsRowShown="0">
  <autoFilter ref="B1263:G1277" xr:uid="{B1EEDF2E-44BE-4D30-9717-B03A452E47BF}"/>
  <tableColumns count="6">
    <tableColumn id="1" xr3:uid="{BC7D4005-14F1-4B80-BBF2-F5407AEFD5F8}" uniqueName="1" name="Column1.average" queryTableFieldId="1"/>
    <tableColumn id="4" xr3:uid="{F9C1D153-A01A-40B1-BB01-EC9589C7CF8E}" uniqueName="4" name="Column1.lowest" queryTableFieldId="4"/>
    <tableColumn id="5" xr3:uid="{4511E802-29D3-4ECD-81AC-51DD1497A101}" uniqueName="5" name="Column1.order_count" queryTableFieldId="5"/>
    <tableColumn id="6" xr3:uid="{7A2A2A5C-2D3B-44CB-A78A-49AB30E017AF}" uniqueName="6" name="Column1.volume" queryTableFieldId="6"/>
    <tableColumn id="2" xr3:uid="{EA23297B-1647-43CD-8F32-08C3CF825160}" uniqueName="2" name="Parse" queryTableFieldId="7" dataDxfId="31"/>
    <tableColumn id="3" xr3:uid="{9ACE119B-7149-43D3-BE05-2C7CF2870BA0}" uniqueName="3" name="Column1" queryTableFieldId="8" dataDxfId="30">
      <calculatedColumnFormula>IFERROR(IF((F1264-F1263)&gt;1,(LARGE(F1264:$F1264,1)-LARGE(F$1264:$F1264,2))-1,""),"")</calculatedColumnFormula>
    </tableColumn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910569F3-A34F-49D0-A294-D869AE618F01}" name="datasource_tranquility_type_id_20481051061071084578910111213141516171819202122232425262728293031323334353637383940414243444546474849505152535455565758596061626364656667686970717273747576777879808182838485" displayName="datasource_tranquility_type_id_20481051061071084578910111213141516171819202122232425262728293031323334353637383940414243444546474849505152535455565758596061626364656667686970717273747576777879808182838485" ref="B1278:G1292" tableType="queryTable" totalsRowShown="0">
  <autoFilter ref="B1278:G1292" xr:uid="{910569F3-A34F-49D0-A294-D869AE618F01}"/>
  <tableColumns count="6">
    <tableColumn id="1" xr3:uid="{883B6C2E-ACEE-4D71-AF88-47064D697948}" uniqueName="1" name="Column1.average" queryTableFieldId="1"/>
    <tableColumn id="4" xr3:uid="{3280F4C7-F17C-4BED-A7B6-E181B262B682}" uniqueName="4" name="Column1.lowest" queryTableFieldId="4"/>
    <tableColumn id="5" xr3:uid="{C1161E73-1C7F-487E-9295-C5C785E0A68B}" uniqueName="5" name="Column1.order_count" queryTableFieldId="5"/>
    <tableColumn id="6" xr3:uid="{1A2F96BA-C731-4463-AE70-B7D7E24F313A}" uniqueName="6" name="Column1.volume" queryTableFieldId="6"/>
    <tableColumn id="2" xr3:uid="{AB44D359-FC6F-44A3-88A6-CC6732829009}" uniqueName="2" name="Parse" queryTableFieldId="7" dataDxfId="29"/>
    <tableColumn id="3" xr3:uid="{BF1F21C6-B70E-408B-9A97-44E4CA8C0381}" uniqueName="3" name="Column1" queryTableFieldId="8" dataDxfId="28">
      <calculatedColumnFormula>IFERROR(IF((F1279-F1278)&gt;1,(LARGE(F1279:$F1279,1)-LARGE(F$1279:$F1279,2))-1,""),"")</calculatedColumnFormula>
    </tableColumn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6085D3D-900B-46EF-8DF4-A003E7F70CBF}" name="datasource_tranquility_type_id_2048105106107108457891011121314151617181920212223242526272829303132333435363738394041424344454647484950515253545556575859606162636465666768697071727374757677787980818283848586" displayName="datasource_tranquility_type_id_2048105106107108457891011121314151617181920212223242526272829303132333435363738394041424344454647484950515253545556575859606162636465666768697071727374757677787980818283848586" ref="B1293:G1307" tableType="queryTable" totalsRowShown="0">
  <autoFilter ref="B1293:G1307" xr:uid="{06085D3D-900B-46EF-8DF4-A003E7F70CBF}"/>
  <tableColumns count="6">
    <tableColumn id="1" xr3:uid="{78259CCA-61A4-406E-B47C-D0AF41E687CB}" uniqueName="1" name="Column1.average" queryTableFieldId="1"/>
    <tableColumn id="4" xr3:uid="{0D94FB43-74D7-4CB3-802C-F36E56AE57A1}" uniqueName="4" name="Column1.lowest" queryTableFieldId="4"/>
    <tableColumn id="5" xr3:uid="{0C680A02-1511-466B-BFC4-283713575234}" uniqueName="5" name="Column1.order_count" queryTableFieldId="5"/>
    <tableColumn id="6" xr3:uid="{31E925E0-52BB-4D43-A368-D1952D09CBED}" uniqueName="6" name="Column1.volume" queryTableFieldId="6"/>
    <tableColumn id="2" xr3:uid="{9A5E34C6-7E7E-44C2-98E3-04A32E202566}" uniqueName="2" name="Parse" queryTableFieldId="7" dataDxfId="27"/>
    <tableColumn id="3" xr3:uid="{3D2A8303-9DFE-4E0F-A684-4B2656BC6081}" uniqueName="3" name="Column1" queryTableFieldId="8" dataDxfId="26">
      <calculatedColumnFormula>IFERROR(IF((F1294-F1293)&gt;1,(LARGE(F1294:$F1294,1)-LARGE(F$1294:$F1294,2))-1,""),"")</calculatedColumnFormula>
    </tableColumn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BF7DF21E-DE00-4EEB-AADE-FDF03EF4545D}" name="datasource_tranquility_type_id_204810510610710845789101112131415161718192021222324252627282930313233343536373839404142434445464748495051525354555657585960616263646566676869707172737475767778798081828384858687" displayName="datasource_tranquility_type_id_204810510610710845789101112131415161718192021222324252627282930313233343536373839404142434445464748495051525354555657585960616263646566676869707172737475767778798081828384858687" ref="B1308:G1322" tableType="queryTable" totalsRowShown="0">
  <autoFilter ref="B1308:G1322" xr:uid="{BF7DF21E-DE00-4EEB-AADE-FDF03EF4545D}"/>
  <tableColumns count="6">
    <tableColumn id="1" xr3:uid="{04CC9B35-62AB-4355-A3F0-DBBD3F1B8893}" uniqueName="1" name="Column1.average" queryTableFieldId="1"/>
    <tableColumn id="4" xr3:uid="{7B23D4E5-6BA8-4909-BA62-2174CA99F633}" uniqueName="4" name="Column1.lowest" queryTableFieldId="4"/>
    <tableColumn id="5" xr3:uid="{126ED5FB-9508-41B9-9DD2-CF97296C84B8}" uniqueName="5" name="Column1.order_count" queryTableFieldId="5"/>
    <tableColumn id="6" xr3:uid="{40CCC8FD-D5F0-4744-A6AE-40CF9E5B6F73}" uniqueName="6" name="Column1.volume" queryTableFieldId="6"/>
    <tableColumn id="2" xr3:uid="{CB40E0B9-96C5-423F-A2C9-478D2E43EA3D}" uniqueName="2" name="Parse" queryTableFieldId="7" dataDxfId="25"/>
    <tableColumn id="3" xr3:uid="{9FD53835-17A3-4571-BFA1-A674C2629CDA}" uniqueName="3" name="Column1" queryTableFieldId="8" dataDxfId="24">
      <calculatedColumnFormula>IFERROR(IF((F1309-F1308)&gt;1,(LARGE(F1309:$F1309,1)-LARGE(F$1309:$F1309,2))-1,""),"")</calculatedColumnFormula>
    </tableColumn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6EBB2B49-E17B-4E82-957E-3EF5E76B8844}" name="datasource_tranquility_type_id_20481051061071084578910111213141516171819202122232425262728293031323334353637383940414243444546474849505152535455565758596061626364656667686970717273747576777879808182838485868788" displayName="datasource_tranquility_type_id_20481051061071084578910111213141516171819202122232425262728293031323334353637383940414243444546474849505152535455565758596061626364656667686970717273747576777879808182838485868788" ref="B1323:G1337" tableType="queryTable" totalsRowShown="0">
  <autoFilter ref="B1323:G1337" xr:uid="{6EBB2B49-E17B-4E82-957E-3EF5E76B8844}"/>
  <tableColumns count="6">
    <tableColumn id="1" xr3:uid="{8B1B01EE-C421-4A95-8EDA-DC6B8AB9F5C4}" uniqueName="1" name="Column1.average" queryTableFieldId="1"/>
    <tableColumn id="4" xr3:uid="{C931E5CC-4E4C-490A-A380-60D1286EC488}" uniqueName="4" name="Column1.lowest" queryTableFieldId="4"/>
    <tableColumn id="5" xr3:uid="{2F8B5D27-0938-4E96-8F06-57D5328E2F54}" uniqueName="5" name="Column1.order_count" queryTableFieldId="5"/>
    <tableColumn id="6" xr3:uid="{6933303B-D4CA-451D-833F-21CD0454D25D}" uniqueName="6" name="Column1.volume" queryTableFieldId="6"/>
    <tableColumn id="2" xr3:uid="{95FA20F0-1DF4-4E83-8D0D-84B22DE188FB}" uniqueName="2" name="Parse" queryTableFieldId="7" dataDxfId="23"/>
    <tableColumn id="3" xr3:uid="{64047188-C0BE-4031-879C-92488174A3C7}" uniqueName="3" name="Column1" queryTableFieldId="8" dataDxfId="22">
      <calculatedColumnFormula>IFERROR(IF((F1324-F1323)&gt;1,(LARGE(F1324:$F1324,1)-LARGE(F$1324:$F1324,2))-1,""),"")</calculatedColumnFormula>
    </tableColumn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36B5F539-352A-4CD4-A5AA-14BB04B5391C}" name="datasource_tranquility_type_id_2048105106107108457891011121314151617181920212223242526272829303132333435363738394041424344454647484950515253545556575859606162636465666768697071727374757677787980818283848586878889" displayName="datasource_tranquility_type_id_2048105106107108457891011121314151617181920212223242526272829303132333435363738394041424344454647484950515253545556575859606162636465666768697071727374757677787980818283848586878889" ref="B1338:G1352" tableType="queryTable" totalsRowShown="0">
  <autoFilter ref="B1338:G1352" xr:uid="{36B5F539-352A-4CD4-A5AA-14BB04B5391C}"/>
  <tableColumns count="6">
    <tableColumn id="1" xr3:uid="{38A4880F-DE9E-4948-9A3F-DAE5365B00EF}" uniqueName="1" name="Column1.average" queryTableFieldId="1"/>
    <tableColumn id="4" xr3:uid="{E4CFC0A5-CD4D-434F-9128-A2F3803E6CEB}" uniqueName="4" name="Column1.lowest" queryTableFieldId="4"/>
    <tableColumn id="5" xr3:uid="{B3A18CE9-89E8-4455-A7F5-DDFE61FEE58B}" uniqueName="5" name="Column1.order_count" queryTableFieldId="5"/>
    <tableColumn id="6" xr3:uid="{476EAA4E-84F0-413D-8057-F5EE99C45ABE}" uniqueName="6" name="Column1.volume" queryTableFieldId="6"/>
    <tableColumn id="2" xr3:uid="{A7538312-210F-4181-AFE2-5E2180F6A265}" uniqueName="2" name="Parse" queryTableFieldId="7" dataDxfId="21"/>
    <tableColumn id="3" xr3:uid="{A182E373-2A7D-4D76-B53F-E6D7625A4767}" uniqueName="3" name="Column1" queryTableFieldId="8" dataDxfId="20">
      <calculatedColumnFormula>IFERROR(IF((F1339-F1338)&gt;1,(LARGE(F1339:$F1339,1)-LARGE(F$1339:$F1339,2))-1,""),"")</calculatedColumnFormula>
    </tableColumn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BCC210A-E4DA-4CA2-965E-C7B1DF314DC7}" name="datasource_tranquility_type_id_204810510610710845789101112131415161718192021222324252627282930313233343536373839404142434445464748495051525354555657585960616263646566676869707172737475767778798081828384858687888990" displayName="datasource_tranquility_type_id_204810510610710845789101112131415161718192021222324252627282930313233343536373839404142434445464748495051525354555657585960616263646566676869707172737475767778798081828384858687888990" ref="B1353:G1367" tableType="queryTable" totalsRowShown="0">
  <autoFilter ref="B1353:G1367" xr:uid="{3BCC210A-E4DA-4CA2-965E-C7B1DF314DC7}"/>
  <tableColumns count="6">
    <tableColumn id="1" xr3:uid="{D21875E5-2EB3-47F0-8F31-FDFE4C802012}" uniqueName="1" name="Column1.average" queryTableFieldId="1"/>
    <tableColumn id="4" xr3:uid="{A0BFCF7A-8D3D-4A4E-B697-ED085D27FC58}" uniqueName="4" name="Column1.lowest" queryTableFieldId="4"/>
    <tableColumn id="5" xr3:uid="{70F72BCA-EE7D-44F2-99D1-5ADCBB64B902}" uniqueName="5" name="Column1.order_count" queryTableFieldId="5"/>
    <tableColumn id="6" xr3:uid="{11352221-4875-475E-9285-8A96B64CBECE}" uniqueName="6" name="Column1.volume" queryTableFieldId="6"/>
    <tableColumn id="2" xr3:uid="{FE6ECC0C-555B-4E46-8DCA-B3CD117ADCFD}" uniqueName="2" name="Parse" queryTableFieldId="7" dataDxfId="19"/>
    <tableColumn id="3" xr3:uid="{D5057FA7-5398-4E42-A73D-E6A7DCEEFFF4}" uniqueName="3" name="Column1" queryTableFieldId="8" dataDxfId="18">
      <calculatedColumnFormula>IFERROR(IF((F1354-F1353)&gt;1,(LARGE(F1354:$F1354,1)-LARGE(F$1354:$F1354,2))-1,""),"")</calculatedColumnFormula>
    </tableColumn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D83363F-E010-4D10-85BA-872C7F616679}" name="datasource_tranquility_type_id_20481051061071084578910111213141516171819202122232425262728293031323334353637383940414243444546474849505152535455565758596061626364656667686970717273747576777879808182838485868788899091" displayName="datasource_tranquility_type_id_20481051061071084578910111213141516171819202122232425262728293031323334353637383940414243444546474849505152535455565758596061626364656667686970717273747576777879808182838485868788899091" ref="B1368:G1382" tableType="queryTable" totalsRowShown="0">
  <autoFilter ref="B1368:G1382" xr:uid="{8D83363F-E010-4D10-85BA-872C7F616679}"/>
  <tableColumns count="6">
    <tableColumn id="1" xr3:uid="{921F6746-764E-48C6-A3CD-42C6CA6A19D9}" uniqueName="1" name="Column1.average" queryTableFieldId="1"/>
    <tableColumn id="4" xr3:uid="{135ACB96-EC32-4278-A2C6-8A12E500FA0D}" uniqueName="4" name="Column1.lowest" queryTableFieldId="4"/>
    <tableColumn id="5" xr3:uid="{807E3485-B6CA-4FDA-A914-7A529F037252}" uniqueName="5" name="Column1.order_count" queryTableFieldId="5"/>
    <tableColumn id="6" xr3:uid="{7CAAC515-C46B-4BDB-BB7B-13329E812E47}" uniqueName="6" name="Column1.volume" queryTableFieldId="6"/>
    <tableColumn id="2" xr3:uid="{998DCAC4-EAD3-4D5E-9A0B-FB6C2302A5CF}" uniqueName="2" name="Parse" queryTableFieldId="7" dataDxfId="17"/>
    <tableColumn id="3" xr3:uid="{17AD1D77-010E-40C2-B63E-09C197097A13}" uniqueName="3" name="Column1" queryTableFieldId="8" dataDxfId="16">
      <calculatedColumnFormula>IFERROR(IF((F1369-F1368)&gt;1,(LARGE(F1369:$F1369,1)-LARGE(F$1369:$F1369,2))-1,""),"")</calculatedColumnFormula>
    </tableColumn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7E9B57C2-1174-4C6F-963F-25E1E9366176}" name="datasource_tranquility_type_id_2048105106107108457891011121314151617181920212223242526272829303132333435363738394041424344454647484950515253545556575859606162636465666768697071727374757677787980818283848586878889909192" displayName="datasource_tranquility_type_id_2048105106107108457891011121314151617181920212223242526272829303132333435363738394041424344454647484950515253545556575859606162636465666768697071727374757677787980818283848586878889909192" ref="B1383:G1397" tableType="queryTable" totalsRowShown="0">
  <autoFilter ref="B1383:G1397" xr:uid="{7E9B57C2-1174-4C6F-963F-25E1E9366176}"/>
  <tableColumns count="6">
    <tableColumn id="1" xr3:uid="{225E45E3-4926-4C08-B347-3070ECE88965}" uniqueName="1" name="Column1.average" queryTableFieldId="1"/>
    <tableColumn id="4" xr3:uid="{F8CC5037-FF65-4B41-9DDF-B7D83D1AE93D}" uniqueName="4" name="Column1.lowest" queryTableFieldId="4"/>
    <tableColumn id="5" xr3:uid="{437BEC02-D5C2-4EFC-A002-AC4FD870F12A}" uniqueName="5" name="Column1.order_count" queryTableFieldId="5"/>
    <tableColumn id="6" xr3:uid="{F4E38FDF-CE27-4D68-8D10-9883CD5A61B7}" uniqueName="6" name="Column1.volume" queryTableFieldId="6"/>
    <tableColumn id="2" xr3:uid="{7130B4AF-FCC3-4C3B-AF1E-84A5CFF0977C}" uniqueName="2" name="Parse" queryTableFieldId="7" dataDxfId="15"/>
    <tableColumn id="3" xr3:uid="{0B356A05-A3DD-479E-B5BF-2E5ED0D3525C}" uniqueName="3" name="Column1" queryTableFieldId="8" dataDxfId="14">
      <calculatedColumnFormula>IFERROR(IF((F1384-F1383)&gt;1,(LARGE(F1384:$F1384,1)-LARGE(F$1384:$F1384,2))-1,""),"")</calculatedColumnFormula>
    </tableColumn>
  </tableColumns>
  <tableStyleInfo name="TableStyleMedium7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C9463248-F3D0-4609-AE21-09CA3C92FB46}" name="datasource_tranquility_type_id_204810510610710845789101112131415161718192021222324252627282930313233343536373839404142434445464748495051525354555657585960616263646566676869707172737475767778798081828384858687888990919293" displayName="datasource_tranquility_type_id_204810510610710845789101112131415161718192021222324252627282930313233343536373839404142434445464748495051525354555657585960616263646566676869707172737475767778798081828384858687888990919293" ref="B1398:G1412" tableType="queryTable" totalsRowShown="0">
  <autoFilter ref="B1398:G1412" xr:uid="{C9463248-F3D0-4609-AE21-09CA3C92FB46}"/>
  <tableColumns count="6">
    <tableColumn id="1" xr3:uid="{92EC03C9-A267-42CC-A1D9-F04034D873CF}" uniqueName="1" name="Column1.average" queryTableFieldId="1"/>
    <tableColumn id="4" xr3:uid="{38E08F51-8C86-4EA3-BF50-B07D2238664E}" uniqueName="4" name="Column1.lowest" queryTableFieldId="4"/>
    <tableColumn id="5" xr3:uid="{415D6102-79D8-4A6E-8D19-D5C4EE31EE54}" uniqueName="5" name="Column1.order_count" queryTableFieldId="5"/>
    <tableColumn id="6" xr3:uid="{2802C21E-97D0-4E04-83E6-4FAFD453A416}" uniqueName="6" name="Column1.volume" queryTableFieldId="6"/>
    <tableColumn id="2" xr3:uid="{3D5FAAA2-E304-4CA6-B608-8D20DA5ED7BE}" uniqueName="2" name="Parse" queryTableFieldId="7" dataDxfId="13"/>
    <tableColumn id="3" xr3:uid="{62D1749E-7BAA-4864-AF6B-670A94CEAC82}" uniqueName="3" name="Column1" queryTableFieldId="8" dataDxfId="12">
      <calculatedColumnFormula>IFERROR(IF((F1399-F1398)&gt;1,(LARGE(F1399:$F1399,1)-LARGE(F$1399:$F1399,2))-1,""),"")</calculatedColumnFormula>
    </tableColumn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49FB2F7F-2289-4697-A98D-CD352EC63ADF}" name="datasource_tranquility_type_id_20481051061071084578910111213141516171819202122232425262728293031323334353637383940414243444546474849505152535455565758596061626364656667686970717273747576777879808182838485868788899091929394" displayName="datasource_tranquility_type_id_20481051061071084578910111213141516171819202122232425262728293031323334353637383940414243444546474849505152535455565758596061626364656667686970717273747576777879808182838485868788899091929394" ref="B1413:G1427" tableType="queryTable" totalsRowShown="0">
  <autoFilter ref="B1413:G1427" xr:uid="{49FB2F7F-2289-4697-A98D-CD352EC63ADF}"/>
  <tableColumns count="6">
    <tableColumn id="1" xr3:uid="{475DB244-076B-422F-A6BA-93C8E128ABBD}" uniqueName="1" name="Column1.average" queryTableFieldId="1"/>
    <tableColumn id="4" xr3:uid="{56AFAD0C-5EA8-4886-9C9E-0918F4CA74F9}" uniqueName="4" name="Column1.lowest" queryTableFieldId="4"/>
    <tableColumn id="5" xr3:uid="{2D112409-21AA-4345-8244-5715E425C308}" uniqueName="5" name="Column1.order_count" queryTableFieldId="5"/>
    <tableColumn id="6" xr3:uid="{F620012A-69A7-46EE-9C1A-ED7082C1FD3B}" uniqueName="6" name="Column1.volume" queryTableFieldId="6"/>
    <tableColumn id="2" xr3:uid="{B7412753-B7B8-4ED0-A9F7-BBC9999273B5}" uniqueName="2" name="Parse" queryTableFieldId="7" dataDxfId="11"/>
    <tableColumn id="3" xr3:uid="{68D7319A-8CD6-4C61-82F9-29AC232BC651}" uniqueName="3" name="Column1" queryTableFieldId="8" dataDxfId="10">
      <calculatedColumnFormula>IFERROR(IF((F1414-F1413)&gt;1,(LARGE(F1414:$F1414,1)-LARGE(F$1414:$F1414,2))-1,""),"")</calculatedColumnFormula>
    </tableColumn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C1605CC-C02B-410C-AF94-D10256ABDC60}" name="datasource_tranquility_type_id_2048105106107108457891011121314151617181920212223242526272829303132333435363738394041424344454647484950515253545556575859606162636465666768697071727374757677787980818283848586878889909192939495" displayName="datasource_tranquility_type_id_2048105106107108457891011121314151617181920212223242526272829303132333435363738394041424344454647484950515253545556575859606162636465666768697071727374757677787980818283848586878889909192939495" ref="B1428:G1442" tableType="queryTable" totalsRowShown="0">
  <autoFilter ref="B1428:G1442" xr:uid="{0C1605CC-C02B-410C-AF94-D10256ABDC60}"/>
  <tableColumns count="6">
    <tableColumn id="1" xr3:uid="{CE906B60-20A1-4954-996A-6BC2093F532D}" uniqueName="1" name="Column1.average" queryTableFieldId="1"/>
    <tableColumn id="4" xr3:uid="{5DA680B9-9E6F-47C6-A493-E6FF25F18F0F}" uniqueName="4" name="Column1.lowest" queryTableFieldId="4"/>
    <tableColumn id="5" xr3:uid="{AFF2F9BD-6008-4810-894A-BB2385D2112E}" uniqueName="5" name="Column1.order_count" queryTableFieldId="5"/>
    <tableColumn id="6" xr3:uid="{B18C1A5A-4172-4A04-97DC-6EC071BD8B8F}" uniqueName="6" name="Column1.volume" queryTableFieldId="6"/>
    <tableColumn id="2" xr3:uid="{0D381D3B-9C50-43CA-9169-93A9ECF177B5}" uniqueName="2" name="Parse" queryTableFieldId="7" dataDxfId="9"/>
    <tableColumn id="3" xr3:uid="{6B654E78-3653-4FFD-BE9C-8569D69E9C3D}" uniqueName="3" name="Column1" queryTableFieldId="8" dataDxfId="8">
      <calculatedColumnFormula>IFERROR(IF((F1429-F1428)&gt;1,(LARGE(F1429:$F1429,1)-LARGE(F$1429:$F1429,2))-1,""),"")</calculatedColumnFormula>
    </tableColumn>
  </tableColumns>
  <tableStyleInfo name="TableStyleMedium7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92F40E38-D0E2-44CF-AFE4-0287184DE51F}" name="datasource_tranquility_type_id_204810510610710845789101112131415161718192021222324252627282930313233343536373839404142434445464748495051525354555657585960616263646566676869707172737475767778798081828384858687888990919293949596" displayName="datasource_tranquility_type_id_204810510610710845789101112131415161718192021222324252627282930313233343536373839404142434445464748495051525354555657585960616263646566676869707172737475767778798081828384858687888990919293949596" ref="B1443:G1457" tableType="queryTable" totalsRowShown="0">
  <autoFilter ref="B1443:G1457" xr:uid="{92F40E38-D0E2-44CF-AFE4-0287184DE51F}"/>
  <tableColumns count="6">
    <tableColumn id="1" xr3:uid="{490A90B4-9AD8-4898-8561-7B31DA445F9E}" uniqueName="1" name="Column1.average" queryTableFieldId="1"/>
    <tableColumn id="4" xr3:uid="{70F22C86-67EE-4E2D-94B1-A220A19CAF19}" uniqueName="4" name="Column1.lowest" queryTableFieldId="4"/>
    <tableColumn id="5" xr3:uid="{05A928F3-FBBF-4E1B-BC3C-3D80901FEF20}" uniqueName="5" name="Column1.order_count" queryTableFieldId="5"/>
    <tableColumn id="6" xr3:uid="{E45C32E9-CA03-40CC-B070-5F417D6C3DFA}" uniqueName="6" name="Column1.volume" queryTableFieldId="6"/>
    <tableColumn id="2" xr3:uid="{2D72076B-B85C-4BAB-AADC-1CCF38B9AACB}" uniqueName="2" name="Parse" queryTableFieldId="7" dataDxfId="7"/>
    <tableColumn id="3" xr3:uid="{6F134328-4321-466B-8B4B-F6239A0F1B74}" uniqueName="3" name="Column1" queryTableFieldId="8" dataDxfId="6">
      <calculatedColumnFormula>IFERROR(IF((F1444-F1443)&gt;1,(LARGE(F1444:$F1444,1)-LARGE(F$1444:$F1444,2))-1,""),"")</calculatedColumnFormula>
    </tableColumn>
  </tableColumns>
  <tableStyleInfo name="TableStyleMedium7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153192D-FD16-496D-90AA-E55329A0A262}" name="datasource_tranquility_type_id_20481051061071084578910111213141516171819202122232425262728293031323334353637383940414243444546474849505152535455565758596061626364656667686970717273747576777879808182838485868788899091929394959697" displayName="datasource_tranquility_type_id_20481051061071084578910111213141516171819202122232425262728293031323334353637383940414243444546474849505152535455565758596061626364656667686970717273747576777879808182838485868788899091929394959697" ref="B1458:G1472" tableType="queryTable" totalsRowShown="0">
  <autoFilter ref="B1458:G1472" xr:uid="{2153192D-FD16-496D-90AA-E55329A0A262}"/>
  <tableColumns count="6">
    <tableColumn id="1" xr3:uid="{B17BFA6D-67DA-46EE-B27F-D51EFE3C634C}" uniqueName="1" name="Column1.average" queryTableFieldId="1"/>
    <tableColumn id="4" xr3:uid="{9E687630-4986-42AF-9E08-35D37B4EF717}" uniqueName="4" name="Column1.lowest" queryTableFieldId="4"/>
    <tableColumn id="5" xr3:uid="{97AF710C-FD55-4370-A4B9-A2688F4DB44F}" uniqueName="5" name="Column1.order_count" queryTableFieldId="5"/>
    <tableColumn id="6" xr3:uid="{49F58CFB-1B74-4AD7-B521-F66EE078DC33}" uniqueName="6" name="Column1.volume" queryTableFieldId="6"/>
    <tableColumn id="2" xr3:uid="{3AD21C9A-DC72-4266-A7DE-C643CA7D525C}" uniqueName="2" name="Parse" queryTableFieldId="7" dataDxfId="5"/>
    <tableColumn id="3" xr3:uid="{FD261901-930A-4C33-80C7-37472068AC82}" uniqueName="3" name="Column1" queryTableFieldId="8" dataDxfId="4">
      <calculatedColumnFormula>IFERROR(IF((F1459-F1458)&gt;1,(LARGE(F1459:$F1459,1)-LARGE(F$1459:$F1459,2))-1,""),"")</calculatedColumnFormula>
    </tableColumn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CFE3F58-1DFA-4F3B-8D24-6DAA8FAD0E04}" name="datasource_tranquility_type_id_2048105106107108457891011121314151617181920212223242526272829303132333435363738394041424344454647484950515253545556575859606162636465666768697071727374757677787980818283848586878889909192939495969798" displayName="datasource_tranquility_type_id_2048105106107108457891011121314151617181920212223242526272829303132333435363738394041424344454647484950515253545556575859606162636465666768697071727374757677787980818283848586878889909192939495969798" ref="B1473:G1487" tableType="queryTable" totalsRowShown="0">
  <autoFilter ref="B1473:G1487" xr:uid="{0CFE3F58-1DFA-4F3B-8D24-6DAA8FAD0E04}"/>
  <tableColumns count="6">
    <tableColumn id="1" xr3:uid="{1930000D-13E4-48D8-BBD2-83BBD03A26BE}" uniqueName="1" name="Column1.average" queryTableFieldId="1"/>
    <tableColumn id="4" xr3:uid="{EFF21654-0C08-41F1-90A9-1E7EDB445A25}" uniqueName="4" name="Column1.lowest" queryTableFieldId="4"/>
    <tableColumn id="5" xr3:uid="{ABE4569C-2CAA-4E7F-8970-69F9CC26CA9F}" uniqueName="5" name="Column1.order_count" queryTableFieldId="5"/>
    <tableColumn id="6" xr3:uid="{C81073CF-1FF1-4FFF-9440-4E2D41F2CF45}" uniqueName="6" name="Column1.volume" queryTableFieldId="6"/>
    <tableColumn id="2" xr3:uid="{E0FA7501-E32E-47ED-9997-04E1277BA15F}" uniqueName="2" name="Parse" queryTableFieldId="7" dataDxfId="3"/>
    <tableColumn id="3" xr3:uid="{359E2449-4306-432D-8835-8A83700F05E4}" uniqueName="3" name="Column1" queryTableFieldId="8" dataDxfId="2">
      <calculatedColumnFormula>IFERROR(IF((F1474-F1473)&gt;1,(LARGE(F1474:$F1474,1)-LARGE(F$1474:$F1474,2))-1,""),"")</calculatedColumnFormula>
    </tableColumn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BCA15E2-24F3-478F-B6A1-AE21D6D044EA}" name="datasource_tranquility_type_id_204810510610710845789101112131415161718192021222324252627282930313233343536373839404142434445464748495051525354555657585960616263646566676869707172737475767778798081828384858687888990919293949596979899" displayName="datasource_tranquility_type_id_204810510610710845789101112131415161718192021222324252627282930313233343536373839404142434445464748495051525354555657585960616263646566676869707172737475767778798081828384858687888990919293949596979899" ref="B1488:G1502" tableType="queryTable" totalsRowShown="0">
  <autoFilter ref="B1488:G1502" xr:uid="{5BCA15E2-24F3-478F-B6A1-AE21D6D044EA}"/>
  <tableColumns count="6">
    <tableColumn id="1" xr3:uid="{9676F324-5E0D-4649-9626-3A260750CED7}" uniqueName="1" name="Column1.average" queryTableFieldId="1"/>
    <tableColumn id="4" xr3:uid="{89DD6D40-1781-480A-A651-837725A32CC0}" uniqueName="4" name="Column1.lowest" queryTableFieldId="4"/>
    <tableColumn id="5" xr3:uid="{2FA6CD06-E416-4E2A-AE80-190CB69C7370}" uniqueName="5" name="Column1.order_count" queryTableFieldId="5"/>
    <tableColumn id="6" xr3:uid="{194BBB93-4C02-4659-AFFC-07A4317FF2F4}" uniqueName="6" name="Column1.volume" queryTableFieldId="6"/>
    <tableColumn id="2" xr3:uid="{916CC4D2-EB10-4A6D-B7AB-21881333DF50}" uniqueName="2" name="Parse" queryTableFieldId="7" dataDxfId="1"/>
    <tableColumn id="3" xr3:uid="{4AC7FAF7-0344-4E63-8EF6-7A12DC0A748A}" uniqueName="3" name="Column1" queryTableFieldId="8" dataDxfId="0">
      <calculatedColumnFormula>IFERROR(IF((F1489-F1488)&gt;1,(LARGE(F1489:$F1489,1)-LARGE(F$1489:$F1489,2))-1,""),"")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7.xml"/><Relationship Id="rId21" Type="http://schemas.openxmlformats.org/officeDocument/2006/relationships/table" Target="../tables/table22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63" Type="http://schemas.openxmlformats.org/officeDocument/2006/relationships/table" Target="../tables/table64.xml"/><Relationship Id="rId68" Type="http://schemas.openxmlformats.org/officeDocument/2006/relationships/table" Target="../tables/table69.xml"/><Relationship Id="rId84" Type="http://schemas.openxmlformats.org/officeDocument/2006/relationships/table" Target="../tables/table85.xml"/><Relationship Id="rId89" Type="http://schemas.openxmlformats.org/officeDocument/2006/relationships/table" Target="../tables/table90.xml"/><Relationship Id="rId16" Type="http://schemas.openxmlformats.org/officeDocument/2006/relationships/table" Target="../tables/table17.xml"/><Relationship Id="rId11" Type="http://schemas.openxmlformats.org/officeDocument/2006/relationships/table" Target="../tables/table12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74" Type="http://schemas.openxmlformats.org/officeDocument/2006/relationships/table" Target="../tables/table75.xml"/><Relationship Id="rId79" Type="http://schemas.openxmlformats.org/officeDocument/2006/relationships/table" Target="../tables/table80.xml"/><Relationship Id="rId5" Type="http://schemas.openxmlformats.org/officeDocument/2006/relationships/table" Target="../tables/table6.xml"/><Relationship Id="rId90" Type="http://schemas.openxmlformats.org/officeDocument/2006/relationships/table" Target="../tables/table91.xml"/><Relationship Id="rId95" Type="http://schemas.openxmlformats.org/officeDocument/2006/relationships/table" Target="../tables/table96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64" Type="http://schemas.openxmlformats.org/officeDocument/2006/relationships/table" Target="../tables/table65.xml"/><Relationship Id="rId69" Type="http://schemas.openxmlformats.org/officeDocument/2006/relationships/table" Target="../tables/table70.xml"/><Relationship Id="rId80" Type="http://schemas.openxmlformats.org/officeDocument/2006/relationships/table" Target="../tables/table81.xml"/><Relationship Id="rId85" Type="http://schemas.openxmlformats.org/officeDocument/2006/relationships/table" Target="../tables/table86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67" Type="http://schemas.openxmlformats.org/officeDocument/2006/relationships/table" Target="../tables/table68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62" Type="http://schemas.openxmlformats.org/officeDocument/2006/relationships/table" Target="../tables/table63.xml"/><Relationship Id="rId70" Type="http://schemas.openxmlformats.org/officeDocument/2006/relationships/table" Target="../tables/table71.xml"/><Relationship Id="rId75" Type="http://schemas.openxmlformats.org/officeDocument/2006/relationships/table" Target="../tables/table76.xml"/><Relationship Id="rId83" Type="http://schemas.openxmlformats.org/officeDocument/2006/relationships/table" Target="../tables/table84.xml"/><Relationship Id="rId88" Type="http://schemas.openxmlformats.org/officeDocument/2006/relationships/table" Target="../tables/table89.xml"/><Relationship Id="rId91" Type="http://schemas.openxmlformats.org/officeDocument/2006/relationships/table" Target="../tables/table92.xml"/><Relationship Id="rId96" Type="http://schemas.openxmlformats.org/officeDocument/2006/relationships/table" Target="../tables/table9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table" Target="../tables/table11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table" Target="../tables/table61.xml"/><Relationship Id="rId65" Type="http://schemas.openxmlformats.org/officeDocument/2006/relationships/table" Target="../tables/table66.xml"/><Relationship Id="rId73" Type="http://schemas.openxmlformats.org/officeDocument/2006/relationships/table" Target="../tables/table74.xml"/><Relationship Id="rId78" Type="http://schemas.openxmlformats.org/officeDocument/2006/relationships/table" Target="../tables/table79.xml"/><Relationship Id="rId81" Type="http://schemas.openxmlformats.org/officeDocument/2006/relationships/table" Target="../tables/table82.xml"/><Relationship Id="rId86" Type="http://schemas.openxmlformats.org/officeDocument/2006/relationships/table" Target="../tables/table87.xml"/><Relationship Id="rId94" Type="http://schemas.openxmlformats.org/officeDocument/2006/relationships/table" Target="../tables/table95.xml"/><Relationship Id="rId99" Type="http://schemas.openxmlformats.org/officeDocument/2006/relationships/table" Target="../tables/table100.xml"/><Relationship Id="rId101" Type="http://schemas.openxmlformats.org/officeDocument/2006/relationships/table" Target="../tables/table102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9" Type="http://schemas.openxmlformats.org/officeDocument/2006/relationships/table" Target="../tables/table40.xml"/><Relationship Id="rId34" Type="http://schemas.openxmlformats.org/officeDocument/2006/relationships/table" Target="../tables/table35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6" Type="http://schemas.openxmlformats.org/officeDocument/2006/relationships/table" Target="../tables/table77.xml"/><Relationship Id="rId97" Type="http://schemas.openxmlformats.org/officeDocument/2006/relationships/table" Target="../tables/table98.xml"/><Relationship Id="rId7" Type="http://schemas.openxmlformats.org/officeDocument/2006/relationships/table" Target="../tables/table8.xml"/><Relationship Id="rId71" Type="http://schemas.openxmlformats.org/officeDocument/2006/relationships/table" Target="../tables/table72.xml"/><Relationship Id="rId92" Type="http://schemas.openxmlformats.org/officeDocument/2006/relationships/table" Target="../tables/table93.xml"/><Relationship Id="rId2" Type="http://schemas.openxmlformats.org/officeDocument/2006/relationships/table" Target="../tables/table3.xml"/><Relationship Id="rId29" Type="http://schemas.openxmlformats.org/officeDocument/2006/relationships/table" Target="../tables/table30.xml"/><Relationship Id="rId24" Type="http://schemas.openxmlformats.org/officeDocument/2006/relationships/table" Target="../tables/table25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66" Type="http://schemas.openxmlformats.org/officeDocument/2006/relationships/table" Target="../tables/table67.xml"/><Relationship Id="rId87" Type="http://schemas.openxmlformats.org/officeDocument/2006/relationships/table" Target="../tables/table88.xml"/><Relationship Id="rId61" Type="http://schemas.openxmlformats.org/officeDocument/2006/relationships/table" Target="../tables/table62.xml"/><Relationship Id="rId82" Type="http://schemas.openxmlformats.org/officeDocument/2006/relationships/table" Target="../tables/table83.xml"/><Relationship Id="rId19" Type="http://schemas.openxmlformats.org/officeDocument/2006/relationships/table" Target="../tables/table20.xml"/><Relationship Id="rId14" Type="http://schemas.openxmlformats.org/officeDocument/2006/relationships/table" Target="../tables/table15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56" Type="http://schemas.openxmlformats.org/officeDocument/2006/relationships/table" Target="../tables/table57.xml"/><Relationship Id="rId77" Type="http://schemas.openxmlformats.org/officeDocument/2006/relationships/table" Target="../tables/table78.xml"/><Relationship Id="rId100" Type="http://schemas.openxmlformats.org/officeDocument/2006/relationships/table" Target="../tables/table101.xml"/><Relationship Id="rId8" Type="http://schemas.openxmlformats.org/officeDocument/2006/relationships/table" Target="../tables/table9.xml"/><Relationship Id="rId51" Type="http://schemas.openxmlformats.org/officeDocument/2006/relationships/table" Target="../tables/table52.xml"/><Relationship Id="rId72" Type="http://schemas.openxmlformats.org/officeDocument/2006/relationships/table" Target="../tables/table73.xml"/><Relationship Id="rId93" Type="http://schemas.openxmlformats.org/officeDocument/2006/relationships/table" Target="../tables/table94.xml"/><Relationship Id="rId98" Type="http://schemas.openxmlformats.org/officeDocument/2006/relationships/table" Target="../tables/table99.xml"/><Relationship Id="rId3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zoomScale="145" zoomScaleNormal="145" workbookViewId="0">
      <selection activeCell="A2" sqref="A2"/>
    </sheetView>
  </sheetViews>
  <sheetFormatPr defaultRowHeight="15"/>
  <cols>
    <col min="1" max="1" width="34.42578125" style="13" customWidth="1"/>
    <col min="2" max="2" width="1.8554687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93" t="s">
        <v>40267</v>
      </c>
      <c r="D1" s="93"/>
      <c r="E1" s="93" t="s">
        <v>40268</v>
      </c>
      <c r="F1" s="93"/>
      <c r="G1" s="7" t="s">
        <v>40258</v>
      </c>
      <c r="H1" s="93" t="s">
        <v>40259</v>
      </c>
      <c r="I1" s="93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47016</v>
      </c>
      <c r="BD1" s="92" t="s">
        <v>47025</v>
      </c>
      <c r="BE1" s="92"/>
      <c r="BF1" s="92"/>
      <c r="BG1" s="97" t="s">
        <v>42791</v>
      </c>
      <c r="BH1" s="97"/>
    </row>
    <row r="2" spans="1:60">
      <c r="A2" s="30" t="s">
        <v>924</v>
      </c>
      <c r="B2" s="73">
        <f>VLOOKUP(A2,TypeIDs!B:C,2,FALSE)</f>
        <v>2048</v>
      </c>
      <c r="C2" s="39">
        <f t="array" ref="C2:C91">_xlfn.FILTERXML(Jita,BF21)</f>
        <v>449700</v>
      </c>
      <c r="D2" s="39">
        <f t="shared" ref="D2:D65" si="0">(C2+(C2*TaxRate))+(G2*ShippingCost)</f>
        <v>474211.65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>
        <f>((C2/(5000/H2))+(G2*2)+(H2*3))</f>
        <v>3448.78</v>
      </c>
      <c r="J2" s="20">
        <f>H2*7</f>
        <v>259</v>
      </c>
      <c r="K2" s="19">
        <f t="shared" ref="K2:K65" si="2">(G2*H2)*7</f>
        <v>1295</v>
      </c>
      <c r="L2" s="8">
        <f>F2/D2</f>
        <v>0.85634231044302678</v>
      </c>
      <c r="M2" s="9">
        <f>D2*J2</f>
        <v>122820817.35000001</v>
      </c>
      <c r="N2" s="10">
        <f>(F2-D2)*J2</f>
        <v>-17644154.850000005</v>
      </c>
      <c r="O2" s="11">
        <f>(F2-D2)/G2</f>
        <v>-13624.830000000005</v>
      </c>
      <c r="P2" s="23">
        <f t="shared" ref="P2:P65" si="3">M2+N2</f>
        <v>105176662.5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>
        <v>21450</v>
      </c>
      <c r="D3" s="39">
        <f t="shared" si="0"/>
        <v>22413.525000000001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>
        <f t="shared" ref="I3:I66" si="4">((C3/(5000/H3))+(G3*2)+(H3*3))</f>
        <v>36450.020000000004</v>
      </c>
      <c r="J3" s="20">
        <f t="shared" ref="J3:J66" si="5">H3*7</f>
        <v>35000</v>
      </c>
      <c r="K3" s="19">
        <f t="shared" si="2"/>
        <v>350</v>
      </c>
      <c r="L3" s="8">
        <f>F3/D3</f>
        <v>0.82490036707746761</v>
      </c>
      <c r="M3" s="9">
        <f>D3*J3</f>
        <v>784473375</v>
      </c>
      <c r="N3" s="10">
        <f t="shared" ref="N3:N66" si="6">(F3-D3)*J3</f>
        <v>-137361000.00000009</v>
      </c>
      <c r="O3" s="11">
        <f t="shared" ref="O3:O66" si="7">(F3-D3)/G3</f>
        <v>-392460.00000000023</v>
      </c>
      <c r="P3" s="23">
        <f t="shared" si="3"/>
        <v>647112374.99999988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>
        <v>2919000</v>
      </c>
      <c r="D4" s="39">
        <f t="shared" si="0"/>
        <v>3048895.68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>
        <f t="shared" si="4"/>
        <v>586800.00040000002</v>
      </c>
      <c r="J4" s="20">
        <f t="shared" si="5"/>
        <v>7000</v>
      </c>
      <c r="K4" s="19">
        <f t="shared" si="2"/>
        <v>1.4000000000000001</v>
      </c>
      <c r="L4" s="8">
        <f t="shared" ref="L4:L67" si="8">F4/D4</f>
        <v>0.93704255568363681</v>
      </c>
      <c r="M4" s="9">
        <f t="shared" ref="M4:M67" si="9">D4*J4</f>
        <v>21342269760</v>
      </c>
      <c r="N4" s="10">
        <f t="shared" si="6"/>
        <v>-1343654760.0000012</v>
      </c>
      <c r="O4" s="11">
        <f t="shared" si="7"/>
        <v>-959753400.00000083</v>
      </c>
      <c r="P4" s="23">
        <f t="shared" si="3"/>
        <v>19998615000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>
        <v>89820</v>
      </c>
      <c r="D5" s="39">
        <f t="shared" si="0"/>
        <v>93825.99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>
        <f t="shared" si="4"/>
        <v>20.983999999999998</v>
      </c>
      <c r="J5" s="20">
        <f t="shared" si="5"/>
        <v>7</v>
      </c>
      <c r="K5" s="19">
        <f t="shared" si="2"/>
        <v>7.0000000000000007E-2</v>
      </c>
      <c r="L5" s="8">
        <f t="shared" si="8"/>
        <v>8.6541468946930369</v>
      </c>
      <c r="M5" s="9">
        <f t="shared" si="9"/>
        <v>656781.93000000005</v>
      </c>
      <c r="N5" s="10">
        <f t="shared" si="6"/>
        <v>5027105.37</v>
      </c>
      <c r="O5" s="11">
        <f t="shared" si="7"/>
        <v>71815791</v>
      </c>
      <c r="P5" s="23">
        <f t="shared" si="3"/>
        <v>5683887.2999999998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>
        <v>498000</v>
      </c>
      <c r="D6" s="39">
        <f t="shared" si="0"/>
        <v>520170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>
        <f t="shared" si="4"/>
        <v>102.61999999999999</v>
      </c>
      <c r="J6" s="20">
        <f t="shared" si="5"/>
        <v>7</v>
      </c>
      <c r="K6" s="19">
        <f t="shared" si="2"/>
        <v>7.0000000000000007E-2</v>
      </c>
      <c r="L6" s="8">
        <f t="shared" si="8"/>
        <v>7.3237182075090832</v>
      </c>
      <c r="M6" s="9">
        <f t="shared" si="9"/>
        <v>3641190</v>
      </c>
      <c r="N6" s="10">
        <f t="shared" si="6"/>
        <v>23025859.5</v>
      </c>
      <c r="O6" s="11">
        <f t="shared" si="7"/>
        <v>328940850</v>
      </c>
      <c r="P6" s="23">
        <f t="shared" si="3"/>
        <v>26667049.5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>
        <v>119200</v>
      </c>
      <c r="D7" s="39">
        <f t="shared" si="0"/>
        <v>135304.4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>
        <f t="shared" si="4"/>
        <v>4049.9999999999995</v>
      </c>
      <c r="J7" s="20">
        <f t="shared" si="5"/>
        <v>1050</v>
      </c>
      <c r="K7" s="19">
        <f t="shared" si="2"/>
        <v>12600</v>
      </c>
      <c r="L7" s="8">
        <f t="shared" si="8"/>
        <v>1.0677524160337728</v>
      </c>
      <c r="M7" s="9">
        <f t="shared" si="9"/>
        <v>142069620</v>
      </c>
      <c r="N7" s="10">
        <f t="shared" si="6"/>
        <v>9625560.000000013</v>
      </c>
      <c r="O7" s="11">
        <f t="shared" si="7"/>
        <v>763.9333333333343</v>
      </c>
      <c r="P7" s="23">
        <f t="shared" si="3"/>
        <v>151695180</v>
      </c>
      <c r="Q7" t="e">
        <f>VLOOKUP(B7,Buylist!B:B,1,FALSE)</f>
        <v>#N/A</v>
      </c>
      <c r="R7" t="e">
        <f>VLOOKUP(B7,Buylist!B:M,12,FALSE)</f>
        <v>#N/A</v>
      </c>
      <c r="BD7" s="92" t="s">
        <v>47026</v>
      </c>
      <c r="BE7" s="92"/>
      <c r="BF7" s="92"/>
      <c r="BG7" s="94" t="s">
        <v>42792</v>
      </c>
      <c r="BH7" s="94"/>
    </row>
    <row r="8" spans="1:60">
      <c r="A8" s="13" t="s">
        <v>18234</v>
      </c>
      <c r="B8" s="73">
        <f>VLOOKUP(A8,TypeIDs!B:C,2,FALSE)</f>
        <v>32014</v>
      </c>
      <c r="C8" s="39">
        <v>215000</v>
      </c>
      <c r="D8" s="39">
        <f t="shared" si="0"/>
        <v>246167.5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>
        <f t="shared" si="4"/>
        <v>2578</v>
      </c>
      <c r="J8" s="20">
        <f t="shared" si="5"/>
        <v>385</v>
      </c>
      <c r="K8" s="19">
        <f t="shared" si="2"/>
        <v>9240</v>
      </c>
      <c r="L8" s="8">
        <f t="shared" si="8"/>
        <v>1.0712949516081529</v>
      </c>
      <c r="M8" s="9">
        <f t="shared" si="9"/>
        <v>94774487.5</v>
      </c>
      <c r="N8" s="10">
        <f t="shared" si="6"/>
        <v>6756942.5</v>
      </c>
      <c r="O8" s="11">
        <f t="shared" si="7"/>
        <v>731.27083333333337</v>
      </c>
      <c r="P8" s="23">
        <f t="shared" si="3"/>
        <v>101531430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95">
        <v>900</v>
      </c>
      <c r="BH8" s="95"/>
    </row>
    <row r="9" spans="1:60">
      <c r="A9" s="13" t="s">
        <v>26167</v>
      </c>
      <c r="B9" s="73">
        <f>VLOOKUP(A9,TypeIDs!B:C,2,FALSE)</f>
        <v>41490</v>
      </c>
      <c r="C9" s="39">
        <v>917800</v>
      </c>
      <c r="D9" s="39">
        <f t="shared" si="0"/>
        <v>1045042.1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>
        <f t="shared" si="4"/>
        <v>10452.800000000001</v>
      </c>
      <c r="J9" s="20">
        <f t="shared" si="5"/>
        <v>385</v>
      </c>
      <c r="K9" s="19">
        <f t="shared" si="2"/>
        <v>36960</v>
      </c>
      <c r="L9" s="8">
        <f t="shared" si="8"/>
        <v>0.91431723181295765</v>
      </c>
      <c r="M9" s="9">
        <f t="shared" si="9"/>
        <v>402341208.5</v>
      </c>
      <c r="N9" s="10">
        <f t="shared" si="6"/>
        <v>-34473708.499999993</v>
      </c>
      <c r="O9" s="11">
        <f t="shared" si="7"/>
        <v>-932.73020833333305</v>
      </c>
      <c r="P9" s="23">
        <f t="shared" si="3"/>
        <v>367867500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94" t="s">
        <v>44377</v>
      </c>
      <c r="BH9" s="94"/>
    </row>
    <row r="10" spans="1:60">
      <c r="A10" s="27" t="s">
        <v>27329</v>
      </c>
      <c r="B10" s="73">
        <f>VLOOKUP(A10,TypeIDs!B:C,2,FALSE)</f>
        <v>42832</v>
      </c>
      <c r="C10" s="39">
        <v>518.79999999999995</v>
      </c>
      <c r="D10" s="39">
        <f t="shared" si="0"/>
        <v>550.88659999999993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>
        <f t="shared" si="4"/>
        <v>1086.336</v>
      </c>
      <c r="J10" s="20">
        <f t="shared" si="5"/>
        <v>2450</v>
      </c>
      <c r="K10" s="19">
        <f t="shared" si="2"/>
        <v>24.5</v>
      </c>
      <c r="L10" s="8">
        <f t="shared" si="8"/>
        <v>1.2141337255253624</v>
      </c>
      <c r="M10" s="9">
        <f t="shared" si="9"/>
        <v>1349672.17</v>
      </c>
      <c r="N10" s="10">
        <f t="shared" si="6"/>
        <v>289010.33000000025</v>
      </c>
      <c r="O10" s="11">
        <f t="shared" si="7"/>
        <v>11796.340000000009</v>
      </c>
      <c r="P10" s="23">
        <f t="shared" si="3"/>
        <v>1638682.5000000002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96">
        <v>4.4499999999999998E-2</v>
      </c>
      <c r="BH10" s="95"/>
    </row>
    <row r="11" spans="1:60">
      <c r="A11" s="27" t="s">
        <v>27331</v>
      </c>
      <c r="B11" s="73">
        <f>VLOOKUP(A11,TypeIDs!B:C,2,FALSE)</f>
        <v>42834</v>
      </c>
      <c r="C11" s="39">
        <v>494.6</v>
      </c>
      <c r="D11" s="39">
        <f t="shared" si="0"/>
        <v>525.60969999999998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>
        <f t="shared" si="4"/>
        <v>929.69600000000003</v>
      </c>
      <c r="J11" s="20">
        <f t="shared" si="5"/>
        <v>2100</v>
      </c>
      <c r="K11" s="19">
        <f t="shared" si="2"/>
        <v>21</v>
      </c>
      <c r="L11" s="8">
        <f t="shared" si="8"/>
        <v>1.2543432893266619</v>
      </c>
      <c r="M11" s="9">
        <f t="shared" si="9"/>
        <v>1103780.3699999999</v>
      </c>
      <c r="N11" s="10">
        <f t="shared" si="6"/>
        <v>280739.12999999995</v>
      </c>
      <c r="O11" s="11">
        <f t="shared" si="7"/>
        <v>13368.529999999999</v>
      </c>
      <c r="P11" s="23">
        <f t="shared" si="3"/>
        <v>1384519.4999999998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>
        <v>599.9</v>
      </c>
      <c r="D12" s="39">
        <f t="shared" si="0"/>
        <v>635.59555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>
        <f t="shared" si="4"/>
        <v>936.01400000000001</v>
      </c>
      <c r="J12" s="20">
        <f t="shared" si="5"/>
        <v>2100</v>
      </c>
      <c r="K12" s="19">
        <f t="shared" si="2"/>
        <v>21</v>
      </c>
      <c r="L12" s="8">
        <f t="shared" si="8"/>
        <v>1.4867780304629257</v>
      </c>
      <c r="M12" s="9">
        <f t="shared" si="9"/>
        <v>1334750.655</v>
      </c>
      <c r="N12" s="10">
        <f t="shared" si="6"/>
        <v>649727.29500000004</v>
      </c>
      <c r="O12" s="11">
        <f t="shared" si="7"/>
        <v>30939.395</v>
      </c>
      <c r="P12" s="23">
        <f t="shared" si="3"/>
        <v>1984477.9500000002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>
        <v>589.79999999999995</v>
      </c>
      <c r="D13" s="39">
        <f t="shared" si="0"/>
        <v>625.04609999999991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>
        <f t="shared" si="4"/>
        <v>685.97119999999995</v>
      </c>
      <c r="J13" s="20">
        <f t="shared" si="5"/>
        <v>1540</v>
      </c>
      <c r="K13" s="19">
        <f t="shared" si="2"/>
        <v>15.400000000000002</v>
      </c>
      <c r="L13" s="8">
        <f t="shared" si="8"/>
        <v>1.0624376346000721</v>
      </c>
      <c r="M13" s="9">
        <f t="shared" si="9"/>
        <v>962570.99399999983</v>
      </c>
      <c r="N13" s="10">
        <f t="shared" si="6"/>
        <v>60100.656000000126</v>
      </c>
      <c r="O13" s="11">
        <f t="shared" si="7"/>
        <v>3902.6400000000081</v>
      </c>
      <c r="P13" s="23">
        <f t="shared" si="3"/>
        <v>1022671.6499999999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>
        <v>142</v>
      </c>
      <c r="D14" s="39">
        <f t="shared" si="0"/>
        <v>157.31899999999999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>
        <f t="shared" si="4"/>
        <v>15142.02</v>
      </c>
      <c r="J14" s="20">
        <f t="shared" si="5"/>
        <v>35000</v>
      </c>
      <c r="K14" s="19">
        <f t="shared" si="2"/>
        <v>350</v>
      </c>
      <c r="L14" s="8">
        <f t="shared" si="8"/>
        <v>1.7789710715171088</v>
      </c>
      <c r="M14" s="9">
        <f t="shared" si="9"/>
        <v>5506165</v>
      </c>
      <c r="N14" s="10">
        <f t="shared" si="6"/>
        <v>4289143.25</v>
      </c>
      <c r="O14" s="11">
        <f>(F14-D14)/G14</f>
        <v>12254.695000000002</v>
      </c>
      <c r="P14" s="23">
        <f t="shared" si="3"/>
        <v>9795308.25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>
        <v>402</v>
      </c>
      <c r="D15" s="39">
        <f t="shared" si="0"/>
        <v>428.88900000000001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>
        <f t="shared" si="4"/>
        <v>23103.02</v>
      </c>
      <c r="J15" s="20">
        <f t="shared" si="5"/>
        <v>52500</v>
      </c>
      <c r="K15" s="19">
        <f t="shared" si="2"/>
        <v>525</v>
      </c>
      <c r="L15" s="8">
        <f t="shared" si="8"/>
        <v>0.6010737043850507</v>
      </c>
      <c r="M15" s="9">
        <f t="shared" si="9"/>
        <v>22516672.5</v>
      </c>
      <c r="N15" s="10">
        <f t="shared" si="6"/>
        <v>-8982492.75</v>
      </c>
      <c r="O15" s="11">
        <f t="shared" si="7"/>
        <v>-17109.509999999998</v>
      </c>
      <c r="P15" s="23">
        <f t="shared" si="3"/>
        <v>13534179.75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>
        <v>190.2</v>
      </c>
      <c r="D16" s="39">
        <f t="shared" si="0"/>
        <v>207.66389999999998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>
        <f t="shared" si="4"/>
        <v>36456.5</v>
      </c>
      <c r="J16" s="20">
        <f t="shared" si="5"/>
        <v>84000</v>
      </c>
      <c r="K16" s="19">
        <f t="shared" si="2"/>
        <v>840</v>
      </c>
      <c r="L16" s="8">
        <f t="shared" si="8"/>
        <v>1.3476870558628631</v>
      </c>
      <c r="M16" s="9">
        <f t="shared" si="9"/>
        <v>17443767.599999998</v>
      </c>
      <c r="N16" s="10">
        <f t="shared" si="6"/>
        <v>6064972.2000000011</v>
      </c>
      <c r="O16" s="11">
        <f t="shared" si="7"/>
        <v>7220.2050000000008</v>
      </c>
      <c r="P16" s="23">
        <f t="shared" si="3"/>
        <v>23508739.799999997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>
        <v>388</v>
      </c>
      <c r="D17" s="39">
        <f t="shared" si="0"/>
        <v>414.26600000000002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>
        <f t="shared" si="4"/>
        <v>2462.1</v>
      </c>
      <c r="J17" s="20">
        <f t="shared" si="5"/>
        <v>5600</v>
      </c>
      <c r="K17" s="19">
        <f t="shared" si="2"/>
        <v>56</v>
      </c>
      <c r="L17" s="8">
        <f t="shared" si="8"/>
        <v>7.0347916556029215</v>
      </c>
      <c r="M17" s="9">
        <f t="shared" si="9"/>
        <v>2319889.6</v>
      </c>
      <c r="N17" s="10">
        <f t="shared" si="6"/>
        <v>14000050.4</v>
      </c>
      <c r="O17" s="11">
        <f t="shared" si="7"/>
        <v>250000.9</v>
      </c>
      <c r="P17" s="23">
        <f t="shared" si="3"/>
        <v>16319940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>
        <v>563.4</v>
      </c>
      <c r="D18" s="39">
        <f t="shared" si="0"/>
        <v>597.47129999999993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>
        <f t="shared" si="4"/>
        <v>2490.1639999999998</v>
      </c>
      <c r="J18" s="20">
        <f t="shared" si="5"/>
        <v>5600</v>
      </c>
      <c r="K18" s="19">
        <f t="shared" si="2"/>
        <v>56</v>
      </c>
      <c r="L18" s="8">
        <f t="shared" si="8"/>
        <v>1.7095875567579566</v>
      </c>
      <c r="M18" s="9">
        <f t="shared" si="9"/>
        <v>3345839.28</v>
      </c>
      <c r="N18" s="10">
        <f t="shared" si="6"/>
        <v>2374165.9200000004</v>
      </c>
      <c r="O18" s="11">
        <f t="shared" si="7"/>
        <v>42395.82</v>
      </c>
      <c r="P18" s="23">
        <f t="shared" si="3"/>
        <v>5720005.2000000002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>
        <v>480</v>
      </c>
      <c r="D19" s="39">
        <f t="shared" si="0"/>
        <v>510.36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>
        <f t="shared" si="4"/>
        <v>2476.8200000000002</v>
      </c>
      <c r="J19" s="20">
        <f t="shared" si="5"/>
        <v>5600</v>
      </c>
      <c r="K19" s="19">
        <f t="shared" si="2"/>
        <v>56</v>
      </c>
      <c r="L19" s="8">
        <f t="shared" si="8"/>
        <v>2.433870209264049</v>
      </c>
      <c r="M19" s="9">
        <f t="shared" si="9"/>
        <v>2858016</v>
      </c>
      <c r="N19" s="10">
        <f t="shared" si="6"/>
        <v>4098024.0000000005</v>
      </c>
      <c r="O19" s="11">
        <f t="shared" si="7"/>
        <v>73179</v>
      </c>
      <c r="P19" s="23">
        <f t="shared" si="3"/>
        <v>6956040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>
        <v>449</v>
      </c>
      <c r="D20" s="39">
        <f t="shared" si="0"/>
        <v>477.98050000000001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>
        <f t="shared" si="4"/>
        <v>2780.84</v>
      </c>
      <c r="J20" s="20">
        <f t="shared" si="5"/>
        <v>6300</v>
      </c>
      <c r="K20" s="19">
        <f t="shared" si="2"/>
        <v>63</v>
      </c>
      <c r="L20" s="8">
        <f t="shared" si="8"/>
        <v>1.5532506033195914</v>
      </c>
      <c r="M20" s="9">
        <f t="shared" si="9"/>
        <v>3011277.15</v>
      </c>
      <c r="N20" s="10">
        <f t="shared" si="6"/>
        <v>1665990.9</v>
      </c>
      <c r="O20" s="11">
        <f t="shared" si="7"/>
        <v>26444.3</v>
      </c>
      <c r="P20" s="23">
        <f t="shared" si="3"/>
        <v>4677268.05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>
        <v>648.4</v>
      </c>
      <c r="D21" s="39">
        <f t="shared" si="0"/>
        <v>686.25379999999996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>
        <f t="shared" si="4"/>
        <v>2190.7959999999998</v>
      </c>
      <c r="J21" s="20">
        <f t="shared" si="5"/>
        <v>4900</v>
      </c>
      <c r="K21" s="19">
        <f t="shared" si="2"/>
        <v>49</v>
      </c>
      <c r="L21" s="8">
        <f t="shared" si="8"/>
        <v>1.3923420169039502</v>
      </c>
      <c r="M21" s="9">
        <f t="shared" si="9"/>
        <v>3362643.6199999996</v>
      </c>
      <c r="N21" s="10">
        <f t="shared" si="6"/>
        <v>1319306.3800000001</v>
      </c>
      <c r="O21" s="11">
        <f t="shared" si="7"/>
        <v>26924.620000000003</v>
      </c>
      <c r="P21" s="23">
        <f t="shared" si="3"/>
        <v>4681950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>
        <v>450</v>
      </c>
      <c r="D22" s="39">
        <f t="shared" si="0"/>
        <v>479.02499999999998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>
        <f t="shared" si="4"/>
        <v>2781.02</v>
      </c>
      <c r="J22" s="20">
        <f t="shared" si="5"/>
        <v>6300</v>
      </c>
      <c r="K22" s="19">
        <f t="shared" si="2"/>
        <v>63</v>
      </c>
      <c r="L22" s="8">
        <f t="shared" si="8"/>
        <v>2.9900203538437453</v>
      </c>
      <c r="M22" s="9">
        <f t="shared" si="9"/>
        <v>3017857.5</v>
      </c>
      <c r="N22" s="10">
        <f t="shared" si="6"/>
        <v>6005597.8499999996</v>
      </c>
      <c r="O22" s="11">
        <f t="shared" si="7"/>
        <v>95326.95</v>
      </c>
      <c r="P22" s="23">
        <f t="shared" si="3"/>
        <v>9023455.3499999996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>
        <v>1573</v>
      </c>
      <c r="D23" s="39">
        <f t="shared" si="0"/>
        <v>1651.9984999999999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>
        <f t="shared" si="4"/>
        <v>4309</v>
      </c>
      <c r="J23" s="20">
        <f t="shared" si="5"/>
        <v>9100</v>
      </c>
      <c r="K23" s="19">
        <f t="shared" si="2"/>
        <v>91</v>
      </c>
      <c r="L23" s="8">
        <f t="shared" si="8"/>
        <v>2.2146566719037577</v>
      </c>
      <c r="M23" s="9">
        <f t="shared" si="9"/>
        <v>15033186.35</v>
      </c>
      <c r="N23" s="10">
        <f t="shared" si="6"/>
        <v>18260160.100000001</v>
      </c>
      <c r="O23" s="11">
        <f t="shared" si="7"/>
        <v>200661.1</v>
      </c>
      <c r="P23" s="23">
        <f t="shared" si="3"/>
        <v>33293346.450000003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>
        <v>1559</v>
      </c>
      <c r="D24" s="39">
        <f t="shared" si="0"/>
        <v>1637.3755000000001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>
        <f t="shared" si="4"/>
        <v>5298.9</v>
      </c>
      <c r="J24" s="20">
        <f t="shared" si="5"/>
        <v>11200</v>
      </c>
      <c r="K24" s="19">
        <f t="shared" si="2"/>
        <v>112</v>
      </c>
      <c r="L24" s="8">
        <f t="shared" si="8"/>
        <v>1.7197389969496915</v>
      </c>
      <c r="M24" s="9">
        <f t="shared" si="9"/>
        <v>18338605.600000001</v>
      </c>
      <c r="N24" s="10">
        <f t="shared" si="6"/>
        <v>13199009.599999998</v>
      </c>
      <c r="O24" s="11">
        <f t="shared" si="7"/>
        <v>117848.29999999997</v>
      </c>
      <c r="P24" s="23">
        <f t="shared" si="3"/>
        <v>31537615.199999999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>
        <v>976</v>
      </c>
      <c r="D25" s="39">
        <f t="shared" si="0"/>
        <v>1028.432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>
        <f t="shared" si="4"/>
        <v>9585.6200000000008</v>
      </c>
      <c r="J25" s="20">
        <f t="shared" si="5"/>
        <v>21000</v>
      </c>
      <c r="K25" s="19">
        <f t="shared" si="2"/>
        <v>210</v>
      </c>
      <c r="L25" s="8">
        <f t="shared" si="8"/>
        <v>1.2319657498016396</v>
      </c>
      <c r="M25" s="9">
        <f t="shared" si="9"/>
        <v>21597072</v>
      </c>
      <c r="N25" s="10">
        <f t="shared" si="6"/>
        <v>5009780.9999999981</v>
      </c>
      <c r="O25" s="11">
        <f t="shared" si="7"/>
        <v>23856.099999999991</v>
      </c>
      <c r="P25" s="23">
        <f t="shared" si="3"/>
        <v>26606853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>
        <v>1077</v>
      </c>
      <c r="D26" s="39">
        <f t="shared" si="0"/>
        <v>1133.9265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>
        <f t="shared" si="4"/>
        <v>19292.419999999998</v>
      </c>
      <c r="J26" s="20">
        <f t="shared" si="5"/>
        <v>42000</v>
      </c>
      <c r="K26" s="19">
        <f t="shared" si="2"/>
        <v>420</v>
      </c>
      <c r="L26" s="8">
        <f t="shared" si="8"/>
        <v>1.0954413711999853</v>
      </c>
      <c r="M26" s="9">
        <f t="shared" si="9"/>
        <v>47624913</v>
      </c>
      <c r="N26" s="10">
        <f t="shared" si="6"/>
        <v>4545387.0000000028</v>
      </c>
      <c r="O26" s="11">
        <f t="shared" si="7"/>
        <v>10822.350000000006</v>
      </c>
      <c r="P26" s="23">
        <f t="shared" si="3"/>
        <v>52170300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>
        <v>622.5</v>
      </c>
      <c r="D27" s="39">
        <f t="shared" si="0"/>
        <v>659.20124999999996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>
        <f t="shared" si="4"/>
        <v>937.37</v>
      </c>
      <c r="J27" s="20">
        <f t="shared" si="5"/>
        <v>2100</v>
      </c>
      <c r="K27" s="19">
        <f t="shared" si="2"/>
        <v>21</v>
      </c>
      <c r="L27" s="8">
        <f t="shared" si="8"/>
        <v>2.8917155421049343</v>
      </c>
      <c r="M27" s="9">
        <f t="shared" si="9"/>
        <v>1384322.625</v>
      </c>
      <c r="N27" s="10">
        <f t="shared" si="6"/>
        <v>2618744.6250000005</v>
      </c>
      <c r="O27" s="11">
        <f t="shared" si="7"/>
        <v>124702.12500000001</v>
      </c>
      <c r="P27" s="23">
        <f t="shared" si="3"/>
        <v>4003067.2500000005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>
        <v>386.4</v>
      </c>
      <c r="D28" s="39">
        <f t="shared" si="0"/>
        <v>412.59479999999996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>
        <f t="shared" si="4"/>
        <v>3385.0279999999998</v>
      </c>
      <c r="J28" s="20">
        <f t="shared" si="5"/>
        <v>7700</v>
      </c>
      <c r="K28" s="19">
        <f t="shared" si="2"/>
        <v>77</v>
      </c>
      <c r="L28" s="8">
        <f t="shared" si="8"/>
        <v>2.88321011316672</v>
      </c>
      <c r="M28" s="9">
        <f t="shared" si="9"/>
        <v>3176979.9599999995</v>
      </c>
      <c r="N28" s="10">
        <f t="shared" si="6"/>
        <v>5982920.790000001</v>
      </c>
      <c r="O28" s="11">
        <f t="shared" si="7"/>
        <v>77700.27</v>
      </c>
      <c r="P28" s="23">
        <f t="shared" si="3"/>
        <v>9159900.75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>
        <v>378.9</v>
      </c>
      <c r="D29" s="39">
        <f t="shared" si="0"/>
        <v>404.76104999999995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>
        <f t="shared" si="4"/>
        <v>5228.8459999999995</v>
      </c>
      <c r="J29" s="20">
        <f t="shared" si="5"/>
        <v>11900</v>
      </c>
      <c r="K29" s="19">
        <f t="shared" si="2"/>
        <v>119</v>
      </c>
      <c r="L29" s="8">
        <f t="shared" si="8"/>
        <v>1.0762212668437341</v>
      </c>
      <c r="M29" s="9">
        <f t="shared" si="9"/>
        <v>4816656.4949999992</v>
      </c>
      <c r="N29" s="10">
        <f t="shared" si="6"/>
        <v>367131.66000000015</v>
      </c>
      <c r="O29" s="11">
        <f t="shared" si="7"/>
        <v>3085.1400000000012</v>
      </c>
      <c r="P29" s="23">
        <f t="shared" si="3"/>
        <v>5183788.1549999993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>
        <v>327.8</v>
      </c>
      <c r="D30" s="39">
        <f t="shared" si="0"/>
        <v>351.38710000000003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>
        <f t="shared" si="4"/>
        <v>2452.4679999999998</v>
      </c>
      <c r="J30" s="20">
        <f t="shared" si="5"/>
        <v>5600</v>
      </c>
      <c r="K30" s="19">
        <f t="shared" si="2"/>
        <v>56</v>
      </c>
      <c r="L30" s="8">
        <f t="shared" si="8"/>
        <v>1.1760640900021657</v>
      </c>
      <c r="M30" s="9">
        <f t="shared" si="9"/>
        <v>1967767.7600000002</v>
      </c>
      <c r="N30" s="10">
        <f t="shared" si="6"/>
        <v>346453.23999999993</v>
      </c>
      <c r="O30" s="11">
        <f t="shared" si="7"/>
        <v>6186.6649999999991</v>
      </c>
      <c r="P30" s="23">
        <f t="shared" si="3"/>
        <v>2314221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>
        <v>149900</v>
      </c>
      <c r="D31" s="39">
        <f t="shared" si="0"/>
        <v>157470.54999999999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>
        <f t="shared" si="4"/>
        <v>133.92000000000002</v>
      </c>
      <c r="J31" s="20">
        <f t="shared" si="5"/>
        <v>28</v>
      </c>
      <c r="K31" s="19">
        <f t="shared" si="2"/>
        <v>28</v>
      </c>
      <c r="L31" s="8">
        <f t="shared" si="8"/>
        <v>2.8518665871174007</v>
      </c>
      <c r="M31" s="9">
        <f t="shared" si="9"/>
        <v>4409175.3999999994</v>
      </c>
      <c r="N31" s="10">
        <f t="shared" si="6"/>
        <v>8165204.6000000006</v>
      </c>
      <c r="O31" s="11">
        <f t="shared" si="7"/>
        <v>291614.45</v>
      </c>
      <c r="P31" s="23">
        <f t="shared" si="3"/>
        <v>12574380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>
        <v>609400</v>
      </c>
      <c r="D32" s="39">
        <f t="shared" si="0"/>
        <v>637418.30000000005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>
        <f t="shared" si="4"/>
        <v>6246</v>
      </c>
      <c r="J32" s="20">
        <f t="shared" si="5"/>
        <v>350</v>
      </c>
      <c r="K32" s="19">
        <f t="shared" si="2"/>
        <v>350</v>
      </c>
      <c r="L32" s="8">
        <f t="shared" si="8"/>
        <v>1.4120727315171213</v>
      </c>
      <c r="M32" s="9">
        <f t="shared" si="9"/>
        <v>223096405.00000003</v>
      </c>
      <c r="N32" s="10">
        <f t="shared" si="6"/>
        <v>91931944.999999985</v>
      </c>
      <c r="O32" s="11">
        <f t="shared" si="7"/>
        <v>262662.69999999995</v>
      </c>
      <c r="P32" s="23">
        <f t="shared" si="3"/>
        <v>315028350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>
        <v>575400</v>
      </c>
      <c r="D33" s="39">
        <f t="shared" si="0"/>
        <v>601905.30000000005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>
        <f t="shared" si="4"/>
        <v>4134.7999999999993</v>
      </c>
      <c r="J33" s="20">
        <f t="shared" si="5"/>
        <v>245</v>
      </c>
      <c r="K33" s="19">
        <f t="shared" si="2"/>
        <v>245</v>
      </c>
      <c r="L33" s="8">
        <f t="shared" si="8"/>
        <v>1.473003228248696</v>
      </c>
      <c r="M33" s="9">
        <f t="shared" si="9"/>
        <v>147466798.5</v>
      </c>
      <c r="N33" s="10">
        <f t="shared" si="6"/>
        <v>69752271.74999997</v>
      </c>
      <c r="O33" s="11">
        <f t="shared" si="7"/>
        <v>284703.14999999991</v>
      </c>
      <c r="P33" s="23">
        <f t="shared" si="3"/>
        <v>217219070.24999997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>
        <v>319600</v>
      </c>
      <c r="D34" s="39">
        <f t="shared" si="0"/>
        <v>334722.2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>
        <f t="shared" si="4"/>
        <v>135.84</v>
      </c>
      <c r="J34" s="20">
        <f t="shared" si="5"/>
        <v>14</v>
      </c>
      <c r="K34" s="19">
        <f t="shared" si="2"/>
        <v>14</v>
      </c>
      <c r="L34" s="8">
        <f t="shared" si="8"/>
        <v>1.2845726993907185</v>
      </c>
      <c r="M34" s="9">
        <f t="shared" si="9"/>
        <v>4686110.8</v>
      </c>
      <c r="N34" s="10">
        <f t="shared" si="6"/>
        <v>1333539.1999999997</v>
      </c>
      <c r="O34" s="11">
        <f t="shared" si="7"/>
        <v>95252.799999999988</v>
      </c>
      <c r="P34" s="23">
        <f t="shared" si="3"/>
        <v>6019650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>
        <v>187500</v>
      </c>
      <c r="D35" s="39">
        <f t="shared" si="0"/>
        <v>196743.75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>
        <f t="shared" si="4"/>
        <v>83</v>
      </c>
      <c r="J35" s="20">
        <f t="shared" si="5"/>
        <v>14</v>
      </c>
      <c r="K35" s="19">
        <f t="shared" si="2"/>
        <v>14</v>
      </c>
      <c r="L35" s="8">
        <f t="shared" si="8"/>
        <v>1.6997998665777185</v>
      </c>
      <c r="M35" s="9">
        <f t="shared" si="9"/>
        <v>2754412.5</v>
      </c>
      <c r="N35" s="10">
        <f t="shared" si="6"/>
        <v>1927537.5</v>
      </c>
      <c r="O35" s="11">
        <f t="shared" si="7"/>
        <v>137681.25</v>
      </c>
      <c r="P35" s="23">
        <f t="shared" si="3"/>
        <v>4681950</v>
      </c>
      <c r="Q35" t="e">
        <f>VLOOKUP(B35,Buylist!B:B,1,FALSE)</f>
        <v>#N/A</v>
      </c>
      <c r="R35" t="e">
        <f>VLOOKUP(B35,Buylist!B:M,12,FALSE)</f>
        <v>#N/A</v>
      </c>
      <c r="BD35" s="92" t="s">
        <v>47027</v>
      </c>
      <c r="BE35" s="92"/>
      <c r="BF35" s="92"/>
    </row>
    <row r="36" spans="1:58">
      <c r="A36" s="36" t="s">
        <v>11296</v>
      </c>
      <c r="B36" s="73">
        <f>VLOOKUP(A36,TypeIDs!B:C,2,FALSE)</f>
        <v>23105</v>
      </c>
      <c r="C36" s="39">
        <v>914800</v>
      </c>
      <c r="D36" s="39">
        <f t="shared" si="0"/>
        <v>956408.6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>
        <f t="shared" si="4"/>
        <v>559.88</v>
      </c>
      <c r="J36" s="20">
        <f t="shared" si="5"/>
        <v>21</v>
      </c>
      <c r="K36" s="19">
        <f t="shared" si="2"/>
        <v>21</v>
      </c>
      <c r="L36" s="8">
        <f t="shared" si="8"/>
        <v>1.0669853867897048</v>
      </c>
      <c r="M36" s="9">
        <f t="shared" si="9"/>
        <v>20084580.599999998</v>
      </c>
      <c r="N36" s="10">
        <f t="shared" si="6"/>
        <v>1345373.4000000004</v>
      </c>
      <c r="O36" s="11">
        <f t="shared" si="7"/>
        <v>64065.400000000023</v>
      </c>
      <c r="P36" s="23">
        <f t="shared" si="3"/>
        <v>21429954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>
        <v>540000</v>
      </c>
      <c r="D37" s="39">
        <f t="shared" si="0"/>
        <v>564930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>
        <f t="shared" si="4"/>
        <v>446</v>
      </c>
      <c r="J37" s="20">
        <f t="shared" si="5"/>
        <v>28</v>
      </c>
      <c r="K37" s="19">
        <f t="shared" si="2"/>
        <v>28</v>
      </c>
      <c r="L37" s="8">
        <f t="shared" si="8"/>
        <v>0.97405421910679191</v>
      </c>
      <c r="M37" s="9">
        <f t="shared" si="9"/>
        <v>15818040</v>
      </c>
      <c r="N37" s="10">
        <f t="shared" si="6"/>
        <v>-410411.4000000013</v>
      </c>
      <c r="O37" s="11">
        <f t="shared" si="7"/>
        <v>-14657.550000000047</v>
      </c>
      <c r="P37" s="23">
        <f t="shared" si="3"/>
        <v>15407628.599999998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>
        <v>284300</v>
      </c>
      <c r="D38" s="39">
        <f t="shared" si="0"/>
        <v>297851.34999999998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>
        <f t="shared" si="4"/>
        <v>361.15999999999997</v>
      </c>
      <c r="J38" s="20">
        <f t="shared" si="5"/>
        <v>42</v>
      </c>
      <c r="K38" s="19">
        <f t="shared" si="2"/>
        <v>42</v>
      </c>
      <c r="L38" s="8">
        <f t="shared" si="8"/>
        <v>1.1551921789174366</v>
      </c>
      <c r="M38" s="9">
        <f t="shared" si="9"/>
        <v>12509756.699999999</v>
      </c>
      <c r="N38" s="10">
        <f t="shared" si="6"/>
        <v>1941416.4000000004</v>
      </c>
      <c r="O38" s="11">
        <f t="shared" si="7"/>
        <v>46224.200000000012</v>
      </c>
      <c r="P38" s="23">
        <f t="shared" si="3"/>
        <v>14451173.1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>
        <v>408</v>
      </c>
      <c r="D39" s="39">
        <f t="shared" si="0"/>
        <v>448.65600000000001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>
        <f t="shared" si="4"/>
        <v>2465.33</v>
      </c>
      <c r="J39" s="20">
        <f t="shared" si="5"/>
        <v>5600</v>
      </c>
      <c r="K39" s="19">
        <f t="shared" si="2"/>
        <v>140</v>
      </c>
      <c r="L39" s="8">
        <f t="shared" si="8"/>
        <v>2.1296940194714882</v>
      </c>
      <c r="M39" s="9">
        <f t="shared" si="9"/>
        <v>2512473.6</v>
      </c>
      <c r="N39" s="10">
        <f t="shared" si="6"/>
        <v>2838326.4</v>
      </c>
      <c r="O39" s="11">
        <f t="shared" si="7"/>
        <v>20273.759999999998</v>
      </c>
      <c r="P39" s="23">
        <f t="shared" si="3"/>
        <v>5350800</v>
      </c>
      <c r="Q39">
        <f>VLOOKUP(B39,Buylist!B:B,1,FALSE)</f>
        <v>12787</v>
      </c>
      <c r="R39" t="str">
        <f>VLOOKUP(B39,Buylist!B:M,12,FALSE)</f>
        <v>x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>
        <v>158.9</v>
      </c>
      <c r="D40" s="39">
        <f t="shared" si="0"/>
        <v>177.22104999999999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>
        <f t="shared" si="4"/>
        <v>11217.611000000001</v>
      </c>
      <c r="J40" s="20">
        <f t="shared" si="5"/>
        <v>25900</v>
      </c>
      <c r="K40" s="19">
        <f t="shared" si="2"/>
        <v>323.75</v>
      </c>
      <c r="L40" s="8">
        <f t="shared" si="8"/>
        <v>1.0567480556062612</v>
      </c>
      <c r="M40" s="9">
        <f t="shared" si="9"/>
        <v>4590025.1949999994</v>
      </c>
      <c r="N40" s="10">
        <f t="shared" si="6"/>
        <v>260475.005</v>
      </c>
      <c r="O40" s="11">
        <f t="shared" si="7"/>
        <v>804.55600000000004</v>
      </c>
      <c r="P40" s="23">
        <f t="shared" si="3"/>
        <v>4850500.1999999993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>
        <v>159</v>
      </c>
      <c r="D41" s="39">
        <f t="shared" si="0"/>
        <v>177.32550000000001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>
        <f t="shared" si="4"/>
        <v>16674.924999999999</v>
      </c>
      <c r="J41" s="20">
        <f t="shared" si="5"/>
        <v>38500</v>
      </c>
      <c r="K41" s="19">
        <f t="shared" si="2"/>
        <v>481.25</v>
      </c>
      <c r="L41" s="8">
        <f t="shared" si="8"/>
        <v>3.9760973464053393</v>
      </c>
      <c r="M41" s="9">
        <f t="shared" si="9"/>
        <v>6827031.75</v>
      </c>
      <c r="N41" s="10">
        <f t="shared" si="6"/>
        <v>20317911.074999999</v>
      </c>
      <c r="O41" s="11">
        <f t="shared" si="7"/>
        <v>42219.035999999993</v>
      </c>
      <c r="P41" s="23">
        <f t="shared" si="3"/>
        <v>27144942.824999999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>
        <v>53.6</v>
      </c>
      <c r="D42" s="39">
        <f t="shared" si="0"/>
        <v>58.235199999999999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>
        <f t="shared" si="4"/>
        <v>15053.605</v>
      </c>
      <c r="J42" s="20">
        <f t="shared" si="5"/>
        <v>35000</v>
      </c>
      <c r="K42" s="19">
        <f t="shared" si="2"/>
        <v>87.5</v>
      </c>
      <c r="L42" s="8">
        <f t="shared" si="8"/>
        <v>1.2962005797181086</v>
      </c>
      <c r="M42" s="9">
        <f t="shared" si="9"/>
        <v>2038232</v>
      </c>
      <c r="N42" s="10">
        <f t="shared" si="6"/>
        <v>603725.49999999988</v>
      </c>
      <c r="O42" s="11">
        <f t="shared" si="7"/>
        <v>6899.7199999999993</v>
      </c>
      <c r="P42" s="23">
        <f t="shared" si="3"/>
        <v>2641957.5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>
        <v>58.49</v>
      </c>
      <c r="D43" s="39">
        <f t="shared" si="0"/>
        <v>63.342804999999998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>
        <f t="shared" si="4"/>
        <v>57222.267</v>
      </c>
      <c r="J43" s="20">
        <f t="shared" si="5"/>
        <v>133000</v>
      </c>
      <c r="K43" s="19">
        <f t="shared" si="2"/>
        <v>332.5</v>
      </c>
      <c r="L43" s="8">
        <f t="shared" si="8"/>
        <v>0.60293090904326074</v>
      </c>
      <c r="M43" s="9">
        <f t="shared" si="9"/>
        <v>8424593.0649999995</v>
      </c>
      <c r="N43" s="10">
        <f t="shared" si="6"/>
        <v>-3345145.5099999993</v>
      </c>
      <c r="O43" s="11">
        <f t="shared" si="7"/>
        <v>-10060.587999999998</v>
      </c>
      <c r="P43" s="23">
        <f t="shared" si="3"/>
        <v>5079447.5549999997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>
        <v>151.19999999999999</v>
      </c>
      <c r="D44" s="39">
        <f t="shared" si="0"/>
        <v>169.17839999999998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>
        <f t="shared" si="4"/>
        <v>15151.225</v>
      </c>
      <c r="J44" s="20">
        <f t="shared" si="5"/>
        <v>35000</v>
      </c>
      <c r="K44" s="19">
        <f t="shared" si="2"/>
        <v>437.5</v>
      </c>
      <c r="L44" s="8">
        <f t="shared" si="8"/>
        <v>1.8355623412917965</v>
      </c>
      <c r="M44" s="9">
        <f t="shared" si="9"/>
        <v>5921243.9999999991</v>
      </c>
      <c r="N44" s="10">
        <f t="shared" si="6"/>
        <v>4947568.5000000019</v>
      </c>
      <c r="O44" s="11">
        <f t="shared" si="7"/>
        <v>11308.728000000003</v>
      </c>
      <c r="P44" s="23">
        <f t="shared" si="3"/>
        <v>10868812.5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8027&lt;/volume&gt;&lt;avg&gt;386596.71&lt;/avg&gt;&lt;stddev&gt;100641.48&lt;/stddev&gt;&lt;median&gt;400000.00&lt;/median&gt;&lt;percentile&gt;412935.44&lt;/percentile&gt;&lt;max&gt;413000.00&lt;/max&gt;&lt;min&gt;107700.00&lt;/min&gt;&lt;/buy&gt;&lt;sell&gt;&lt;volume&gt;26853&lt;/volume&gt;&lt;avg&gt;480476.78&lt;/avg&gt;&lt;stddev&gt;113945.17&lt;/stddev&gt;&lt;median&gt;488100.00&lt;/median&gt;&lt;percentile&gt;449828.68&lt;/percentile&gt;&lt;max&gt;1200000.00&lt;/max&gt;&lt;min&gt;449700.00&lt;/min&gt;&lt;/sell&gt;&lt;/type&gt;&lt;type id="28668"&gt;&lt;buy&gt;&lt;volume&gt;531792&lt;/volume&gt;&lt;avg&gt;19198.93&lt;/avg&gt;&lt;stddev&gt;4023.78&lt;/stddev&gt;&lt;median&gt;19280.00&lt;/median&gt;&lt;percentile&gt;19956.75&lt;/percentile&gt;&lt;max&gt;19980.00&lt;/max&gt;&lt;min&gt;4000.00&lt;/min&gt;&lt;/buy&gt;&lt;sell&gt;&lt;volume&gt;2183187&lt;/volume&gt;&lt;avg&gt;22622.90&lt;/avg&gt;&lt;stddev&gt;1758.63&lt;/stddev&gt;&lt;median&gt;22315.00&lt;/median&gt;&lt;percentile&gt;21764.81&lt;/percentile&gt;&lt;max&gt;29500.00&lt;/max&gt;&lt;min&gt;21450.00&lt;/min&gt;&lt;/sell&gt;&lt;/type&gt;&lt;type id="44992"&gt;&lt;buy&gt;&lt;volume&gt;302264&lt;/volume&gt;&lt;avg&gt;2675810.38&lt;/avg&gt;&lt;stddev&gt;548065.74&lt;/stddev&gt;&lt;median&gt;2713000.00&lt;/median&gt;&lt;percentile&gt;2741054.37&lt;/percentile&gt;&lt;max&gt;2747000.00&lt;/max&gt;&lt;min&gt;200000.00&lt;/min&gt;&lt;/buy&gt;&lt;sell&gt;&lt;volume&gt;647281&lt;/volume&gt;&lt;avg&gt;3054792.76&lt;/avg&gt;&lt;stddev&gt;354623.54&lt;/stddev&gt;&lt;median&gt;3033500.00&lt;/median&gt;&lt;percentile&gt;2924780.00&lt;/percentile&gt;&lt;max&gt;9000000.00&lt;/max&gt;&lt;min&gt;2919000.00&lt;/min&gt;&lt;/sell&gt;&lt;/type&gt;&lt;type id="47867"&gt;&lt;buy&gt;&lt;volume&gt;7525&lt;/volume&gt;&lt;avg&gt;34126.86&lt;/avg&gt;&lt;stddev&gt;7771.10&lt;/stddev&gt;&lt;median&gt;34250.00&lt;/median&gt;&lt;percentile&gt;35425.64&lt;/percentile&gt;&lt;max&gt;51180.00&lt;/max&gt;&lt;min&gt;30000.00&lt;/min&gt;&lt;/buy&gt;&lt;sell&gt;&lt;volume&gt;2771&lt;/volume&gt;&lt;avg&gt;138001.73&lt;/avg&gt;&lt;stddev&gt;528741.80&lt;/stddev&gt;&lt;median&gt;98620.00&lt;/median&gt;&lt;percentile&gt;89820.00&lt;/percentile&gt;&lt;max&gt;1500000.00&lt;/max&gt;&lt;min&gt;89820.00&lt;/min&gt;&lt;/sell&gt;&lt;/type&gt;&lt;type id="49742"&gt;&lt;buy&gt;&lt;volume&gt;5574&lt;/volume&gt;&lt;avg&gt;64100.29&lt;/avg&gt;&lt;stddev&gt;14482.95&lt;/stddev&gt;&lt;median&gt;63350.00&lt;/median&gt;&lt;percentile&gt;79573.76&lt;/percentile&gt;&lt;max&gt;80140.00&lt;/max&gt;&lt;min&gt;25000.00&lt;/min&gt;&lt;/buy&gt;&lt;sell&gt;&lt;volume&gt;415&lt;/volume&gt;&lt;avg&gt;5148910.84&lt;/avg&gt;&lt;stddev&gt;1831185.34&lt;/stddev&gt;&lt;median&gt;4055000.00&lt;/median&gt;&lt;percentile&gt;498000.00&lt;/percentile&gt;&lt;max&gt;10000000.00&lt;/max&gt;&lt;min&gt;498000.00&lt;/min&gt;&lt;/sell&gt;&lt;/type&gt;&lt;type id="32006"&gt;&lt;buy&gt;&lt;volume&gt;51744&lt;/volume&gt;&lt;avg&gt;100672.13&lt;/avg&gt;&lt;stddev&gt;15208.54&lt;/stddev&gt;&lt;median&gt;103350.00&lt;/median&gt;&lt;percentile&gt;110200.00&lt;/percentile&gt;&lt;max&gt;110200.00&lt;/max&gt;&lt;min&gt;59870.00&lt;/min&gt;&lt;/buy&gt;&lt;sell&gt;&lt;volume&gt;224884&lt;/volume&gt;&lt;avg&gt;142743.48&lt;/avg&gt;&lt;stddev&gt;59526.33&lt;/stddev&gt;&lt;median&gt;120000.00&lt;/median&gt;&lt;percentile&gt;119277.43&lt;/percentile&gt;&lt;max&gt;440200.00&lt;/max&gt;&lt;min&gt;119200.00&lt;/min&gt;&lt;/sell&gt;&lt;/type&gt;&lt;type id="32014"&gt;&lt;buy&gt;&lt;volume&gt;32123&lt;/volume&gt;&lt;avg&gt;192947.37&lt;/avg&gt;&lt;stddev&gt;21839.07&lt;/stddev&gt;&lt;median&gt;197200.00&lt;/median&gt;&lt;percentile&gt;200000.00&lt;/percentile&gt;&lt;max&gt;200000.00&lt;/max&gt;&lt;min&gt;120000.00&lt;/min&gt;&lt;/buy&gt;&lt;sell&gt;&lt;volume&gt;77756&lt;/volume&gt;&lt;avg&gt;234070.15&lt;/avg&gt;&lt;stddev&gt;27995.51&lt;/stddev&gt;&lt;median&gt;220000.00&lt;/median&gt;&lt;percentile&gt;215000.00&lt;/percentile&gt;&lt;max&gt;316200.00&lt;/max&gt;&lt;min&gt;215000.00&lt;/min&gt;&lt;/sell&gt;&lt;/type&gt;&lt;type id="41490"&gt;&lt;buy&gt;&lt;volume&gt;10390&lt;/volume&gt;&lt;avg&gt;771873.44&lt;/avg&gt;&lt;stddev&gt;53807.03&lt;/stddev&gt;&lt;median&gt;794000.00&lt;/median&gt;&lt;percentile&gt;808905.06&lt;/percentile&gt;&lt;max&gt;809000.00&lt;/max&gt;&lt;min&gt;574000.00&lt;/min&gt;&lt;/buy&gt;&lt;sell&gt;&lt;volume&gt;45713&lt;/volume&gt;&lt;avg&gt;1066220.59&lt;/avg&gt;&lt;stddev&gt;283210.28&lt;/stddev&gt;&lt;median&gt;1074000.00&lt;/median&gt;&lt;percentile&gt;917987.50&lt;/percentile&gt;&lt;max&gt;2740000.00&lt;/max&gt;&lt;min&gt;917800.00&lt;/min&gt;&lt;/sell&gt;&lt;/type&gt;&lt;type id="42832"&gt;&lt;buy&gt;&lt;volume&gt;1480744&lt;/volume&gt;&lt;avg&gt;329.08&lt;/avg&gt;&lt;stddev&gt;32.64&lt;/stddev&gt;&lt;median&gt;323.70&lt;/median&gt;&lt;percentile&gt;364.82&lt;/percentile&gt;&lt;max&gt;402.00&lt;/max&gt;&lt;min&gt;303.40&lt;/min&gt;&lt;/buy&gt;&lt;sell&gt;&lt;volume&gt;2039575&lt;/volume&gt;&lt;avg&gt;685.35&lt;/avg&gt;&lt;stddev&gt;214.93&lt;/stddev&gt;&lt;median&gt;559.70&lt;/median&gt;&lt;percentile&gt;518.80&lt;/percentile&gt;&lt;max&gt;1399.00&lt;/max&gt;&lt;min&gt;518.80&lt;/min&gt;&lt;/sell&gt;&lt;/type&gt;&lt;type id="42834"&gt;&lt;buy&gt;&lt;volume&gt;2074241&lt;/volume&gt;&lt;avg&gt;236.74&lt;/avg&gt;&lt;stddev&gt;101.58&lt;/stddev&gt;&lt;median&gt;169.50&lt;/median&gt;&lt;percentile&gt;374.65&lt;/percentile&gt;&lt;max&gt;391.00&lt;/max&gt;&lt;min&gt;100.00&lt;/min&gt;&lt;/buy&gt;&lt;sell&gt;&lt;volume&gt;4072093&lt;/volume&gt;&lt;avg&gt;649.14&lt;/avg&gt;&lt;stddev&gt;156.03&lt;/stddev&gt;&lt;median&gt;590.00&lt;/median&gt;&lt;percentile&gt;529.78&lt;/percentile&gt;&lt;max&gt;983.00&lt;/max&gt;&lt;min&gt;494.60&lt;/min&gt;&lt;/sell&gt;&lt;/type&gt;&lt;type id="42833"&gt;&lt;buy&gt;&lt;volume&gt;3046465&lt;/volume&gt;&lt;avg&gt;213.82&lt;/avg&gt;&lt;stddev&gt;139.62&lt;/stddev&gt;&lt;median&gt;221.00&lt;/median&gt;&lt;percentile&gt;427.90&lt;/percentile&gt;&lt;max&gt;464.00&lt;/max&gt;&lt;min&gt;80.01&lt;/min&gt;&lt;/buy&gt;&lt;sell&gt;&lt;volume&gt;3220813&lt;/volume&gt;&lt;avg&gt;685.17&lt;/avg&gt;&lt;stddev&gt;89.99&lt;/stddev&gt;&lt;median&gt;647.90&lt;/median&gt;&lt;percentile&gt;599.94&lt;/percentile&gt;&lt;max&gt;898.00&lt;/max&gt;&lt;min&gt;599.90&lt;/min&gt;&lt;/sell&gt;&lt;/type&gt;&lt;type id="42835"&gt;&lt;buy&gt;&lt;volume&gt;265000&lt;/volume&gt;&lt;avg&gt;448.14&lt;/avg&gt;&lt;stddev&gt;4.20&lt;/stddev&gt;&lt;median&gt;445.00&lt;/median&gt;&lt;percentile&gt;453.00&lt;/percentile&gt;&lt;max&gt;453.00&lt;/max&gt;&lt;min&gt;445.00&lt;/min&gt;&lt;/buy&gt;&lt;sell&gt;&lt;volume&gt;1975732&lt;/volume&gt;&lt;avg&gt;820.12&lt;/avg&gt;&lt;stddev&gt;110.67&lt;/stddev&gt;&lt;median&gt;878.00&lt;/median&gt;&lt;percentile&gt;589.95&lt;/percentile&gt;&lt;max&gt;988.80&lt;/max&gt;&lt;min&gt;589.80&lt;/min&gt;&lt;/sell&gt;&lt;/type&gt;&lt;type id="42831"&gt;&lt;buy&gt;&lt;volume&gt;395000&lt;/volume&gt;&lt;avg&gt;77.54&lt;/avg&gt;&lt;stddev&gt;27.84&lt;/stddev&gt;&lt;median&gt;62.65&lt;/median&gt;&lt;percentile&gt;106.80&lt;/percentile&gt;&lt;max&gt;106.80&lt;/max&gt;&lt;min&gt;43.06&lt;/min&gt;&lt;/buy&gt;&lt;sell&gt;&lt;volume&gt;3622991&lt;/volume&gt;&lt;avg&gt;143.57&lt;/avg&gt;&lt;stddev&gt;1.07&lt;/stddev&gt;&lt;median&gt;143.80&lt;/median&gt;&lt;percentile&gt;142.00&lt;/percentile&gt;&lt;max&gt;143.90&lt;/max&gt;&lt;min&gt;142.00&lt;/min&gt;&lt;/sell&gt;&lt;/type&gt;&lt;type id="42829"&gt;&lt;buy&gt;&lt;volume&gt;10259491&lt;/volume&gt;&lt;avg&gt;172.55&lt;/avg&gt;&lt;stddev&gt;78.68&lt;/stddev&gt;&lt;median&gt;150.40&lt;/median&gt;&lt;percentile&gt;320.02&lt;/percentile&gt;&lt;max&gt;320.20&lt;/max&gt;&lt;min&gt;105.70&lt;/min&gt;&lt;/buy&gt;&lt;sell&gt;&lt;volume&gt;2870996&lt;/volume&gt;&lt;avg&gt;616.08&lt;/avg&gt;&lt;stddev&gt;83.74&lt;/stddev&gt;&lt;median&gt;709.50&lt;/median&gt;&lt;percentile&gt;402.00&lt;/percentile&gt;&lt;max&gt;787.00&lt;/max&gt;&lt;min&gt;402.00&lt;/min&gt;&lt;/sell&gt;&lt;/type&gt;&lt;type id="42830"&gt;&lt;buy&gt;&lt;volume&gt;13451411&lt;/volume&gt;&lt;avg&gt;111.75&lt;/avg&gt;&lt;stddev&gt;17.56&lt;/stddev&gt;&lt;median&gt;105.00&lt;/median&gt;&lt;percentile&gt;137.15&lt;/percentile&gt;&lt;max&gt;137.50&lt;/max&gt;&lt;min&gt;81.80&lt;/min&gt;&lt;/buy&gt;&lt;sell&gt;&lt;volume&gt;7428762&lt;/volume&gt;&lt;avg&gt;192.18&lt;/avg&gt;&lt;stddev&gt;15.73&lt;/stddev&gt;&lt;median&gt;191.90&lt;/median&gt;&lt;percentile&gt;190.29&lt;/percentile&gt;&lt;max&gt;248.10&lt;/max&gt;&lt;min&gt;190.20&lt;/min&gt;&lt;/sell&gt;&lt;/type&gt;&lt;type id="42694"&gt;&lt;buy&gt;&lt;volume&gt;1662362&lt;/volume&gt;&lt;avg&gt;103.51&lt;/avg&gt;&lt;stddev&gt;107.56&lt;/stddev&gt;&lt;median&gt;76.28&lt;/median&gt;&lt;percentile&gt;292.30&lt;/percentile&gt;&lt;max&gt;292.30&lt;/max&gt;&lt;min&gt;76.28&lt;/min&gt;&lt;/buy&gt;&lt;sell&gt;&lt;volume&gt;6199028&lt;/volume&gt;&lt;avg&gt;531.13&lt;/avg&gt;&lt;stddev&gt;368.30&lt;/stddev&gt;&lt;median&gt;500.00&lt;/median&gt;&lt;percentile&gt;388.95&lt;/percentile&gt;&lt;max&gt;1531.00&lt;/max&gt;&lt;min&gt;388.00&lt;/min&gt;&lt;/sell&gt;&lt;/type&gt;&lt;type id="42696"&gt;&lt;buy&gt;&lt;volume&gt;399500&lt;/volume&gt;&lt;avg&gt;280.62&lt;/avg&gt;&lt;stddev&gt;125.77&lt;/stddev&gt;&lt;median&gt;352.90&lt;/median&gt;&lt;percentile&gt;354.50&lt;/percentile&gt;&lt;max&gt;354.50&lt;/max&gt;&lt;min&gt;99.00&lt;/min&gt;&lt;/buy&gt;&lt;sell&gt;&lt;volume&gt;2579954&lt;/volume&gt;&lt;avg&gt;756.90&lt;/avg&gt;&lt;stddev&gt;128.92&lt;/stddev&gt;&lt;median&gt;734.60&lt;/median&gt;&lt;percentile&gt;563.50&lt;/percentile&gt;&lt;max&gt;956.20&lt;/max&gt;&lt;min&gt;563.40&lt;/min&gt;&lt;/sell&gt;&lt;/type&gt;&lt;type id="42695"&gt;&lt;buy&gt;&lt;volume&gt;2818297&lt;/volume&gt;&lt;avg&gt;171.69&lt;/avg&gt;&lt;stddev&gt;83.91&lt;/stddev&gt;&lt;median&gt;101.02&lt;/median&gt;&lt;percentile&gt;285.72&lt;/percentile&gt;&lt;max&gt;287.00&lt;/max&gt;&lt;min&gt;97.00&lt;/min&gt;&lt;/buy&gt;&lt;sell&gt;&lt;volume&gt;5276247&lt;/volume&gt;&lt;avg&gt;647.03&lt;/avg&gt;&lt;stddev&gt;132.22&lt;/stddev&gt;&lt;median&gt;600.00&lt;/median&gt;&lt;percentile&gt;489.70&lt;/percentile&gt;&lt;max&gt;898.50&lt;/max&gt;&lt;min&gt;480.00&lt;/min&gt;&lt;/sell&gt;&lt;/type&gt;&lt;type id="42838"&gt;&lt;buy&gt;&lt;volume&gt;774541&lt;/volume&gt;&lt;avg&gt;356.24&lt;/avg&gt;&lt;stddev&gt;37.77&lt;/stddev&gt;&lt;median&gt;370.00&lt;/median&gt;&lt;percentile&gt;400.00&lt;/percentile&gt;&lt;max&gt;400.00&lt;/max&gt;&lt;min&gt;300.30&lt;/min&gt;&lt;/buy&gt;&lt;sell&gt;&lt;volume&gt;3476986&lt;/volume&gt;&lt;avg&gt;578.83&lt;/avg&gt;&lt;stddev&gt;154.46&lt;/stddev&gt;&lt;median&gt;500.00&lt;/median&gt;&lt;percentile&gt;449.00&lt;/percentile&gt;&lt;max&gt;988.90&lt;/max&gt;&lt;min&gt;449.00&lt;/min&gt;&lt;/sell&gt;&lt;/type&gt;&lt;type id="42839"&gt;&lt;buy&gt;&lt;volume&gt;614617&lt;/volume&gt;&lt;avg&gt;319.03&lt;/avg&gt;&lt;stddev&gt;173.42&lt;/stddev&gt;&lt;median&gt;182.50&lt;/median&gt;&lt;percentile&gt;557.00&lt;/percentile&gt;&lt;max&gt;557.00&lt;/max&gt;&lt;min&gt;170.60&lt;/min&gt;&lt;/buy&gt;&lt;sell&gt;&lt;volume&gt;2297281&lt;/volume&gt;&lt;avg&gt;728.12&lt;/avg&gt;&lt;stddev&gt;95.65&lt;/stddev&gt;&lt;median&gt;725.00&lt;/median&gt;&lt;percentile&gt;648.53&lt;/percentile&gt;&lt;max&gt;953.70&lt;/max&gt;&lt;min&gt;648.40&lt;/min&gt;&lt;/sell&gt;&lt;/type&gt;&lt;type id="42840"&gt;&lt;buy&gt;&lt;volume&gt;1521997&lt;/volume&gt;&lt;avg&gt;215.19&lt;/avg&gt;&lt;stddev&gt;25.44&lt;/stddev&gt;&lt;median&gt;210.35&lt;/median&gt;&lt;percentile&gt;245.01&lt;/percentile&gt;&lt;max&gt;245.10&lt;/max&gt;&lt;min&gt;174.00&lt;/min&gt;&lt;/buy&gt;&lt;sell&gt;&lt;volume&gt;4101714&lt;/volume&gt;&lt;avg&gt;590.56&lt;/avg&gt;&lt;stddev&gt;271.89&lt;/stddev&gt;&lt;median&gt;500.00&lt;/median&gt;&lt;percentile&gt;450.00&lt;/percentile&gt;&lt;max&gt;1893.00&lt;/max&gt;&lt;min&gt;450.00&lt;/min&gt;&lt;/sell&gt;&lt;/type&gt;&lt;type id="47931"&gt;&lt;buy&gt;&lt;volume&gt;434000&lt;/volume&gt;&lt;avg&gt;1332.22&lt;/avg&gt;&lt;stddev&gt;6.69&lt;/stddev&gt;&lt;median&gt;1330.50&lt;/median&gt;&lt;percentile&gt;1336.00&lt;/percentile&gt;&lt;max&gt;1336.00&lt;/max&gt;&lt;min&gt;1320.00&lt;/min&gt;&lt;/buy&gt;&lt;sell&gt;&lt;volume&gt;2232652&lt;/volume&gt;&lt;avg&gt;1699.41&lt;/avg&gt;&lt;stddev&gt;119.89&lt;/stddev&gt;&lt;median&gt;1675.00&lt;/median&gt;&lt;percentile&gt;1576.59&lt;/percentile&gt;&lt;max&gt;1999.00&lt;/max&gt;&lt;min&gt;1573.00&lt;/min&gt;&lt;/sell&gt;&lt;/type&gt;&lt;type id="47930"&gt;&lt;buy&gt;&lt;volume&gt;435000&lt;/volume&gt;&lt;avg&gt;1378.11&lt;/avg&gt;&lt;stddev&gt;48.01&lt;/stddev&gt;&lt;median&gt;1392.50&lt;/median&gt;&lt;percentile&gt;1415.00&lt;/percentile&gt;&lt;max&gt;1415.00&lt;/max&gt;&lt;min&gt;1277.00&lt;/min&gt;&lt;/buy&gt;&lt;sell&gt;&lt;volume&gt;2816330&lt;/volume&gt;&lt;avg&gt;1996.54&lt;/avg&gt;&lt;stddev&gt;628.20&lt;/stddev&gt;&lt;median&gt;1817.50&lt;/median&gt;&lt;percentile&gt;1565.75&lt;/percentile&gt;&lt;max&gt;4000.00&lt;/max&gt;&lt;min&gt;1559.00&lt;/min&gt;&lt;/sell&gt;&lt;/type&gt;&lt;type id="47927"&gt;&lt;buy&gt;&lt;volume&gt;484722&lt;/volume&gt;&lt;avg&gt;833.96&lt;/avg&gt;&lt;stddev&gt;27.58&lt;/stddev&gt;&lt;median&gt;821.60&lt;/median&gt;&lt;percentile&gt;887.50&lt;/percentile&gt;&lt;max&gt;887.50&lt;/max&gt;&lt;min&gt;821.00&lt;/min&gt;&lt;/buy&gt;&lt;sell&gt;&lt;volume&gt;2888693&lt;/volume&gt;&lt;avg&gt;1165.18&lt;/avg&gt;&lt;stddev&gt;395.99&lt;/stddev&gt;&lt;median&gt;984.70&lt;/median&gt;&lt;percentile&gt;976.00&lt;/percentile&gt;&lt;max&gt;2600.00&lt;/max&gt;&lt;min&gt;976.00&lt;/min&gt;&lt;/sell&gt;&lt;/type&gt;&lt;type id="47926"&gt;&lt;buy&gt;&lt;volume&gt;969648&lt;/volume&gt;&lt;avg&gt;830.89&lt;/avg&gt;&lt;stddev&gt;23.63&lt;/stddev&gt;&lt;median&gt;836.35&lt;/median&gt;&lt;percentile&gt;840.30&lt;/percentile&gt;&lt;max&gt;840.30&lt;/max&gt;&lt;min&gt;746.60&lt;/min&gt;&lt;/buy&gt;&lt;sell&gt;&lt;volume&gt;1821421&lt;/volume&gt;&lt;avg&gt;1566.21&lt;/avg&gt;&lt;stddev&gt;367.59&lt;/stddev&gt;&lt;median&gt;1673.50&lt;/median&gt;&lt;percentile&gt;1077.88&lt;/percentile&gt;&lt;max&gt;2190.00&lt;/max&gt;&lt;min&gt;1077.00&lt;/min&gt;&lt;/sell&gt;&lt;/type&gt;&lt;type id="47928"&gt;&lt;buy&gt;&lt;volume&gt;884714&lt;/volume&gt;&lt;avg&gt;501.88&lt;/avg&gt;&lt;stddev&gt;16.92&lt;/stddev&gt;&lt;median&gt;510.10&lt;/median&gt;&lt;percentile&gt;513.10&lt;/percentile&gt;&lt;max&gt;513.10&lt;/max&gt;&lt;min&gt;472.30&lt;/min&gt;&lt;/buy&gt;&lt;sell&gt;&lt;volume&gt;4083835&lt;/volume&gt;&lt;avg&gt;964.97&lt;/avg&gt;&lt;stddev&gt;550.84&lt;/stddev&gt;&lt;median&gt;744.90&lt;/median&gt;&lt;percentile&gt;623.24&lt;/percentile&gt;&lt;max&gt;2492.00&lt;/max&gt;&lt;min&gt;622.50&lt;/min&gt;&lt;/sell&gt;&lt;/type&gt;&lt;type id="47924"&gt;&lt;buy&gt;&lt;volume&gt;267500&lt;/volume&gt;&lt;avg&gt;119.16&lt;/avg&gt;&lt;stddev&gt;6.30&lt;/stddev&gt;&lt;median&gt;114.20&lt;/median&gt;&lt;percentile&gt;125.80&lt;/percentile&gt;&lt;max&gt;125.80&lt;/max&gt;&lt;min&gt;113.00&lt;/min&gt;&lt;/buy&gt;&lt;sell&gt;&lt;volume&gt;2608519&lt;/volume&gt;&lt;avg&gt;441.07&lt;/avg&gt;&lt;stddev&gt;90.85&lt;/stddev&gt;&lt;median&gt;417.85&lt;/median&gt;&lt;percentile&gt;386.40&lt;/percentile&gt;&lt;max&gt;790.00&lt;/max&gt;&lt;min&gt;386.40&lt;/min&gt;&lt;/sell&gt;&lt;/type&gt;&lt;type id="47925"&gt;&lt;buy&gt;&lt;volume&gt;549142&lt;/volume&gt;&lt;avg&gt;260.78&lt;/avg&gt;&lt;stddev&gt;3.86&lt;/stddev&gt;&lt;median&gt;262.00&lt;/median&gt;&lt;percentile&gt;262.21&lt;/percentile&gt;&lt;max&gt;262.30&lt;/max&gt;&lt;min&gt;252.90&lt;/min&gt;&lt;/buy&gt;&lt;sell&gt;&lt;volume&gt;2306374&lt;/volume&gt;&lt;avg&gt;467.09&lt;/avg&gt;&lt;stddev&gt;129.27&lt;/stddev&gt;&lt;median&gt;399.50&lt;/median&gt;&lt;percentile&gt;387.55&lt;/percentile&gt;&lt;max&gt;799.60&lt;/max&gt;&lt;min&gt;378.90&lt;/min&gt;&lt;/sell&gt;&lt;/type&gt;&lt;type id="47885"&gt;&lt;buy&gt;&lt;volume&gt;554774&lt;/volume&gt;&lt;avg&gt;200.31&lt;/avg&gt;&lt;stddev&gt;23.55&lt;/stddev&gt;&lt;median&gt;217.70&lt;/median&gt;&lt;percentile&gt;222.45&lt;/percentile&gt;&lt;max&gt;223.00&lt;/max&gt;&lt;min&gt;147.50&lt;/min&gt;&lt;/buy&gt;&lt;sell&gt;&lt;volume&gt;3819787&lt;/volume&gt;&lt;avg&gt;448.50&lt;/avg&gt;&lt;stddev&gt;95.46&lt;/stddev&gt;&lt;median&gt;434.30&lt;/median&gt;&lt;percentile&gt;329.49&lt;/percentile&gt;&lt;max&gt;739.40&lt;/max&gt;&lt;min&gt;327.80&lt;/min&gt;&lt;/sell&gt;&lt;/type&gt;&lt;type id="12557"&gt;&lt;buy&gt;&lt;volume&gt;1830&lt;/volume&gt;&lt;avg&gt;73461.15&lt;/avg&gt;&lt;stddev&gt;15255.57&lt;/stddev&gt;&lt;median&gt;78110.00&lt;/median&gt;&lt;percentile&gt;78130.00&lt;/percentile&gt;&lt;max&gt;78130.00&lt;/max&gt;&lt;min&gt;47340.00&lt;/min&gt;&lt;/buy&gt;&lt;sell&gt;&lt;volume&gt;2668&lt;/volume&gt;&lt;avg&gt;167051.16&lt;/avg&gt;&lt;stddev&gt;213857.82&lt;/stddev&gt;&lt;median&gt;317500.00&lt;/median&gt;&lt;percentile&gt;149997.04&lt;/percentile&gt;&lt;max&gt;550000.00&lt;/max&gt;&lt;min&gt;149900.00&lt;/min&gt;&lt;/sell&gt;&lt;/type&gt;&lt;type id="12816"&gt;&lt;buy&gt;&lt;volume&gt;2030&lt;/volume&gt;&lt;avg&gt;488682.76&lt;/avg&gt;&lt;stddev&gt;126240.34&lt;/stddev&gt;&lt;median&gt;525800.00&lt;/median&gt;&lt;percentile&gt;526516.67&lt;/percentile&gt;&lt;max&gt;526600.00&lt;/max&gt;&lt;min&gt;147000.00&lt;/min&gt;&lt;/buy&gt;&lt;sell&gt;&lt;volume&gt;18726&lt;/volume&gt;&lt;avg&gt;642665.36&lt;/avg&gt;&lt;stddev&gt;48809.14&lt;/stddev&gt;&lt;median&gt;634000.00&lt;/median&gt;&lt;percentile&gt;609768.32&lt;/percentile&gt;&lt;max&gt;799000.00&lt;/max&gt;&lt;min&gt;609400.00&lt;/min&gt;&lt;/sell&gt;&lt;/type&gt;&lt;type id="12820"&gt;&lt;buy&gt;&lt;volume&gt;2386&lt;/volume&gt;&lt;avg&gt;477179.21&lt;/avg&gt;&lt;stddev&gt;95734.82&lt;/stddev&gt;&lt;median&gt;485800.00&lt;/median&gt;&lt;percentile&gt;501100.00&lt;/percentile&gt;&lt;max&gt;501100.00&lt;/max&gt;&lt;min&gt;122200.00&lt;/min&gt;&lt;/buy&gt;&lt;sell&gt;&lt;volume&gt;14965&lt;/volume&gt;&lt;avg&gt;656261.70&lt;/avg&gt;&lt;stddev&gt;85175.97&lt;/stddev&gt;&lt;median&gt;625000.00&lt;/median&gt;&lt;percentile&gt;575938.70&lt;/percentile&gt;&lt;max&gt;855100.00&lt;/max&gt;&lt;min&gt;575400.00&lt;/min&gt;&lt;/sell&gt;&lt;/type&gt;&lt;type id="12818"&gt;&lt;buy&gt;&lt;volume&gt;3360&lt;/volume&gt;&lt;avg&gt;226900.89&lt;/avg&gt;&lt;stddev&gt;29174.27&lt;/stddev&gt;&lt;median&gt;222500.00&lt;/median&gt;&lt;percentile&gt;251681.25&lt;/percentile&gt;&lt;max&gt;251900.00&lt;/max&gt;&lt;min&gt;150700.00&lt;/min&gt;&lt;/buy&gt;&lt;sell&gt;&lt;volume&gt;6644&lt;/volume&gt;&lt;avg&gt;325117.07&lt;/avg&gt;&lt;stddev&gt;17500.49&lt;/stddev&gt;&lt;median&gt;321300.00&lt;/median&gt;&lt;percentile&gt;319600.00&lt;/percentile&gt;&lt;max&gt;369700.00&lt;/max&gt;&lt;min&gt;319600.00&lt;/min&gt;&lt;/sell&gt;&lt;/type&gt;&lt;type id="12565"&gt;&lt;buy&gt;&lt;volume&gt;4689&lt;/volume&gt;&lt;avg&gt;76020.40&lt;/avg&gt;&lt;stddev&gt;12004.56&lt;/stddev&gt;&lt;median&gt;82000.00&lt;/median&gt;&lt;percentile&gt;86111.25&lt;/percentile&gt;&lt;max&gt;86120.00&lt;/max&gt;&lt;min&gt;55200.00&lt;/min&gt;&lt;/buy&gt;&lt;sell&gt;&lt;volume&gt;4539&lt;/volume&gt;&lt;avg&gt;191291.67&lt;/avg&gt;&lt;stddev&gt;4476.50&lt;/stddev&gt;&lt;median&gt;188100.00&lt;/median&gt;&lt;percentile&gt;187595.69&lt;/percentile&gt;&lt;max&gt;199700.00&lt;/max&gt;&lt;min&gt;187500.00&lt;/min&gt;&lt;/sell&gt;&lt;/type&gt;&lt;type id="23105"&gt;&lt;buy&gt;&lt;volume&gt;6348&lt;/volume&gt;&lt;avg&gt;612191.12&lt;/avg&gt;&lt;stddev&gt;69007.81&lt;/stddev&gt;&lt;median&gt;645400.00&lt;/median&gt;&lt;percentile&gt;649271.68&lt;/percentile&gt;&lt;max&gt;649600.00&lt;/max&gt;&lt;min&gt;250200.00&lt;/min&gt;&lt;/buy&gt;&lt;sell&gt;&lt;volume&gt;4647&lt;/volume&gt;&lt;avg&gt;1209229.18&lt;/avg&gt;&lt;stddev&gt;275108.04&lt;/stddev&gt;&lt;median&gt;1250000.00&lt;/median&gt;&lt;percentile&gt;914800.00&lt;/percentile&gt;&lt;max&gt;1650000.00&lt;/max&gt;&lt;min&gt;914800.00&lt;/min&gt;&lt;/sell&gt;&lt;/type&gt;&lt;type id="23089"&gt;&lt;buy&gt;&lt;volume&gt;1949&lt;/volume&gt;&lt;avg&gt;393721.55&lt;/avg&gt;&lt;stddev&gt;42441.56&lt;/stddev&gt;&lt;median&gt;415500.00&lt;/median&gt;&lt;percentile&gt;416409.52&lt;/percentile&gt;&lt;max&gt;416500.00&lt;/max&gt;&lt;min&gt;310400.00&lt;/min&gt;&lt;/buy&gt;&lt;sell&gt;&lt;volume&gt;8254&lt;/volume&gt;&lt;avg&gt;549912.13&lt;/avg&gt;&lt;stddev&gt;4338.36&lt;/stddev&gt;&lt;median&gt;549050.00&lt;/median&gt;&lt;percentile&gt;542622.22&lt;/percentile&gt;&lt;max&gt;558400.00&lt;/max&gt;&lt;min&gt;540000.00&lt;/min&gt;&lt;/sell&gt;&lt;/type&gt;&lt;type id="23071"&gt;&lt;buy&gt;&lt;volume&gt;2304&lt;/volume&gt;&lt;avg&gt;217105.03&lt;/avg&gt;&lt;stddev&gt;28937.96&lt;/stddev&gt;&lt;median&gt;220000.00&lt;/median&gt;&lt;percentile&gt;245000.00&lt;/percentile&gt;&lt;max&gt;245000.00&lt;/max&gt;&lt;min&gt;152600.00&lt;/min&gt;&lt;/buy&gt;&lt;sell&gt;&lt;volume&gt;4446&lt;/volume&gt;&lt;avg&gt;335916.73&lt;/avg&gt;&lt;stddev&gt;95405.38&lt;/stddev&gt;&lt;median&gt;314100.00&lt;/median&gt;&lt;percentile&gt;284300.00&lt;/percentile&gt;&lt;max&gt;707900.00&lt;/max&gt;&lt;min&gt;284300.00&lt;/min&gt;&lt;/sell&gt;&lt;/type&gt;&lt;type id="12787"&gt;&lt;buy&gt;&lt;volume&gt;2170000&lt;/volume&gt;&lt;avg&gt;353.74&lt;/avg&gt;&lt;stddev&gt;3.85&lt;/stddev&gt;&lt;median&gt;351.00&lt;/median&gt;&lt;percentile&gt;360.02&lt;/percentile&gt;&lt;max&gt;360.20&lt;/max&gt;&lt;min&gt;351.00&lt;/min&gt;&lt;/buy&gt;&lt;sell&gt;&lt;volume&gt;13881449&lt;/volume&gt;&lt;avg&gt;434.93&lt;/avg&gt;&lt;stddev&gt;33.39&lt;/stddev&gt;&lt;median&gt;422.05&lt;/median&gt;&lt;percentile&gt;408.00&lt;/percentile&gt;&lt;max&gt;508.30&lt;/max&gt;&lt;min&gt;408.00&lt;/min&gt;&lt;/sell&gt;&lt;/type&gt;&lt;type id="12785"&gt;&lt;buy&gt;&lt;volume&gt;3162500&lt;/volume&gt;&lt;avg&gt;98.66&lt;/avg&gt;&lt;stddev&gt;10.07&lt;/stddev&gt;&lt;median&gt;100.00&lt;/median&gt;&lt;percentile&gt;112.52&lt;/percentile&gt;&lt;max&gt;112.60&lt;/max&gt;&lt;min&gt;88.65&lt;/min&gt;&lt;/buy&gt;&lt;sell&gt;&lt;volume&gt;9371543&lt;/volume&gt;&lt;avg&gt;197.49&lt;/avg&gt;&lt;stddev&gt;34.26&lt;/stddev&gt;&lt;median&gt;186.60&lt;/median&gt;&lt;percentile&gt;159.00&lt;/percentile&gt;&lt;max&gt;299.90&lt;/max&gt;&lt;min&gt;158.90&lt;/min&gt;&lt;/sell&gt;&lt;/type&gt;&lt;type id="12789"&gt;&lt;buy&gt;&lt;volume&gt;1312059&lt;/volume&gt;&lt;avg&gt;113.72&lt;/avg&gt;&lt;stddev&gt;0.85&lt;/stddev&gt;&lt;median&gt;113.50&lt;/median&gt;&lt;percentile&gt;114.40&lt;/percentile&gt;&lt;max&gt;114.40&lt;/max&gt;&lt;min&gt;112.60&lt;/min&gt;&lt;/buy&gt;&lt;sell&gt;&lt;volume&gt;17086067&lt;/volume&gt;&lt;avg&gt;192.08&lt;/avg&gt;&lt;stddev&gt;27.78&lt;/stddev&gt;&lt;median&gt;186.30&lt;/median&gt;&lt;percentile&gt;159.44&lt;/percentile&gt;&lt;max&gt;260.00&lt;/max&gt;&lt;min&gt;159.00&lt;/min&gt;&lt;/sell&gt;&lt;/type&gt;&lt;type id="12614"&gt;&lt;buy&gt;&lt;volume&gt;12118419&lt;/volume&gt;&lt;avg&gt;31.33&lt;/avg&gt;&lt;stddev&gt;2.55&lt;/stddev&gt;&lt;median&gt;29.83&lt;/median&gt;&lt;percentile&gt;34.38&lt;/percentile&gt;&lt;max&gt;35.04&lt;/max&gt;&lt;min&gt;25.59&lt;/min&gt;&lt;/buy&gt;&lt;sell&gt;&lt;volume&gt;32483099&lt;/volume&gt;&lt;avg&gt;66.89&lt;/avg&gt;&lt;stddev&gt;6.97&lt;/stddev&gt;&lt;median&gt;61.70&lt;/median&gt;&lt;percentile&gt;58.52&lt;/percentile&gt;&lt;max&gt;79.46&lt;/max&gt;&lt;min&gt;53.60&lt;/min&gt;&lt;/sell&gt;&lt;/type&gt;&lt;type id="12612"&gt;&lt;buy&gt;&lt;volume&gt;12275000&lt;/volume&gt;&lt;avg&gt;48.01&lt;/avg&gt;&lt;stddev&gt;0.03&lt;/stddev&gt;&lt;median&gt;48.00&lt;/median&gt;&lt;percentile&gt;48.04&lt;/percentile&gt;&lt;max&gt;48.07&lt;/max&gt;&lt;min&gt;48.00&lt;/min&gt;&lt;/buy&gt;&lt;sell&gt;&lt;volume&gt;48047298&lt;/volume&gt;&lt;avg&gt;60.81&lt;/avg&gt;&lt;stddev&gt;4.26&lt;/stddev&gt;&lt;median&gt;58.95&lt;/median&gt;&lt;percentile&gt;58.58&lt;/percentile&gt;&lt;max&gt;79.31&lt;/max&gt;&lt;min&gt;58.49&lt;/min&gt;&lt;/sell&gt;&lt;/type&gt;&lt;type id="12801"&gt;&lt;buy&gt;&lt;volume&gt;1386868&lt;/volume&gt;&lt;avg&gt;121.09&lt;/avg&gt;&lt;stddev&gt;16.54&lt;/stddev&gt;&lt;median&gt;115.50&lt;/median&gt;&lt;percentile&gt;137.60&lt;/percentile&gt;&lt;max&gt;137.60&lt;/max&gt;&lt;min&gt;103.00&lt;/min&gt;&lt;/buy&gt;&lt;sell&gt;&lt;volume&gt;10196254&lt;/volume&gt;&lt;avg&gt;195.13&lt;/avg&gt;&lt;stddev&gt;52.40&lt;/stddev&gt;&lt;median&gt;176.80&lt;/median&gt;&lt;percentile&gt;151.31&lt;/percentile&gt;&lt;max&gt;356.10&lt;/max&gt;&lt;min&gt;151.20&lt;/min&gt;&lt;/sell&gt;&lt;/type&gt;&lt;type id="12805"&gt;&lt;buy&gt;&lt;volume&gt;3220411&lt;/volume&gt;&lt;avg&gt;154.74&lt;/avg&gt;&lt;stddev&gt;12.48&lt;/stddev&gt;&lt;median&gt;141.50&lt;/median&gt;&lt;percentile&gt;165.20&lt;/percentile&gt;&lt;max&gt;165.20&lt;/max&gt;&lt;min&gt;133.00&lt;/min&gt;&lt;/buy&gt;&lt;sell&gt;&lt;volume&gt;7013150&lt;/volume&gt;&lt;avg&gt;243.81&lt;/avg&gt;&lt;stddev&gt;19.15&lt;/stddev&gt;&lt;median&gt;249.00&lt;/median&gt;&lt;percentile&gt;207.56&lt;/percentile&gt;&lt;max&gt;249.00&lt;/max&gt;&lt;min&gt;206.80&lt;/min&gt;&lt;/sell&gt;&lt;/type&gt;&lt;type id="12618"&gt;&lt;buy&gt;&lt;volume&gt;25778814&lt;/volume&gt;&lt;avg&gt;19.63&lt;/avg&gt;&lt;stddev&gt;6.17&lt;/stddev&gt;&lt;median&gt;13.37&lt;/median&gt;&lt;percentile&gt;21.13&lt;/percentile&gt;&lt;max&gt;22.13&lt;/max&gt;&lt;min&gt;6.66&lt;/min&gt;&lt;/buy&gt;&lt;sell&gt;&lt;volume&gt;10804475&lt;/volume&gt;&lt;avg&gt;51.80&lt;/avg&gt;&lt;stddev&gt;4.39&lt;/stddev&gt;&lt;median&gt;54.91&lt;/median&gt;&lt;percentile&gt;51.80&lt;/percentile&gt;&lt;max&gt;58.01&lt;/max&gt;&lt;min&gt;51.80&lt;/min&gt;&lt;/sell&gt;&lt;/type&gt;&lt;type id="21740"&gt;&lt;buy&gt;&lt;volume&gt;3074695&lt;/volume&gt;&lt;avg&gt;880.41&lt;/avg&gt;&lt;stddev&gt;111.52&lt;/stddev&gt;&lt;median&gt;902.25&lt;/median&gt;&lt;percentile&gt;956.10&lt;/percentile&gt;&lt;max&gt;956.10&lt;/max&gt;&lt;min&gt;602.40&lt;/min&gt;&lt;/buy&gt;&lt;sell&gt;&lt;volume&gt;3147802&lt;/volume&gt;&lt;avg&gt;1211.38&lt;/avg&gt;&lt;stddev&gt;100.01&lt;/stddev&gt;&lt;median&gt;1196.50&lt;/median&gt;&lt;percentile&gt;1143.73&lt;/percentile&gt;&lt;max&gt;1458.00&lt;/max&gt;&lt;min&gt;1143.00&lt;/min&gt;&lt;/sell&gt;&lt;/type&gt;&lt;type id="23025"&gt;&lt;buy&gt;&lt;volume&gt;2619809&lt;/volume&gt;&lt;avg&gt;615.83&lt;/avg&gt;&lt;stddev&gt;37.10&lt;/stddev&gt;&lt;median&gt;605.70&lt;/median&gt;&lt;percentile&gt;643.17&lt;/percentile&gt;&lt;max&gt;643.30&lt;/max&gt;&lt;min&gt;520.40&lt;/min&gt;&lt;/buy&gt;&lt;sell&gt;&lt;volume&gt;2973146&lt;/volume&gt;&lt;avg&gt;873.05&lt;/avg&gt;&lt;stddev&gt;75.91&lt;/stddev&gt;&lt;median&gt;832.50&lt;/median&gt;&lt;percentile&gt;804.83&lt;/percentile&gt;&lt;max&gt;1068.00&lt;/max&gt;&lt;min&gt;804.70&lt;/min&gt;&lt;/sell&gt;&lt;/type&gt;&lt;type id="23035"&gt;&lt;buy&gt;&lt;volume&gt;2640988&lt;/volume&gt;&lt;avg&gt;552.18&lt;/avg&gt;&lt;stddev&gt;80.49&lt;/stddev&gt;&lt;median&gt;570.10&lt;/median&gt;&lt;percentile&gt;572.00&lt;/percentile&gt;&lt;max&gt;572.00&lt;/max&gt;&lt;min&gt;350.20&lt;/min&gt;&lt;/buy&gt;&lt;sell&gt;&lt;volume&gt;1811551&lt;/volume&gt;&lt;avg&gt;806.62&lt;/avg&gt;&lt;stddev&gt;304.87&lt;/stddev&gt;&lt;median&gt;782.40&lt;/median&gt;&lt;percentile&gt;710.00&lt;/percentile&gt;&lt;max&gt;1758.00&lt;/max&gt;&lt;min&gt;710.00&lt;/min&gt;&lt;/sell&gt;&lt;/type&gt;&lt;type id="23039"&gt;&lt;buy&gt;&lt;volume&gt;1984000&lt;/volume&gt;&lt;avg&gt;541.34&lt;/avg&gt;&lt;stddev&gt;46.51&lt;/stddev&gt;&lt;median&gt;502.70&lt;/median&gt;&lt;percentile&gt;555.70&lt;/percentile&gt;&lt;max&gt;555.70&lt;/max&gt;&lt;min&gt;450.50&lt;/min&gt;&lt;/buy&gt;&lt;sell&gt;&lt;volume&gt;864881&lt;/volume&gt;&lt;avg&gt;827.54&lt;/avg&gt;&lt;stddev&gt;80.54&lt;/stddev&gt;&lt;median&gt;819.30&lt;/median&gt;&lt;percentile&gt;819.27&lt;/percentile&gt;&lt;max&gt;1000.00&lt;/max&gt;&lt;min&gt;818.90&lt;/min&gt;&lt;/sell&gt;&lt;/type&gt;&lt;type id="23033"&gt;&lt;buy&gt;&lt;volume&gt;670695&lt;/volume&gt;&lt;avg&gt;512.81&lt;/avg&gt;&lt;stddev&gt;14.34&lt;/stddev&gt;&lt;median&gt;500.25&lt;/median&gt;&lt;percentile&gt;529.24&lt;/percentile&gt;&lt;max&gt;530.30&lt;/max&gt;&lt;min&gt;500.00&lt;/min&gt;&lt;/buy&gt;&lt;sell&gt;&lt;volume&gt;1095131&lt;/volume&gt;&lt;avg&gt;749.07&lt;/avg&gt;&lt;stddev&gt;1.42&lt;/stddev&gt;&lt;median&gt;750.00&lt;/median&gt;&lt;percentile&gt;746.70&lt;/percentile&gt;&lt;max&gt;750.00&lt;/max&gt;&lt;min&gt;746.70&lt;/min&gt;&lt;/sell&gt;&lt;/type&gt;&lt;type id="23031"&gt;&lt;buy&gt;&lt;volume&gt;1507572&lt;/volume&gt;&lt;avg&gt;626.38&lt;/avg&gt;&lt;stddev&gt;23.76&lt;/stddev&gt;&lt;median&gt;634.50&lt;/median&gt;&lt;percentile&gt;640.02&lt;/percentile&gt;&lt;max&gt;640.10&lt;/max&gt;&lt;min&gt;565.00&lt;/min&gt;&lt;/buy&gt;&lt;sell&gt;&lt;volume&gt;2171554&lt;/volume&gt;&lt;avg&gt;898.47&lt;/avg&gt;&lt;stddev&gt;125.45&lt;/stddev&gt;&lt;median&gt;843.95&lt;/median&gt;&lt;percentile&gt;797.55&lt;/percentile&gt;&lt;max&gt;1094.00&lt;/max&gt;&lt;min&gt;797.40&lt;/min&gt;&lt;/sell&gt;&lt;/type&gt;&lt;type id="23037"&gt;&lt;buy&gt;&lt;volume&gt;930695&lt;/volume&gt;&lt;avg&gt;532.60&lt;/avg&gt;&lt;stddev&gt;72.85&lt;/stddev&gt;&lt;median&gt;515.30&lt;/median&gt;&lt;percentile&gt;600.00&lt;/percentile&gt;&lt;max&gt;600.00&lt;/max&gt;&lt;min&gt;426.20&lt;/min&gt;&lt;/buy&gt;&lt;sell&gt;&lt;volume&gt;2124624&lt;/volume&gt;&lt;avg&gt;808.37&lt;/avg&gt;&lt;stddev&gt;64.69&lt;/stddev&gt;&lt;median&gt;791.95&lt;/median&gt;&lt;percentile&gt;739.00&lt;/percentile&gt;&lt;max&gt;942.00&lt;/max&gt;&lt;min&gt;739.00&lt;/min&gt;&lt;/sell&gt;&lt;/type&gt;&lt;type id="22977"&gt;&lt;buy&gt;&lt;volume&gt;2520000&lt;/volume&gt;&lt;avg&gt;493.14&lt;/avg&gt;&lt;stddev&gt;127.01&lt;/stddev&gt;&lt;median&gt;600.00&lt;/median&gt;&lt;percentile&gt;600.20&lt;/percentile&gt;&lt;max&gt;600.20&lt;/max&gt;&lt;min&gt;292.00&lt;/min&gt;&lt;/buy&gt;&lt;sell&gt;&lt;volume&gt;631913&lt;/volume&gt;&lt;avg&gt;812.44&lt;/avg&gt;&lt;stddev&gt;113.50&lt;/stddev&gt;&lt;median&gt;849.45&lt;/median&gt;&lt;percentile&gt;716.70&lt;/percentile&gt;&lt;max&gt;999.90&lt;/max&gt;&lt;min&gt;716.70&lt;/min&gt;&lt;/sell&gt;&lt;/type&gt;&lt;type id="23009"&gt;&lt;buy&gt;&lt;volume&gt;8870000&lt;/volume&gt;&lt;avg&gt;421.88&lt;/avg&gt;&lt;stddev&gt;11.11&lt;/stddev&gt;&lt;median&gt;421.90&lt;/median&gt;&lt;percentile&gt;432.90&lt;/percentile&gt;&lt;max&gt;432.90&lt;/max&gt;&lt;min&gt;401.00&lt;/min&gt;&lt;/buy&gt;&lt;sell&gt;&lt;volume&gt;11794454&lt;/volume&gt;&lt;avg&gt;507.37&lt;/avg&gt;&lt;stddev&gt;52.01&lt;/stddev&gt;&lt;median&gt;485.00&lt;/median&gt;&lt;percentile&gt;483.19&lt;/percentile&gt;&lt;max&gt;673.50&lt;/max&gt;&lt;min&gt;480.50&lt;/min&gt;&lt;/sell&gt;&lt;/type&gt;&lt;type id="24535"&gt;&lt;buy&gt;&lt;volume&gt;1020000&lt;/volume&gt;&lt;avg&gt;531.21&lt;/avg&gt;&lt;stddev&gt;52.24&lt;/stddev&gt;&lt;median&gt;567.00&lt;/median&gt;&lt;percentile&gt;575.72&lt;/percentile&gt;&lt;max&gt;578.00&lt;/max&gt;&lt;min&gt;405.00&lt;/min&gt;&lt;/buy&gt;&lt;sell&gt;&lt;volume&gt;4850297&lt;/volume&gt;&lt;avg&gt;705.28&lt;/avg&gt;&lt;stddev&gt;78.03&lt;/stddev&gt;&lt;median&gt;646.65&lt;/median&gt;&lt;percentile&gt;630.90&lt;/percentile&gt;&lt;max&gt;941.50&lt;/max&gt;&lt;min&gt;630.90&lt;/min&gt;&lt;/sell&gt;&lt;/type&gt;&lt;type id="24539"&gt;&lt;buy&gt;&lt;volume&gt;837500&lt;/volume&gt;&lt;avg&gt;442.70&lt;/avg&gt;&lt;stddev&gt;58.49&lt;/stddev&gt;&lt;median&gt;386.00&lt;/median&gt;&lt;percentile&gt;533.02&lt;/percentile&gt;&lt;max&gt;541.10&lt;/max&gt;&lt;min&gt;386.00&lt;/min&gt;&lt;/buy&gt;&lt;sell&gt;&lt;volume&gt;1501742&lt;/volume&gt;&lt;avg&gt;769.84&lt;/avg&gt;&lt;stddev&gt;113.50&lt;/stddev&gt;&lt;median&gt;883.35&lt;/median&gt;&lt;percentile&gt;769.50&lt;/percentile&gt;&lt;max&gt;996.70&lt;/max&gt;&lt;min&gt;769.50&lt;/min&gt;&lt;/sell&gt;&lt;/type&gt;&lt;type id="27377"&gt;&lt;buy&gt;&lt;volume&gt;395000&lt;/volume&gt;&lt;avg&gt;1605.82&lt;/avg&gt;&lt;stddev&gt;175.97&lt;/stddev&gt;&lt;median&gt;1703.50&lt;/median&gt;&lt;percentile&gt;1718.00&lt;/percentile&gt;&lt;max&gt;1718.00&lt;/max&gt;&lt;min&gt;1350.00&lt;/min&gt;&lt;/buy&gt;&lt;sell&gt;&lt;volume&gt;2828820&lt;/volume&gt;&lt;avg&gt;2120.15&lt;/avg&gt;&lt;stddev&gt;234.38&lt;/stddev&gt;&lt;median&gt;1947.00&lt;/median&gt;&lt;percentile&gt;1894.00&lt;/percentile&gt;&lt;max&gt;2477.00&lt;/max&gt;&lt;min&gt;1894.00&lt;/min&gt;&lt;/sell&gt;&lt;/type&gt;&lt;type id="24486"&gt;&lt;buy&gt;&lt;volume&gt;4052832&lt;/volume&gt;&lt;avg&gt;87.10&lt;/avg&gt;&lt;stddev&gt;14.19&lt;/stddev&gt;&lt;median&gt;84.88&lt;/median&gt;&lt;percentile&gt;100.00&lt;/percentile&gt;&lt;max&gt;100.00&lt;/max&gt;&lt;min&gt;50.02&lt;/min&gt;&lt;/buy&gt;&lt;sell&gt;&lt;volume&gt;3083371&lt;/volume&gt;&lt;avg&gt;174.34&lt;/avg&gt;&lt;stddev&gt;132.95&lt;/stddev&gt;&lt;median&gt;160.45&lt;/median&gt;&lt;percentile&gt;155.00&lt;/percentile&gt;&lt;max&gt;515.00&lt;/max&gt;&lt;min&gt;155.00&lt;/min&gt;&lt;/sell&gt;&lt;/type&gt;&lt;type id="24490"&gt;&lt;buy&gt;&lt;volume&gt;12272544&lt;/volume&gt;&lt;avg&gt;121.48&lt;/avg&gt;&lt;stddev&gt;12.53&lt;/stddev&gt;&lt;median&gt;116.20&lt;/median&gt;&lt;percentile&gt;130.49&lt;/percentile&gt;&lt;max&gt;130.60&lt;/max&gt;&lt;min&gt;95.24&lt;/min&gt;&lt;/buy&gt;&lt;sell&gt;&lt;volume&gt;2110000&lt;/volume&gt;&lt;avg&gt;177.43&lt;/avg&gt;&lt;stddev&gt;8.99&lt;/stddev&gt;&lt;median&gt;175.00&lt;/median&gt;&lt;percentile&gt;175.00&lt;/percentile&gt;&lt;max&gt;196.70&lt;/max&gt;&lt;min&gt;175.00&lt;/min&gt;&lt;/sell&gt;&lt;/type&gt;&lt;type id="24488"&gt;&lt;buy&gt;&lt;volume&gt;6625000&lt;/volume&gt;&lt;avg&gt;108.70&lt;/avg&gt;&lt;stddev&gt;5.36&lt;/stddev&gt;&lt;median&gt;106.00&lt;/median&gt;&lt;percentile&gt;113.50&lt;/percentile&gt;&lt;max&gt;113.50&lt;/max&gt;&lt;min&gt;100.00&lt;/min&gt;&lt;/buy&gt;&lt;sell&gt;&lt;volume&gt;8372561&lt;/volume&gt;&lt;avg&gt;162.13&lt;/avg&gt;&lt;stddev&gt;19.62&lt;/stddev&gt;&lt;median&gt;159.45&lt;/median&gt;&lt;percentile&gt;153.00&lt;/percentile&gt;&lt;max&gt;209.20&lt;/max&gt;&lt;min&gt;152.90&lt;/min&gt;&lt;/sell&gt;&lt;/type&gt;&lt;type id="2679"&gt;&lt;buy&gt;&lt;volume&gt;8330000&lt;/volume&gt;&lt;avg&gt;84.40&lt;/avg&gt;&lt;stddev&gt;4.71&lt;/stddev&gt;&lt;median&gt;81.42&lt;/median&gt;&lt;percentile&gt;89.04&lt;/percentile&gt;&lt;max&gt;89.04&lt;/max&gt;&lt;min&gt;75.11&lt;/min&gt;&lt;/buy&gt;&lt;sell&gt;&lt;volume&gt;28794186&lt;/volume&gt;&lt;avg&gt;125.94&lt;/avg&gt;&lt;stddev&gt;70.41&lt;/stddev&gt;&lt;median&gt;111.00&lt;/median&gt;&lt;percentile&gt;101.00&lt;/percentile&gt;&lt;max&gt;344.00&lt;/max&gt;&lt;min&gt;101.00&lt;/min&gt;&lt;/sell&gt;&lt;/type&gt;&lt;type id="24493"&gt;&lt;buy&gt;&lt;volume&gt;1463489&lt;/volume&gt;&lt;avg&gt;62.39&lt;/avg&gt;&lt;stddev&gt;17.96&lt;/stddev&gt;&lt;median&gt;76.87&lt;/median&gt;&lt;percentile&gt;76.89&lt;/percentile&gt;&lt;max&gt;76.89&lt;/max&gt;&lt;min&gt;40.00&lt;/min&gt;&lt;/buy&gt;&lt;sell&gt;&lt;volume&gt;4561820&lt;/volume&gt;&lt;avg&gt;124.94&lt;/avg&gt;&lt;stddev&gt;8.06&lt;/stddev&gt;&lt;median&gt;126.50&lt;/median&gt;&lt;percentile&gt;123.00&lt;/percentile&gt;&lt;max&gt;145.00&lt;/max&gt;&lt;min&gt;123.00&lt;/min&gt;&lt;/sell&gt;&lt;/type&gt;&lt;type id="24492"&gt;&lt;buy&gt;&lt;volume&gt;1403312&lt;/volume&gt;&lt;avg&gt;79.30&lt;/avg&gt;&lt;stddev&gt;0.88&lt;/stddev&gt;&lt;median&gt;79.00&lt;/median&gt;&lt;percentile&gt;80.01&lt;/percentile&gt;&lt;max&gt;80.01&lt;/max&gt;&lt;min&gt;78.03&lt;/min&gt;&lt;/buy&gt;&lt;sell&gt;&lt;volume&gt;6834201&lt;/volume&gt;&lt;avg&gt;125.27&lt;/avg&gt;&lt;stddev&gt;70.61&lt;/stddev&gt;&lt;median&gt;118.15&lt;/median&gt;&lt;percentile&gt;118.00&lt;/percentile&gt;&lt;max&gt;317.00&lt;/max&gt;&lt;min&gt;117.90&lt;/min&gt;&lt;/sell&gt;&lt;/type&gt;&lt;type id="27405"&gt;&lt;buy&gt;&lt;volume&gt;1105000&lt;/volume&gt;&lt;avg&gt;1099.61&lt;/avg&gt;&lt;stddev&gt;85.11&lt;/stddev&gt;&lt;median&gt;1100.00&lt;/median&gt;&lt;percentile&gt;1103.00&lt;/percentile&gt;&lt;max&gt;1103.00&lt;/max&gt;&lt;min&gt;954.10&lt;/min&gt;&lt;/buy&gt;&lt;sell&gt;&lt;volume&gt;3370000&lt;/volume&gt;&lt;avg&gt;1318.44&lt;/avg&gt;&lt;stddev&gt;65.22&lt;/stddev&gt;&lt;median&gt;1321.50&lt;/median&gt;&lt;percentile&gt;1300.94&lt;/percentile&gt;&lt;max&gt;1473.00&lt;/max&gt;&lt;min&gt;1300.00&lt;/min&gt;&lt;/sell&gt;&lt;/type&gt;&lt;type id="27419"&gt;&lt;buy&gt;&lt;volume&gt;3475608&lt;/volume&gt;&lt;avg&gt;1156.23&lt;/avg&gt;&lt;stddev&gt;106.20&lt;/stddev&gt;&lt;median&gt;1144.50&lt;/median&gt;&lt;percentile&gt;1255.17&lt;/percentile&gt;&lt;max&gt;1256.00&lt;/max&gt;&lt;min&gt;979.00&lt;/min&gt;&lt;/buy&gt;&lt;sell&gt;&lt;volume&gt;2693209&lt;/volume&gt;&lt;avg&gt;1560.87&lt;/avg&gt;&lt;stddev&gt;48.82&lt;/stddev&gt;&lt;median&gt;1550.00&lt;/median&gt;&lt;percentile&gt;1512.12&lt;/percentile&gt;&lt;max&gt;1648.00&lt;/max&gt;&lt;min&gt;1510.00&lt;/min&gt;&lt;/sell&gt;&lt;/type&gt;&lt;type id="27401"&gt;&lt;buy&gt;&lt;volume&gt;1250000&lt;/volume&gt;&lt;avg&gt;856.07&lt;/avg&gt;&lt;stddev&gt;206.43&lt;/stddev&gt;&lt;median&gt;966.40&lt;/median&gt;&lt;percentile&gt;1017.00&lt;/percentile&gt;&lt;max&gt;1017.00&lt;/max&gt;&lt;min&gt;602.00&lt;/min&gt;&lt;/buy&gt;&lt;sell&gt;&lt;volume&gt;725342&lt;/volume&gt;&lt;avg&gt;1263.92&lt;/avg&gt;&lt;stddev&gt;153.15&lt;/stddev&gt;&lt;median&gt;1210.00&lt;/median&gt;&lt;percentile&gt;1207.00&lt;/percentile&gt;&lt;max&gt;1495.00&lt;/max&gt;&lt;min&gt;1207.00&lt;/min&gt;&lt;/sell&gt;&lt;/type&gt;&lt;type id="27413"&gt;&lt;buy&gt;&lt;volume&gt;1525000&lt;/volume&gt;&lt;avg&gt;1116.92&lt;/avg&gt;&lt;stddev&gt;84.01&lt;/stddev&gt;&lt;median&gt;1100.00&lt;/median&gt;&lt;percentile&gt;1208.00&lt;/percentile&gt;&lt;max&gt;1208.00&lt;/max&gt;&lt;min&gt;981.00&lt;/min&gt;&lt;/buy&gt;&lt;sell&gt;&lt;volume&gt;4182465&lt;/volume&gt;&lt;avg&gt;1482.88&lt;/avg&gt;&lt;stddev&gt;50.63&lt;/stddev&gt;&lt;median&gt;1465.00&lt;/median&gt;&lt;percentile&gt;1444.11&lt;/percentile&gt;&lt;max&gt;1620.00&lt;/max&gt;&lt;min&gt;1442.00&lt;/min&gt;&lt;/sell&gt;&lt;/type&gt;&lt;type id="24511"&gt;&lt;buy&gt;&lt;volume&gt;849500&lt;/volume&gt;&lt;avg&gt;410.81&lt;/avg&gt;&lt;stddev&gt;7.76&lt;/stddev&gt;&lt;median&gt;408.00&lt;/median&gt;&lt;percentile&gt;417.21&lt;/percentile&gt;&lt;max&gt;417.30&lt;/max&gt;&lt;min&gt;397.20&lt;/min&gt;&lt;/buy&gt;&lt;sell&gt;&lt;volume&gt;6053835&lt;/volume&gt;&lt;avg&gt;496.54&lt;/avg&gt;&lt;stddev&gt;12.41&lt;/stddev&gt;&lt;median&gt;490.90&lt;/median&gt;&lt;percentile&gt;479.78&lt;/percentile&gt;&lt;max&gt;528.90&lt;/max&gt;&lt;min&gt;479.50&lt;/min&gt;&lt;/sell&gt;&lt;/type&gt;&lt;type id="24509"&gt;&lt;buy&gt;&lt;volume&gt;4682444&lt;/volume&gt;&lt;avg&gt;578.38&lt;/avg&gt;&lt;stddev&gt;81.00&lt;/stddev&gt;&lt;median&gt;612.50&lt;/median&gt;&lt;percentile&gt;700.01&lt;/percentile&gt;&lt;max&gt;700.10&lt;/max&gt;&lt;min&gt;435.70&lt;/min&gt;&lt;/buy&gt;&lt;sell&gt;&lt;volume&gt;4308974&lt;/volume&gt;&lt;avg&gt;926.05&lt;/avg&gt;&lt;stddev&gt;222.82&lt;/stddev&gt;&lt;median&gt;889.70&lt;/median&gt;&lt;percentile&gt;749.40&lt;/percentile&gt;&lt;max&gt;1488.00&lt;/max&gt;&lt;min&gt;749.40&lt;/min&gt;&lt;/sell&gt;&lt;/type&gt;&lt;type id="2629"&gt;&lt;buy&gt;&lt;volume&gt;6403500&lt;/volume&gt;&lt;avg&gt;423.36&lt;/avg&gt;&lt;stddev&gt;52.64&lt;/stddev&gt;&lt;median&gt;432.75&lt;/median&gt;&lt;percentile&gt;435.00&lt;/percentile&gt;&lt;max&gt;435.00&lt;/max&gt;&lt;min&gt;300.00&lt;/min&gt;&lt;/buy&gt;&lt;sell&gt;&lt;volume&gt;20129508&lt;/volume&gt;&lt;avg&gt;506.20&lt;/avg&gt;&lt;stddev&gt;16.76&lt;/stddev&gt;&lt;median&gt;483.50&lt;/median&gt;&lt;percentile&gt;481.14&lt;/percentile&gt;&lt;max&gt;567.70&lt;/max&gt;&lt;min&gt;481.00&lt;/min&gt;&lt;/sell&gt;&lt;/type&gt;&lt;type id="24517"&gt;&lt;buy&gt;&lt;volume&gt;1433000&lt;/volume&gt;&lt;avg&gt;459.44&lt;/avg&gt;&lt;stddev&gt;178.29&lt;/stddev&gt;&lt;median&gt;400.00&lt;/median&gt;&lt;percentile&gt;783.86&lt;/percentile&gt;&lt;max&gt;784.10&lt;/max&gt;&lt;min&gt;350.00&lt;/min&gt;&lt;/buy&gt;&lt;sell&gt;&lt;volume&gt;1713349&lt;/volume&gt;&lt;avg&gt;1908.64&lt;/avg&gt;&lt;stddev&gt;244.15&lt;/stddev&gt;&lt;median&gt;1852.00&lt;/median&gt;&lt;percentile&gt;1850.93&lt;/percentile&gt;&lt;max&gt;2490.00&lt;/max&gt;&lt;min&gt;1847.00&lt;/min&gt;&lt;/sell&gt;&lt;/type&gt;&lt;type id="27447"&gt;&lt;buy&gt;&lt;volume&gt;3949882&lt;/volume&gt;&lt;avg&gt;1025.79&lt;/avg&gt;&lt;stddev&gt;49.80&lt;/stddev&gt;&lt;median&gt;1046.50&lt;/median&gt;&lt;percentile&gt;1066.24&lt;/percentile&gt;&lt;max&gt;1067.00&lt;/max&gt;&lt;min&gt;926.00&lt;/min&gt;&lt;/buy&gt;&lt;sell&gt;&lt;volume&gt;2658355&lt;/volume&gt;&lt;avg&gt;1601.40&lt;/avg&gt;&lt;stddev&gt;99.93&lt;/stddev&gt;&lt;median&gt;1558.00&lt;/median&gt;&lt;percentile&gt;1502.71&lt;/percentile&gt;&lt;max&gt;1785.00&lt;/max&gt;&lt;min&gt;1501.00&lt;/min&gt;&lt;/sell&gt;&lt;/type&gt;&lt;type id="27435"&gt;&lt;buy&gt;&lt;volume&gt;4581635&lt;/volume&gt;&lt;avg&gt;997.91&lt;/avg&gt;&lt;stddev&gt;219.35&lt;/stddev&gt;&lt;median&gt;957.70&lt;/median&gt;&lt;percentile&gt;1296.88&lt;/percentile&gt;&lt;max&gt;1344.00&lt;/max&gt;&lt;min&gt;650.00&lt;/min&gt;&lt;/buy&gt;&lt;sell&gt;&lt;volume&gt;2612768&lt;/volume&gt;&lt;avg&gt;1795.63&lt;/avg&gt;&lt;stddev&gt;56.70&lt;/stddev&gt;&lt;median&gt;1815.00&lt;/median&gt;&lt;percentile&gt;1775.23&lt;/percentile&gt;&lt;max&gt;1949.00&lt;/max&gt;&lt;min&gt;1774.00&lt;/min&gt;&lt;/sell&gt;&lt;/type&gt;&lt;type id="27453"&gt;&lt;buy&gt;&lt;volume&gt;3089999&lt;/volume&gt;&lt;avg&gt;967.09&lt;/avg&gt;&lt;stddev&gt;116.09&lt;/stddev&gt;&lt;median&gt;1028.00&lt;/median&gt;&lt;percentile&gt;1100.88&lt;/percentile&gt;&lt;max&gt;1111.00&lt;/max&gt;&lt;min&gt;765.00&lt;/min&gt;&lt;/buy&gt;&lt;sell&gt;&lt;volume&gt;1799577&lt;/volume&gt;&lt;avg&gt;1588.29&lt;/avg&gt;&lt;stddev&gt;45.94&lt;/stddev&gt;&lt;median&gt;1616.00&lt;/median&gt;&lt;percentile&gt;1533.82&lt;/percentile&gt;&lt;max&gt;1681.00&lt;/max&gt;&lt;min&gt;1533.00&lt;/min&gt;&lt;/sell&gt;&lt;/type&gt;&lt;type id="27441"&gt;&lt;buy&gt;&lt;volume&gt;1850000&lt;/volume&gt;&lt;avg&gt;1055.78&lt;/avg&gt;&lt;stddev&gt;48.69&lt;/stddev&gt;&lt;median&gt;1100.00&lt;/median&gt;&lt;percentile&gt;1100.00&lt;/percentile&gt;&lt;max&gt;1100.00&lt;/max&gt;&lt;min&gt;973.60&lt;/min&gt;&lt;/buy&gt;&lt;sell&gt;&lt;volume&gt;5339852&lt;/volume&gt;&lt;avg&gt;1328.66&lt;/avg&gt;&lt;stddev&gt;117.38&lt;/stddev&gt;&lt;median&gt;1266.00&lt;/median&gt;&lt;percentile&gt;1200.00&lt;/percentile&gt;&lt;max&gt;1681.00&lt;/max&gt;&lt;min&gt;1200.00&lt;/min&gt;&lt;/sell&gt;&lt;/type&gt;&lt;type id="207"&gt;&lt;buy&gt;&lt;volume&gt;11348881&lt;/volume&gt;&lt;avg&gt;105.64&lt;/avg&gt;&lt;stddev&gt;31.78&lt;/stddev&gt;&lt;median&gt;87.25&lt;/median&gt;&lt;percentile&gt;161.92&lt;/percentile&gt;&lt;max&gt;162.40&lt;/max&gt;&lt;min&gt;71.14&lt;/min&gt;&lt;/buy&gt;&lt;sell&gt;&lt;volume&gt;791613&lt;/volume&gt;&lt;avg&gt;301.49&lt;/avg&gt;&lt;stddev&gt;18.18&lt;/stddev&gt;&lt;median&gt;298.60&lt;/median&gt;&lt;percentile&gt;298.17&lt;/percentile&gt;&lt;max&gt;347.00&lt;/max&gt;&lt;min&gt;262.50&lt;/min&gt;&lt;/sell&gt;&lt;/type&gt;&lt;type id="24499"&gt;&lt;buy&gt;&lt;volume&gt;5116000&lt;/volume&gt;&lt;avg&gt;80.84&lt;/avg&gt;&lt;stddev&gt;19.01&lt;/stddev&gt;&lt;median&gt;80.37&lt;/median&gt;&lt;percentile&gt;95.00&lt;/percentile&gt;&lt;max&gt;95.00&lt;/max&gt;&lt;min&gt;20.00&lt;/min&gt;&lt;/buy&gt;&lt;sell&gt;&lt;volume&gt;5311827&lt;/volume&gt;&lt;avg&gt;102.48&lt;/avg&gt;&lt;stddev&gt;3.34&lt;/stddev&gt;&lt;median&gt;103.20&lt;/median&gt;&lt;percentile&gt;99.82&lt;/percentile&gt;&lt;max&gt;108.30&lt;/max&gt;&lt;min&gt;99.82&lt;/min&gt;&lt;/sell&gt;&lt;/type&gt;&lt;type id="2613"&gt;&lt;buy&gt;&lt;volume&gt;6600000&lt;/volume&gt;&lt;avg&gt;80.35&lt;/avg&gt;&lt;stddev&gt;2.15&lt;/stddev&gt;&lt;median&gt;80.00&lt;/median&gt;&lt;percentile&gt;83.17&lt;/percentile&gt;&lt;max&gt;83.17&lt;/max&gt;&lt;min&gt;77.51&lt;/min&gt;&lt;/buy&gt;&lt;sell&gt;&lt;volume&gt;13883194&lt;/volume&gt;&lt;avg&gt;106.03&lt;/avg&gt;&lt;stddev&gt;12.74&lt;/stddev&gt;&lt;median&gt;111.15&lt;/median&gt;&lt;percentile&gt;95.03&lt;/percentile&gt;&lt;max&gt;132.10&lt;/max&gt;&lt;min&gt;94.99&lt;/min&gt;&lt;/sell&gt;&lt;/type&gt;&lt;type id="24497"&gt;&lt;buy&gt;&lt;volume&gt;14180000&lt;/volume&gt;&lt;avg&gt;80.10&lt;/avg&gt;&lt;stddev&gt;0.18&lt;/stddev&gt;&lt;median&gt;80.00&lt;/median&gt;&lt;percentile&gt;80.36&lt;/percentile&gt;&lt;max&gt;80.36&lt;/max&gt;&lt;min&gt;80.00&lt;/min&gt;&lt;/buy&gt;&lt;sell&gt;&lt;volume&gt;11100150&lt;/volume&gt;&lt;avg&gt;111.15&lt;/avg&gt;&lt;stddev&gt;23.99&lt;/stddev&gt;&lt;median&gt;108.80&lt;/median&gt;&lt;percentile&gt;82.94&lt;/percentile&gt;&lt;max&gt;153.90&lt;/max&gt;&lt;min&gt;82.94&lt;/min&gt;&lt;/sell&gt;&lt;/type&gt;&lt;type id="24495"&gt;&lt;buy&gt;&lt;volume&gt;10969333&lt;/volume&gt;&lt;avg&gt;77.46&lt;/avg&gt;&lt;stddev&gt;9.02&lt;/stddev&gt;&lt;median&gt;78.00&lt;/median&gt;&lt;percentile&gt;78.00&lt;/percentile&gt;&lt;max&gt;78.10&lt;/max&gt;&lt;min&gt;50.00&lt;/min&gt;&lt;/buy&gt;&lt;sell&gt;&lt;volume&gt;29057120&lt;/volume&gt;&lt;avg&gt;93.96&lt;/avg&gt;&lt;stddev&gt;8.52&lt;/stddev&gt;&lt;median&gt;93.41&lt;/median&gt;&lt;percentile&gt;87.30&lt;/percentile&gt;&lt;max&gt;120.30&lt;/max&gt;&lt;min&gt;87.29&lt;/min&gt;&lt;/sell&gt;&lt;/type&gt;&lt;type id="27371"&gt;&lt;buy&gt;&lt;volume&gt;3504000&lt;/volume&gt;&lt;avg&gt;811.67&lt;/avg&gt;&lt;stddev&gt;15.23&lt;/stddev&gt;&lt;median&gt;814.30&lt;/median&gt;&lt;percentile&gt;828.50&lt;/percentile&gt;&lt;max&gt;828.90&lt;/max&gt;&lt;min&gt;778.00&lt;/min&gt;&lt;/buy&gt;&lt;sell&gt;&lt;volume&gt;12080947&lt;/volume&gt;&lt;avg&gt;988.17&lt;/avg&gt;&lt;stddev&gt;128.66&lt;/stddev&gt;&lt;median&gt;914.00&lt;/median&gt;&lt;percentile&gt;913.97&lt;/percentile&gt;&lt;max&gt;1232.00&lt;/max&gt;&lt;min&gt;913.60&lt;/min&gt;&lt;/sell&gt;&lt;/type&gt;&lt;type id="27387"&gt;&lt;buy&gt;&lt;volume&gt;3260481&lt;/volume&gt;&lt;avg&gt;780.15&lt;/avg&gt;&lt;stddev&gt;35.00&lt;/stddev&gt;&lt;median&gt;800.00&lt;/median&gt;&lt;percentile&gt;824.21&lt;/percentile&gt;&lt;max&gt;825.70&lt;/max&gt;&lt;min&gt;722.30&lt;/min&gt;&lt;/buy&gt;&lt;sell&gt;&lt;volume&gt;15659186&lt;/volume&gt;&lt;avg&gt;961.01&lt;/avg&gt;&lt;stddev&gt;122.31&lt;/stddev&gt;&lt;median&gt;910.85&lt;/median&gt;&lt;percentile&gt;894.99&lt;/percentile&gt;&lt;max&gt;1243.00&lt;/max&gt;&lt;min&gt;894.70&lt;/min&gt;&lt;/sell&gt;&lt;/type&gt;&lt;type id="27381"&gt;&lt;buy&gt;&lt;volume&gt;2226254&lt;/volume&gt;&lt;avg&gt;776.75&lt;/avg&gt;&lt;stddev&gt;49.11&lt;/stddev&gt;&lt;median&gt;800.00&lt;/median&gt;&lt;percentile&gt;825.53&lt;/percentile&gt;&lt;max&gt;826.20&lt;/max&gt;&lt;min&gt;665.70&lt;/min&gt;&lt;/buy&gt;&lt;sell&gt;&lt;volume&gt;16943955&lt;/volume&gt;&lt;avg&gt;998.57&lt;/avg&gt;&lt;stddev&gt;130.68&lt;/stddev&gt;&lt;median&gt;915.00&lt;/median&gt;&lt;percentile&gt;899.95&lt;/percentile&gt;&lt;max&gt;1233.00&lt;/max&gt;&lt;min&gt;899.70&lt;/min&gt;&lt;/sell&gt;&lt;/type&gt;&lt;type id="27361"&gt;&lt;buy&gt;&lt;volume&gt;3533898&lt;/volume&gt;&lt;avg&gt;779.43&lt;/avg&gt;&lt;stddev&gt;96.22&lt;/stddev&gt;&lt;median&gt;805.90&lt;/median&gt;&lt;percentile&gt;833.80&lt;/percentile&gt;&lt;max&gt;834.00&lt;/max&gt;&lt;min&gt;515.20&lt;/min&gt;&lt;/buy&gt;&lt;sell&gt;&lt;volume&gt;14317780&lt;/volume&gt;&lt;avg&gt;990.45&lt;/avg&gt;&lt;stddev&gt;86.44&lt;/stddev&gt;&lt;median&gt;936.15&lt;/median&gt;&lt;percentile&gt;914.15&lt;/percentile&gt;&lt;max&gt;1210.00&lt;/max&gt;&lt;min&gt;909.80&lt;/min&gt;&lt;/sell&gt;&lt;/type&gt;&lt;type id="2817"&gt;&lt;buy&gt;&lt;volume&gt;5765000&lt;/volume&gt;&lt;avg&gt;41.53&lt;/avg&gt;&lt;stddev&gt;8.80&lt;/stddev&gt;&lt;median&gt;40.00&lt;/median&gt;&lt;percentile&gt;58.54&lt;/percentile&gt;&lt;max&gt;58.54&lt;/max&gt;&lt;min&gt;40.00&lt;/min&gt;&lt;/buy&gt;&lt;sell&gt;&lt;volume&gt;13188837&lt;/volume&gt;&lt;avg&gt;133.93&lt;/avg&gt;&lt;stddev&gt;68.45&lt;/stddev&gt;&lt;median&gt;90.00&lt;/median&gt;&lt;percentile&gt;89.06&lt;/percentile&gt;&lt;max&gt;349.70&lt;/max&gt;&lt;min&gt;88.98&lt;/min&gt;&lt;/sell&gt;&lt;/type&gt;&lt;type id="24473"&gt;&lt;buy&gt;&lt;volume&gt;3275000&lt;/volume&gt;&lt;avg&gt;41.52&lt;/avg&gt;&lt;stddev&gt;14.35&lt;/stddev&gt;&lt;median&gt;36.23&lt;/median&gt;&lt;percentile&gt;50.03&lt;/percentile&gt;&lt;max&gt;50.04&lt;/max&gt;&lt;min&gt;22.01&lt;/min&gt;&lt;/buy&gt;&lt;sell&gt;&lt;volume&gt;5583356&lt;/volume&gt;&lt;avg&gt;75.12&lt;/avg&gt;&lt;stddev&gt;18.36&lt;/stddev&gt;&lt;median&gt;65.00&lt;/median&gt;&lt;percentile&gt;64.75&lt;/percentile&gt;&lt;max&gt;119.80&lt;/max&gt;&lt;min&gt;64.75&lt;/min&gt;&lt;/sell&gt;&lt;/type&gt;&lt;type id="24471"&gt;&lt;buy&gt;&lt;volume&gt;2393312&lt;/volume&gt;&lt;avg&gt;36.89&lt;/avg&gt;&lt;stddev&gt;0.46&lt;/stddev&gt;&lt;median&gt;37.16&lt;/median&gt;&lt;percentile&gt;37.73&lt;/percentile&gt;&lt;max&gt;37.73&lt;/max&gt;&lt;min&gt;36.26&lt;/min&gt;&lt;/buy&gt;&lt;sell&gt;&lt;volume&gt;4073726&lt;/volume&gt;&lt;avg&gt;89.96&lt;/avg&gt;&lt;stddev&gt;67.75&lt;/stddev&gt;&lt;median&gt;83.00&lt;/median&gt;&lt;percentile&gt;82.96&lt;/percentile&gt;&lt;max&gt;249.80&lt;/max&gt;&lt;min&gt;82.96&lt;/min&gt;&lt;/sell&gt;&lt;/type&gt;&lt;type id="27321"&gt;&lt;buy&gt;&lt;volume&gt;2789000&lt;/volume&gt;&lt;avg&gt;629.07&lt;/avg&gt;&lt;stddev&gt;23.70&lt;/stddev&gt;&lt;median&gt;631.40&lt;/median&gt;&lt;percentile&gt;636.43&lt;/percentile&gt;&lt;max&gt;636.50&lt;/max&gt;&lt;min&gt;554.90&lt;/min&gt;&lt;/buy&gt;&lt;sell&gt;&lt;volume&gt;1194739&lt;/volume&gt;&lt;avg&gt;825.90&lt;/avg&gt;&lt;stddev&gt;1.11&lt;/stddev&gt;&lt;median&gt;826.70&lt;/median&gt;&lt;percentile&gt;824.20&lt;/percentile&gt;&lt;max&gt;826.90&lt;/max&gt;&lt;min&gt;824.20&lt;/min&gt;&lt;/sell&gt;&lt;/type&gt;&lt;type id="27327"&gt;&lt;buy&gt;&lt;volume&gt;1745000&lt;/volume&gt;&lt;avg&gt;592.78&lt;/avg&gt;&lt;stddev&gt;9.87&lt;/stddev&gt;&lt;median&gt;593.60&lt;/median&gt;&lt;percentile&gt;594.10&lt;/percentile&gt;&lt;max&gt;594.10&lt;/max&gt;&lt;min&gt;565.40&lt;/min&gt;&lt;/buy&gt;&lt;sell&gt;&lt;volume&gt;1406596&lt;/volume&gt;&lt;avg&gt;693.73&lt;/avg&gt;&lt;stddev&gt;45.17&lt;/stddev&gt;&lt;median&gt;713.70&lt;/median&gt;&lt;percentile&gt;686.72&lt;/percentile&gt;&lt;max&gt;798.50&lt;/max&gt;&lt;min&gt;686.00&lt;/min&gt;&lt;/sell&gt;&lt;/type&gt;&lt;type id="24523"&gt;&lt;buy&gt;&lt;volume&gt;362053&lt;/volume&gt;&lt;avg&gt;1405.00&lt;/avg&gt;&lt;stddev&gt;129.22&lt;/stddev&gt;&lt;median&gt;1491.00&lt;/median&gt;&lt;percentile&gt;1494.00&lt;/percentile&gt;&lt;max&gt;1494.00&lt;/max&gt;&lt;min&gt;1170.00&lt;/min&gt;&lt;/buy&gt;&lt;sell&gt;&lt;volume&gt;2460759&lt;/volume&gt;&lt;avg&gt;1771.05&lt;/avg&gt;&lt;stddev&gt;84.66&lt;/stddev&gt;&lt;median&gt;1732.50&lt;/median&gt;&lt;percentile&gt;1708.60&lt;/percentile&gt;&lt;max&gt;1996.00&lt;/max&gt;&lt;min&gt;1706.00&lt;/min&gt;&lt;/sell&gt;&lt;/type&gt;&lt;/marketstat&gt;&lt;/exec_api&gt;</v>
      </c>
      <c r="BF44" s="3"/>
    </row>
    <row r="45" spans="1:58">
      <c r="A45" s="13" t="s">
        <v>5100</v>
      </c>
      <c r="B45" s="73">
        <f>VLOOKUP(A45,TypeIDs!B:C,2,FALSE)</f>
        <v>12805</v>
      </c>
      <c r="C45" s="39">
        <v>206.8</v>
      </c>
      <c r="D45" s="39">
        <f t="shared" si="0"/>
        <v>227.2526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>
        <f t="shared" si="4"/>
        <v>10644.785</v>
      </c>
      <c r="J45" s="20">
        <f t="shared" si="5"/>
        <v>24500</v>
      </c>
      <c r="K45" s="19">
        <f t="shared" si="2"/>
        <v>306.25</v>
      </c>
      <c r="L45" s="8">
        <f t="shared" si="8"/>
        <v>1.0217110827334868</v>
      </c>
      <c r="M45" s="9">
        <f t="shared" si="9"/>
        <v>5567688.7000000002</v>
      </c>
      <c r="N45" s="10">
        <f t="shared" si="6"/>
        <v>120880.54999999986</v>
      </c>
      <c r="O45" s="11">
        <f t="shared" si="7"/>
        <v>394.71199999999953</v>
      </c>
      <c r="P45" s="23">
        <f t="shared" si="3"/>
        <v>5688569.25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1902927&lt;/volume&gt;&lt;avg&gt;1245.79&lt;/avg&gt;&lt;stddev&gt;93.33&lt;/stddev&gt;&lt;median&gt;1282.00&lt;/median&gt;&lt;percentile&gt;1335.00&lt;/percentile&gt;&lt;max&gt;1335.00&lt;/max&gt;&lt;min&gt;1000.00&lt;/min&gt;&lt;/buy&gt;&lt;sell&gt;&lt;volume&gt;1081176&lt;/volume&gt;&lt;avg&gt;1724.90&lt;/avg&gt;&lt;stddev&gt;75.26&lt;/stddev&gt;&lt;median&gt;1698.00&lt;/median&gt;&lt;percentile&gt;1653.55&lt;/percentile&gt;&lt;max&gt;1888.00&lt;/max&gt;&lt;min&gt;1650.00&lt;/min&gt;&lt;/sell&gt;&lt;/type&gt;&lt;type id="24527"&gt;&lt;buy&gt;&lt;volume&gt;1457000&lt;/volume&gt;&lt;avg&gt;1024.99&lt;/avg&gt;&lt;stddev&gt;112.50&lt;/stddev&gt;&lt;median&gt;1083.00&lt;/median&gt;&lt;percentile&gt;1113.00&lt;/percentile&gt;&lt;max&gt;1113.00&lt;/max&gt;&lt;min&gt;726.50&lt;/min&gt;&lt;/buy&gt;&lt;sell&gt;&lt;volume&gt;1435233&lt;/volume&gt;&lt;avg&gt;1864.08&lt;/avg&gt;&lt;stddev&gt;257.47&lt;/stddev&gt;&lt;median&gt;1800.00&lt;/median&gt;&lt;percentile&gt;1637.00&lt;/percentile&gt;&lt;max&gt;2358.00&lt;/max&gt;&lt;min&gt;1637.00&lt;/min&gt;&lt;/sell&gt;&lt;/type&gt;&lt;type id="27339"&gt;&lt;buy&gt;&lt;volume&gt;802650&lt;/volume&gt;&lt;avg&gt;1873.36&lt;/avg&gt;&lt;stddev&gt;121.17&lt;/stddev&gt;&lt;median&gt;1931.00&lt;/median&gt;&lt;percentile&gt;1941.69&lt;/percentile&gt;&lt;max&gt;2000.00&lt;/max&gt;&lt;min&gt;1618.00&lt;/min&gt;&lt;/buy&gt;&lt;sell&gt;&lt;volume&gt;496198&lt;/volume&gt;&lt;avg&gt;2580.10&lt;/avg&gt;&lt;stddev&gt;68.71&lt;/stddev&gt;&lt;median&gt;2588.50&lt;/median&gt;&lt;percentile&gt;2528.00&lt;/percentile&gt;&lt;max&gt;2649.00&lt;/max&gt;&lt;min&gt;2528.00&lt;/min&gt;&lt;/sell&gt;&lt;/type&gt;&lt;type id="27359"&gt;&lt;buy&gt;&lt;volume&gt;1208500&lt;/volume&gt;&lt;avg&gt;2282.38&lt;/avg&gt;&lt;stddev&gt;189.46&lt;/stddev&gt;&lt;median&gt;2360.00&lt;/median&gt;&lt;percentile&gt;2372.20&lt;/percentile&gt;&lt;max&gt;2373.00&lt;/max&gt;&lt;min&gt;1726.00&lt;/min&gt;&lt;/buy&gt;&lt;sell&gt;&lt;volume&gt;1444441&lt;/volume&gt;&lt;avg&gt;2981.88&lt;/avg&gt;&lt;stddev&gt;370.91&lt;/stddev&gt;&lt;median&gt;2940.00&lt;/median&gt;&lt;percentile&gt;2849.78&lt;/percentile&gt;&lt;max&gt;3889.00&lt;/max&gt;&lt;min&gt;2849.00&lt;/min&gt;&lt;/sell&gt;&lt;/type&gt;&lt;type id="27345"&gt;&lt;buy&gt;&lt;volume&gt;587500&lt;/volume&gt;&lt;avg&gt;1918.53&lt;/avg&gt;&lt;stddev&gt;204.36&lt;/stddev&gt;&lt;median&gt;1975.00&lt;/median&gt;&lt;percentile&gt;2100.00&lt;/percentile&gt;&lt;max&gt;2100.00&lt;/max&gt;&lt;min&gt;1499.00&lt;/min&gt;&lt;/buy&gt;&lt;sell&gt;&lt;volume&gt;945424&lt;/volume&gt;&lt;avg&gt;2399.34&lt;/avg&gt;&lt;stddev&gt;53.97&lt;/stddev&gt;&lt;median&gt;2394.00&lt;/median&gt;&lt;percentile&gt;2392.00&lt;/percentile&gt;&lt;max&gt;2500.00&lt;/max&gt;&lt;min&gt;2392.00&lt;/min&gt;&lt;/sell&gt;&lt;/type&gt;&lt;type id="56748"&gt;&lt;buy&gt;&lt;volume&gt;900&lt;/volume&gt;&lt;avg&gt;40473.89&lt;/avg&gt;&lt;stddev&gt;143.85&lt;/stddev&gt;&lt;median&gt;40500.00&lt;/median&gt;&lt;percentile&gt;40510.00&lt;/percentile&gt;&lt;max&gt;40510.00&lt;/max&gt;&lt;min&gt;40200.00&lt;/min&gt;&lt;/buy&gt;&lt;sell&gt;&lt;volume&gt;25065&lt;/volume&gt;&lt;avg&gt;74850.92&lt;/avg&gt;&lt;stddev&gt;11965.66&lt;/stddev&gt;&lt;median&gt;70490.00&lt;/median&gt;&lt;percentile&gt;63835.51&lt;/percentile&gt;&lt;max&gt;99400.00&lt;/max&gt;&lt;min&gt;63000.00&lt;/min&gt;&lt;/sell&gt;&lt;/type&gt;&lt;type id="22778"&gt;&lt;buy&gt;&lt;volume&gt;20100&lt;/volume&gt;&lt;avg&gt;45696.17&lt;/avg&gt;&lt;stddev&gt;11673.39&lt;/stddev&gt;&lt;median&gt;39900.00&lt;/median&gt;&lt;percentile&gt;66252.31&lt;/percentile&gt;&lt;max&gt;66270.00&lt;/max&gt;&lt;min&gt;30000.00&lt;/min&gt;&lt;/buy&gt;&lt;sell&gt;&lt;volume&gt;433207&lt;/volume&gt;&lt;avg&gt;98639.40&lt;/avg&gt;&lt;stddev&gt;39694.82&lt;/stddev&gt;&lt;median&gt;88760.00&lt;/median&gt;&lt;percentile&gt;75786.87&lt;/percentile&gt;&lt;max&gt;224300.00&lt;/max&gt;&lt;min&gt;73980.00&lt;/min&gt;&lt;/sell&gt;&lt;/type&gt;&lt;type id="30028"&gt;&lt;buy&gt;&lt;volume&gt;864&lt;/volume&gt;&lt;avg&gt;23806.18&lt;/avg&gt;&lt;stddev&gt;6655.64&lt;/stddev&gt;&lt;median&gt;23280.00&lt;/median&gt;&lt;percentile&gt;27180.00&lt;/percentile&gt;&lt;max&gt;27180.00&lt;/max&gt;&lt;min&gt;13110.00&lt;/min&gt;&lt;/buy&gt;&lt;sell&gt;&lt;volume&gt;149904&lt;/volume&gt;&lt;avg&gt;36773.74&lt;/avg&gt;&lt;stddev&gt;5950.05&lt;/stddev&gt;&lt;median&gt;38000.00&lt;/median&gt;&lt;percentile&gt;31641.02&lt;/percentile&gt;&lt;max&gt;70000.00&lt;/max&gt;&lt;min&gt;30930.00&lt;/min&gt;&lt;/sell&gt;&lt;/type&gt;&lt;type id="30013"&gt;&lt;buy&gt;&lt;volume&gt;90500&lt;/volume&gt;&lt;avg&gt;7888.81&lt;/avg&gt;&lt;stddev&gt;904.82&lt;/stddev&gt;&lt;median&gt;8240.00&lt;/median&gt;&lt;percentile&gt;8300.00&lt;/percentile&gt;&lt;max&gt;8300.00&lt;/max&gt;&lt;min&gt;5703.00&lt;/min&gt;&lt;/buy&gt;&lt;sell&gt;&lt;volume&gt;127491&lt;/volume&gt;&lt;avg&gt;10186.83&lt;/avg&gt;&lt;stddev&gt;1455.91&lt;/stddev&gt;&lt;median&gt;9427.50&lt;/median&gt;&lt;percentile&gt;9394.63&lt;/percentile&gt;&lt;max&gt;13300.00&lt;/max&gt;&lt;min&gt;9393.00&lt;/min&gt;&lt;/sell&gt;&lt;/type&gt;&lt;type id="30486"&gt;&lt;buy&gt;&lt;volume&gt;4030&lt;/volume&gt;&lt;avg&gt;382159.93&lt;/avg&gt;&lt;stddev&gt;12646.40&lt;/stddev&gt;&lt;median&gt;379850.00&lt;/median&gt;&lt;percentile&gt;388100.00&lt;/percentile&gt;&lt;max&gt;388100.00&lt;/max&gt;&lt;min&gt;355300.00&lt;/min&gt;&lt;/buy&gt;&lt;sell&gt;&lt;volume&gt;32412&lt;/volume&gt;&lt;avg&gt;427026.27&lt;/avg&gt;&lt;stddev&gt;14625.29&lt;/stddev&gt;&lt;median&gt;428650.00&lt;/median&gt;&lt;percentile&gt;417990.43&lt;/percentile&gt;&lt;max&gt;495900.00&lt;/max&gt;&lt;min&gt;417900.00&lt;/min&gt;&lt;/sell&gt;&lt;/type&gt;&lt;type id="30488"&gt;&lt;buy&gt;&lt;volume&gt;14864&lt;/volume&gt;&lt;avg&gt;338101.04&lt;/avg&gt;&lt;stddev&gt;15842.03&lt;/stddev&gt;&lt;median&gt;341700.00&lt;/median&gt;&lt;percentile&gt;358304.55&lt;/percentile&gt;&lt;max&gt;360000.00&lt;/max&gt;&lt;min&gt;300000.00&lt;/min&gt;&lt;/buy&gt;&lt;sell&gt;&lt;volume&gt;9581&lt;/volume&gt;&lt;avg&gt;415973.96&lt;/avg&gt;&lt;stddev&gt;15182.29&lt;/stddev&gt;&lt;median&gt;416900.00&lt;/median&gt;&lt;percentile&gt;407800.00&lt;/percentile&gt;&lt;max&gt;465800.00&lt;/max&gt;&lt;min&gt;407800.00&lt;/min&gt;&lt;/sell&gt;&lt;/type&gt;&lt;type id="12767"&gt;&lt;buy&gt;&lt;volume&gt;150000&lt;/volume&gt;&lt;avg&gt;358.97&lt;/avg&gt;&lt;stddev&gt;2.19&lt;/stddev&gt;&lt;median&gt;358.45&lt;/median&gt;&lt;percentile&gt;360.00&lt;/percentile&gt;&lt;max&gt;360.00&lt;/max&gt;&lt;min&gt;356.90&lt;/min&gt;&lt;/buy&gt;&lt;sell&gt;&lt;volume&gt;2196887&lt;/volume&gt;&lt;avg&gt;499.13&lt;/avg&gt;&lt;stddev&gt;31.01&lt;/stddev&gt;&lt;median&gt;531.50&lt;/median&gt;&lt;percentile&gt;477.49&lt;/percentile&gt;&lt;max&gt;591.80&lt;/max&gt;&lt;min&gt;477.40&lt;/min&gt;&lt;/sell&gt;&lt;/type&gt;&lt;type id="12771"&gt;&lt;buy&gt;&lt;volume&gt;1605000&lt;/volume&gt;&lt;avg&gt;344.92&lt;/avg&gt;&lt;stddev&gt;9.98&lt;/stddev&gt;&lt;median&gt;340.00&lt;/median&gt;&lt;percentile&gt;360.50&lt;/percentile&gt;&lt;max&gt;360.60&lt;/max&gt;&lt;min&gt;340.00&lt;/min&gt;&lt;/buy&gt;&lt;sell&gt;&lt;volume&gt;5483091&lt;/volume&gt;&lt;avg&gt;415.51&lt;/avg&gt;&lt;stddev&gt;142.30&lt;/stddev&gt;&lt;median&gt;399.50&lt;/median&gt;&lt;percentile&gt;397.94&lt;/percentile&gt;&lt;max&gt;899.40&lt;/max&gt;&lt;min&gt;397.00&lt;/min&gt;&lt;/sell&gt;&lt;/type&gt;&lt;type id="12775"&gt;&lt;buy&gt;&lt;volume&gt;1650000&lt;/volume&gt;&lt;avg&gt;601.45&lt;/avg&gt;&lt;stddev&gt;1.91&lt;/stddev&gt;&lt;median&gt;600.00&lt;/median&gt;&lt;percentile&gt;604.60&lt;/percentile&gt;&lt;max&gt;604.60&lt;/max&gt;&lt;min&gt;600.00&lt;/min&gt;&lt;/buy&gt;&lt;sell&gt;&lt;volume&gt;7949553&lt;/volume&gt;&lt;avg&gt;753.14&lt;/avg&gt;&lt;stddev&gt;237.94&lt;/stddev&gt;&lt;median&gt;722.30&lt;/median&gt;&lt;percentile&gt;689.75&lt;/percentile&gt;&lt;max&gt;1486.00&lt;/max&gt;&lt;min&gt;689.70&lt;/min&gt;&lt;/sell&gt;&lt;/type&gt;&lt;type id="12773"&gt;&lt;buy&gt;&lt;volume&gt;1400000&lt;/volume&gt;&lt;avg&gt;252.71&lt;/avg&gt;&lt;stddev&gt;6.72&lt;/stddev&gt;&lt;median&gt;250.00&lt;/median&gt;&lt;percentile&gt;259.50&lt;/percentile&gt;&lt;max&gt;259.50&lt;/max&gt;&lt;min&gt;250.00&lt;/min&gt;&lt;/buy&gt;&lt;sell&gt;&lt;volume&gt;4945982&lt;/volume&gt;&lt;avg&gt;313.70&lt;/avg&gt;&lt;stddev&gt;19.69&lt;/stddev&gt;&lt;median&gt;308.90&lt;/median&gt;&lt;percentile&gt;302.49&lt;/percentile&gt;&lt;max&gt;391.20&lt;/max&gt;&lt;min&gt;302.40&lt;/min&gt;&lt;/sell&gt;&lt;/type&gt;&lt;type id="12777"&gt;&lt;buy&gt;&lt;volume&gt;2800000&lt;/volume&gt;&lt;avg&gt;190.02&lt;/avg&gt;&lt;stddev&gt;28.79&lt;/stddev&gt;&lt;median&gt;194.75&lt;/median&gt;&lt;percentile&gt;203.00&lt;/percentile&gt;&lt;max&gt;203.20&lt;/max&gt;&lt;min&gt;110.00&lt;/min&gt;&lt;/buy&gt;&lt;sell&gt;&lt;volume&gt;5191806&lt;/volume&gt;&lt;avg&gt;296.34&lt;/avg&gt;&lt;stddev&gt;23.49&lt;/stddev&gt;&lt;median&gt;283.50&lt;/median&gt;&lt;percentile&gt;272.48&lt;/percentile&gt;&lt;max&gt;330.10&lt;/max&gt;&lt;min&gt;272.40&lt;/min&gt;&lt;/sell&gt;&lt;/type&gt;&lt;type id="12625"&gt;&lt;buy&gt;&lt;volume&gt;6130000&lt;/volume&gt;&lt;avg&gt;63.20&lt;/avg&gt;&lt;stddev&gt;2.69&lt;/stddev&gt;&lt;median&gt;65.35&lt;/median&gt;&lt;percentile&gt;65.42&lt;/percentile&gt;&lt;max&gt;65.42&lt;/max&gt;&lt;min&gt;60.00&lt;/min&gt;&lt;/buy&gt;&lt;sell&gt;&lt;volume&gt;20048671&lt;/volume&gt;&lt;avg&gt;81.86&lt;/avg&gt;&lt;stddev&gt;9.68&lt;/stddev&gt;&lt;median&gt;80.62&lt;/median&gt;&lt;percentile&gt;74.30&lt;/percentile&gt;&lt;max&gt;97.27&lt;/max&gt;&lt;min&gt;73.96&lt;/min&gt;&lt;/sell&gt;&lt;/type&gt;&lt;type id="12608"&gt;&lt;buy&gt;&lt;volume&gt;8441111&lt;/volume&gt;&lt;avg&gt;66.47&lt;/avg&gt;&lt;stddev&gt;12.72&lt;/stddev&gt;&lt;median&gt;70.05&lt;/median&gt;&lt;percentile&gt;72.09&lt;/percentile&gt;&lt;max&gt;73.00&lt;/max&gt;&lt;min&gt;38.00&lt;/min&gt;&lt;/buy&gt;&lt;sell&gt;&lt;volume&gt;18762548&lt;/volume&gt;&lt;avg&gt;125.51&lt;/avg&gt;&lt;stddev&gt;19.53&lt;/stddev&gt;&lt;median&gt;123.00&lt;/median&gt;&lt;percentile&gt;82.88&lt;/percentile&gt;&lt;max&gt;179.80&lt;/max&gt;&lt;min&gt;82.86&lt;/min&gt;&lt;/sell&gt;&lt;/type&gt;&lt;type id="21894"&gt;&lt;buy&gt;&lt;volume&gt;1627000&lt;/volume&gt;&lt;avg&gt;1108.95&lt;/avg&gt;&lt;stddev&gt;58.09&lt;/stddev&gt;&lt;median&gt;1131.00&lt;/median&gt;&lt;percentile&gt;1171.00&lt;/percentile&gt;&lt;max&gt;1171.00&lt;/max&gt;&lt;min&gt;1007.00&lt;/min&gt;&lt;/buy&gt;&lt;sell&gt;&lt;volume&gt;5991655&lt;/volume&gt;&lt;avg&gt;1331.73&lt;/avg&gt;&lt;stddev&gt;64.50&lt;/stddev&gt;&lt;median&gt;1325.00&lt;/median&gt;&lt;percentile&gt;1276.41&lt;/percentile&gt;&lt;max&gt;1500.00&lt;/max&gt;&lt;min&gt;1248.00&lt;/min&gt;&lt;/sell&gt;&lt;/type&gt;&lt;type id="21918"&gt;&lt;buy&gt;&lt;volume&gt;1967250&lt;/volume&gt;&lt;avg&gt;961.63&lt;/avg&gt;&lt;stddev&gt;35.50&lt;/stddev&gt;&lt;median&gt;948.60&lt;/median&gt;&lt;percentile&gt;1011.00&lt;/percentile&gt;&lt;max&gt;1011.00&lt;/max&gt;&lt;min&gt;911.00&lt;/min&gt;&lt;/buy&gt;&lt;sell&gt;&lt;volume&gt;13974197&lt;/volume&gt;&lt;avg&gt;1232.27&lt;/avg&gt;&lt;stddev&gt;96.15&lt;/stddev&gt;&lt;median&gt;1258.50&lt;/median&gt;&lt;percentile&gt;1220.00&lt;/percentile&gt;&lt;max&gt;1499.00&lt;/max&gt;&lt;min&gt;1220.00&lt;/min&gt;&lt;/sell&gt;&lt;/type&gt;&lt;type id="28326"&gt;&lt;buy&gt;&lt;volume&gt;1024999&lt;/volume&gt;&lt;avg&gt;50.17&lt;/avg&gt;&lt;stddev&gt;0.02&lt;/stddev&gt;&lt;median&gt;50.17&lt;/median&gt;&lt;percentile&gt;50.17&lt;/percentile&gt;&lt;max&gt;50.20&lt;/max&gt;&lt;min&gt;50.17&lt;/min&gt;&lt;/buy&gt;&lt;sell&gt;&lt;volume&gt;935471&lt;/volume&gt;&lt;avg&gt;468.98&lt;/avg&gt;&lt;stddev&gt;57.95&lt;/stddev&gt;&lt;median&gt;442.20&lt;/median&gt;&lt;percentile&gt;412.57&lt;/percentile&gt;&lt;max&gt;599.00&lt;/max&gt;&lt;min&gt;412.20&lt;/min&gt;&lt;/sell&gt;&lt;/type&gt;&lt;type id="28334"&gt;&lt;buy&gt;&lt;volume&gt;1795000&lt;/volume&gt;&lt;avg&gt;549.79&lt;/avg&gt;&lt;stddev&gt;44.23&lt;/stddev&gt;&lt;median&gt;509.50&lt;/median&gt;&lt;percentile&gt;612.70&lt;/percentile&gt;&lt;max&gt;612.70&lt;/max&gt;&lt;min&gt;503.30&lt;/min&gt;&lt;/buy&gt;&lt;sell&gt;&lt;volume&gt;2223111&lt;/volume&gt;&lt;avg&gt;846.52&lt;/avg&gt;&lt;stddev&gt;100.98&lt;/stddev&gt;&lt;median&gt;772.45&lt;/median&gt;&lt;percentile&gt;692.28&lt;/percentile&gt;&lt;max&gt;1003.00&lt;/max&gt;&lt;min&gt;692.10&lt;/min&gt;&lt;/sell&gt;&lt;/type&gt;&lt;type id="21896"&gt;&lt;buy&gt;&lt;volume&gt;9028991&lt;/volume&gt;&lt;avg&gt;758.38&lt;/avg&gt;&lt;stddev&gt;59.29&lt;/stddev&gt;&lt;median&gt;738.60&lt;/median&gt;&lt;percentile&gt;817.03&lt;/percentile&gt;&lt;max&gt;817.80&lt;/max&gt;&lt;min&gt;575.20&lt;/min&gt;&lt;/buy&gt;&lt;sell&gt;&lt;volume&gt;878527&lt;/volume&gt;&lt;avg&gt;1082.32&lt;/avg&gt;&lt;stddev&gt;268.79&lt;/stddev&gt;&lt;median&gt;1081.00&lt;/median&gt;&lt;percentile&gt;1060.00&lt;/percentile&gt;&lt;max&gt;1884.00&lt;/max&gt;&lt;min&gt;1060.00&lt;/min&gt;&lt;/sell&gt;&lt;/type&gt;&lt;type id="21904"&gt;&lt;buy&gt;&lt;volume&gt;2360000&lt;/volume&gt;&lt;avg&gt;688.06&lt;/avg&gt;&lt;stddev&gt;44.45&lt;/stddev&gt;&lt;median&gt;685.70&lt;/median&gt;&lt;percentile&gt;728.33&lt;/percentile&gt;&lt;max&gt;728.40&lt;/max&gt;&lt;min&gt;602.60&lt;/min&gt;&lt;/buy&gt;&lt;sell&gt;&lt;volume&gt;2073467&lt;/volume&gt;&lt;avg&gt;933.47&lt;/avg&gt;&lt;stddev&gt;47.81&lt;/stddev&gt;&lt;median&gt;923.80&lt;/median&gt;&lt;percentile&gt;909.10&lt;/percentile&gt;&lt;max&gt;1045.00&lt;/max&gt;&lt;min&gt;909.10&lt;/min&gt;&lt;/sell&gt;&lt;/type&gt;&lt;type id="21912"&gt;&lt;buy&gt;&lt;volume&gt;600000&lt;/volume&gt;&lt;avg&gt;550.35&lt;/avg&gt;&lt;stddev&gt;0.21&lt;/stddev&gt;&lt;median&gt;550.25&lt;/median&gt;&lt;percentile&gt;550.40&lt;/percentile&gt;&lt;max&gt;550.40&lt;/max&gt;&lt;min&gt;550.10&lt;/min&gt;&lt;/buy&gt;&lt;sell&gt;&lt;volume&gt;2223590&lt;/volume&gt;&lt;avg&gt;997.54&lt;/avg&gt;&lt;stddev&gt;201.73&lt;/stddev&gt;&lt;median&gt;1043.00&lt;/median&gt;&lt;percentile&gt;809.00&lt;/percentile&gt;&lt;max&gt;1500.00&lt;/max&gt;&lt;min&gt;809.00&lt;/min&gt;&lt;/sell&gt;&lt;/type&gt;&lt;type id="21922"&gt;&lt;buy&gt;&lt;volume&gt;1627317&lt;/volume&gt;&lt;avg&gt;622.27&lt;/avg&gt;&lt;stddev&gt;13.87&lt;/stddev&gt;&lt;median&gt;625.85&lt;/median&gt;&lt;percentile&gt;636.00&lt;/percentile&gt;&lt;max&gt;636.00&lt;/max&gt;&lt;min&gt;600.00&lt;/min&gt;&lt;/buy&gt;&lt;sell&gt;&lt;volume&gt;162792&lt;/volume&gt;&lt;avg&gt;1056.50&lt;/avg&gt;&lt;stddev&gt;4444.87&lt;/stddev&gt;&lt;median&gt;4142.00&lt;/median&gt;&lt;percentile&gt;999.00&lt;/percentile&gt;&lt;max&gt;7285.00&lt;/max&gt;&lt;min&gt;999.00&lt;/min&gt;&lt;/sell&gt;&lt;/type&gt;&lt;type id="21928"&gt;&lt;buy&gt;&lt;volume&gt;1800000&lt;/volume&gt;&lt;avg&gt;540.26&lt;/avg&gt;&lt;stddev&gt;90.88&lt;/stddev&gt;&lt;median&gt;582.00&lt;/median&gt;&lt;percentile&gt;582.00&lt;/percentile&gt;&lt;max&gt;582.00&lt;/max&gt;&lt;min&gt;413.90&lt;/min&gt;&lt;/buy&gt;&lt;sell&gt;&lt;volume&gt;3388489&lt;/volume&gt;&lt;avg&gt;766.60&lt;/avg&gt;&lt;stddev&gt;260.35&lt;/stddev&gt;&lt;median&gt;669.90&lt;/median&gt;&lt;percentile&gt;669.50&lt;/percentile&gt;&lt;max&gt;1714.00&lt;/max&gt;&lt;min&gt;669.50&lt;/min&gt;&lt;/sell&gt;&lt;/type&gt;&lt;type id="21937"&gt;&lt;buy&gt;&lt;volume&gt;1700245&lt;/volume&gt;&lt;avg&gt;466.70&lt;/avg&gt;&lt;stddev&gt;78.62&lt;/stddev&gt;&lt;median&gt;412.70&lt;/median&gt;&lt;percentile&gt;561.40&lt;/percentile&gt;&lt;max&gt;561.40&lt;/max&gt;&lt;min&gt;409.80&lt;/min&gt;&lt;/buy&gt;&lt;sell&gt;&lt;volume&gt;2519905&lt;/volume&gt;&lt;avg&gt;811.08&lt;/avg&gt;&lt;stddev&gt;331.14&lt;/stddev&gt;&lt;median&gt;714.95&lt;/median&gt;&lt;percentile&gt;714.90&lt;/percentile&gt;&lt;max&gt;1415.00&lt;/max&gt;&lt;min&gt;714.90&lt;/min&gt;&lt;/sell&gt;&lt;/type&gt;&lt;type id="28336"&gt;&lt;buy&gt;&lt;volume&gt;315000&lt;/volume&gt;&lt;avg&gt;401.35&lt;/avg&gt;&lt;stddev&gt;43.96&lt;/stddev&gt;&lt;median&gt;401.70&lt;/median&gt;&lt;percentile&gt;426.70&lt;/percentile&gt;&lt;max&gt;426.70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5354395&lt;/volume&gt;&lt;avg&gt;453.43&lt;/avg&gt;&lt;stddev&gt;27.76&lt;/stddev&gt;&lt;median&gt;443.40&lt;/median&gt;&lt;percentile&gt;506.86&lt;/percentile&gt;&lt;max&gt;506.90&lt;/max&gt;&lt;min&gt;443.40&lt;/min&gt;&lt;/buy&gt;&lt;sell&gt;&lt;volume&gt;10212807&lt;/volume&gt;&lt;avg&gt;581.91&lt;/avg&gt;&lt;stddev&gt;56.63&lt;/stddev&gt;&lt;median&gt;574.95&lt;/median&gt;&lt;percentile&gt;549.70&lt;/percentile&gt;&lt;max&gt;737.00&lt;/max&gt;&lt;min&gt;549.70&lt;/min&gt;&lt;/sell&gt;&lt;/type&gt;&lt;type id="21906"&gt;&lt;buy&gt;&lt;volume&gt;7596954&lt;/volume&gt;&lt;avg&gt;391.56&lt;/avg&gt;&lt;stddev&gt;59.28&lt;/stddev&gt;&lt;median&gt;401.30&lt;/median&gt;&lt;percentile&gt;421.20&lt;/percentile&gt;&lt;max&gt;421.20&lt;/max&gt;&lt;min&gt;230.00&lt;/min&gt;&lt;/buy&gt;&lt;sell&gt;&lt;volume&gt;214034&lt;/volume&gt;&lt;avg&gt;786.94&lt;/avg&gt;&lt;stddev&gt;57.04&lt;/stddev&gt;&lt;median&gt;798.60&lt;/median&gt;&lt;percentile&gt;700.00&lt;/percentile&gt;&lt;max&gt;799.00&lt;/max&gt;&lt;min&gt;700.00&lt;/min&gt;&lt;/sell&gt;&lt;/type&gt;&lt;type id="21924"&gt;&lt;buy&gt;&lt;volume&gt;2591399&lt;/volume&gt;&lt;avg&gt;424.67&lt;/avg&gt;&lt;stddev&gt;31.48&lt;/stddev&gt;&lt;median&gt;429.10&lt;/median&gt;&lt;percentile&gt;430.40&lt;/percentile&gt;&lt;max&gt;430.40&lt;/max&gt;&lt;min&gt;307.30&lt;/min&gt;&lt;/buy&gt;&lt;sell&gt;&lt;volume&gt;376621&lt;/volume&gt;&lt;avg&gt;3415.18&lt;/avg&gt;&lt;stddev&gt;1828.73&lt;/stddev&gt;&lt;median&gt;4984.00&lt;/median&gt;&lt;percentile&gt;1465.94&lt;/percentile&gt;&lt;max&gt;4999.00&lt;/max&gt;&lt;min&gt;1000.00&lt;/min&gt;&lt;/sell&gt;&lt;/type&gt;&lt;type id="193"&gt;&lt;buy&gt;&lt;volume&gt;4896000&lt;/volume&gt;&lt;avg&gt;82.16&lt;/avg&gt;&lt;stddev&gt;9.33&lt;/stddev&gt;&lt;median&gt;80.22&lt;/median&gt;&lt;percentile&gt;92.22&lt;/percentile&gt;&lt;max&gt;92.24&lt;/max&gt;&lt;min&gt;69.25&lt;/min&gt;&lt;/buy&gt;&lt;sell&gt;&lt;volume&gt;7000&lt;/volume&gt;&lt;avg&gt;500.00&lt;/avg&gt;&lt;stddev&gt;0.00&lt;/stddev&gt;&lt;median&gt;500.00&lt;/median&gt;&lt;percentile&gt;500.00&lt;/percentile&gt;&lt;max&gt;500.00&lt;/max&gt;&lt;min&gt;500.00&lt;/min&gt;&lt;/sell&gt;&lt;/type&gt;&lt;type id="41155"&gt;&lt;buy&gt;&lt;volume&gt;15022&lt;/volume&gt;&lt;avg&gt;3311.14&lt;/avg&gt;&lt;stddev&gt;178.63&lt;/stddev&gt;&lt;median&gt;3345.00&lt;/median&gt;&lt;percentile&gt;3363.00&lt;/percentile&gt;&lt;max&gt;3363.00&lt;/max&gt;&lt;min&gt;2777.00&lt;/min&gt;&lt;/buy&gt;&lt;sell&gt;&lt;volume&gt;16109&lt;/volume&gt;&lt;avg&gt;22164.49&lt;/avg&gt;&lt;stddev&gt;2592.67&lt;/stddev&gt;&lt;median&gt;21800.00&lt;/median&gt;&lt;percentile&gt;19800.00&lt;/percentile&gt;&lt;max&gt;27970.00&lt;/max&gt;&lt;min&gt;19800.00&lt;/min&gt;&lt;/sell&gt;&lt;/type&gt;&lt;type id="35795"&gt;&lt;buy&gt;&lt;volume&gt;8000&lt;/volume&gt;&lt;avg&gt;3923.38&lt;/avg&gt;&lt;stddev&gt;44.70&lt;/stddev&gt;&lt;median&gt;3900.50&lt;/median&gt;&lt;percentile&gt;3959.00&lt;/percentile&gt;&lt;max&gt;3959.00&lt;/max&gt;&lt;min&gt;3860.00&lt;/min&gt;&lt;/buy&gt;&lt;sell&gt;&lt;volume&gt;45856&lt;/volume&gt;&lt;avg&gt;11090.23&lt;/avg&gt;&lt;stddev&gt;6690.59&lt;/stddev&gt;&lt;median&gt;10681.50&lt;/median&gt;&lt;percentile&gt;8788.61&lt;/percentile&gt;&lt;max&gt;29790.00&lt;/max&gt;&lt;min&gt;8786.00&lt;/min&gt;&lt;/sell&gt;&lt;/type&gt;&lt;type id="35794"&gt;&lt;buy&gt;&lt;volume&gt;17980&lt;/volume&gt;&lt;avg&gt;7086.12&lt;/avg&gt;&lt;stddev&gt;1095.75&lt;/stddev&gt;&lt;median&gt;7644.50&lt;/median&gt;&lt;percentile&gt;7645.00&lt;/percentile&gt;&lt;max&gt;7646.00&lt;/max&gt;&lt;min&gt;4502.00&lt;/min&gt;&lt;/buy&gt;&lt;sell&gt;&lt;volume&gt;32050&lt;/volume&gt;&lt;avg&gt;12674.46&lt;/avg&gt;&lt;stddev&gt;2051.99&lt;/stddev&gt;&lt;median&gt;12000.00&lt;/median&gt;&lt;percentile&gt;11500.89&lt;/percentile&gt;&lt;max&gt;18000.00&lt;/max&gt;&lt;min&gt;11430.00&lt;/min&gt;&lt;/sell&gt;&lt;/type&gt;&lt;type id="29005"&gt;&lt;buy&gt;&lt;volume&gt;1211&lt;/volume&gt;&lt;avg&gt;5102.48&lt;/avg&gt;&lt;stddev&gt;59.23&lt;/stddev&gt;&lt;median&gt;5105.00&lt;/median&gt;&lt;percentile&gt;5105.00&lt;/percentile&gt;&lt;max&gt;5105.00&lt;/max&gt;&lt;min&gt;5000.00&lt;/min&gt;&lt;/buy&gt;&lt;sell&gt;&lt;volume&gt;3906&lt;/volume&gt;&lt;avg&gt;266897.31&lt;/avg&gt;&lt;stddev&gt;405465.66&lt;/stddev&gt;&lt;median&gt;24000.00&lt;/median&gt;&lt;percentile&gt;18280.00&lt;/percentile&gt;&lt;max&gt;1500000.00&lt;/max&gt;&lt;min&gt;18280.00&lt;/min&gt;&lt;/sell&gt;&lt;/type&gt;&lt;type id="28999"&gt;&lt;buy&gt;&lt;volume&gt;32684&lt;/volume&gt;&lt;avg&gt;6070.02&lt;/avg&gt;&lt;stddev&gt;978.00&lt;/stddev&gt;&lt;median&gt;6506.00&lt;/median&gt;&lt;percentile&gt;6708.36&lt;/percentile&gt;&lt;max&gt;6712.00&lt;/max&gt;&lt;min&gt;4019.00&lt;/min&gt;&lt;/buy&gt;&lt;sell&gt;&lt;volume&gt;42895&lt;/volume&gt;&lt;avg&gt;30295.48&lt;/avg&gt;&lt;stddev&gt;29981.01&lt;/stddev&gt;&lt;median&gt;18000.00&lt;/median&gt;&lt;percentile&gt;11647.48&lt;/percentile&gt;&lt;max&gt;100000.00&lt;/max&gt;&lt;min&gt;11580.00&lt;/min&gt;&lt;/sell&gt;&lt;/type&gt;&lt;type id="29011"&gt;&lt;buy&gt;&lt;volume&gt;10500&lt;/volume&gt;&lt;avg&gt;6989.00&lt;/avg&gt;&lt;stddev&gt;290.40&lt;/stddev&gt;&lt;median&gt;7145.00&lt;/median&gt;&lt;percentile&gt;7193.00&lt;/percentile&gt;&lt;max&gt;7193.00&lt;/max&gt;&lt;min&gt;6296.00&lt;/min&gt;&lt;/buy&gt;&lt;sell&gt;&lt;volume&gt;24147&lt;/volume&gt;&lt;avg&gt;38400.62&lt;/avg&gt;&lt;stddev&gt;38016.54&lt;/stddev&gt;&lt;median&gt;19775.00&lt;/median&gt;&lt;percentile&gt;14960.00&lt;/percentile&gt;&lt;max&gt;150000.00&lt;/max&gt;&lt;min&gt;14960.00&lt;/min&gt;&lt;/sell&gt;&lt;/type&gt;&lt;type id="29009"&gt;&lt;buy&gt;&lt;volume&gt;66420&lt;/volume&gt;&lt;avg&gt;4902.44&lt;/avg&gt;&lt;stddev&gt;1380.79&lt;/stddev&gt;&lt;median&gt;4623.50&lt;/median&gt;&lt;percentile&gt;6125.00&lt;/percentile&gt;&lt;max&gt;6125.00&lt;/max&gt;&lt;min&gt;2000.00&lt;/min&gt;&lt;/buy&gt;&lt;sell&gt;&lt;volume&gt;18057&lt;/volume&gt;&lt;avg&gt;10326.44&lt;/avg&gt;&lt;stddev&gt;2895.73&lt;/stddev&gt;&lt;median&gt;8677.00&lt;/median&gt;&lt;percentile&gt;8676.00&lt;/percentile&gt;&lt;max&gt;15750.00&lt;/max&gt;&lt;min&gt;8676.00&lt;/min&gt;&lt;/sell&gt;&lt;/type&gt;&lt;type id="29007"&gt;&lt;buy&gt;&lt;volume&gt;26195&lt;/volume&gt;&lt;avg&gt;4219.93&lt;/avg&gt;&lt;stddev&gt;744.84&lt;/stddev&gt;&lt;median&gt;4409.50&lt;/median&gt;&lt;percentile&gt;4411.00&lt;/percentile&gt;&lt;max&gt;4411.00&lt;/max&gt;&lt;min&gt;2500.00&lt;/min&gt;&lt;/buy&gt;&lt;sell&gt;&lt;volume&gt;12647&lt;/volume&gt;&lt;avg&gt;16790.15&lt;/avg&gt;&lt;stddev&gt;13367.04&lt;/stddev&gt;&lt;median&gt;10145.00&lt;/median&gt;&lt;percentile&gt;9401.00&lt;/percentile&gt;&lt;max&gt;49790.00&lt;/max&gt;&lt;min&gt;9401.00&lt;/min&gt;&lt;/sell&gt;&lt;/type&gt;&lt;type id="29001"&gt;&lt;buy&gt;&lt;volume&gt;36200&lt;/volume&gt;&lt;avg&gt;4867.60&lt;/avg&gt;&lt;stddev&gt;1064.38&lt;/stddev&gt;&lt;median&gt;5009.00&lt;/median&gt;&lt;percentile&gt;5011.00&lt;/percentile&gt;&lt;max&gt;5011.00&lt;/max&gt;&lt;min&gt;1929.00&lt;/min&gt;&lt;/buy&gt;&lt;sell&gt;&lt;volume&gt;26562&lt;/volume&gt;&lt;avg&gt;10879.87&lt;/avg&gt;&lt;stddev&gt;9041.00&lt;/stddev&gt;&lt;median&gt;9569.00&lt;/median&gt;&lt;percentile&gt;9566.34&lt;/percentile&gt;&lt;max&gt;40000.00&lt;/max&gt;&lt;min&gt;9564.00&lt;/min&gt;&lt;/sell&gt;&lt;/type&gt;&lt;type id="33681"&gt;&lt;buy&gt;&lt;volume&gt;119&lt;/volume&gt;&lt;avg&gt;88041344.54&lt;/avg&gt;&lt;stddev&gt;7008447.33&lt;/stddev&gt;&lt;median&gt;91000000.00&lt;/median&gt;&lt;percentile&gt;96140000.00&lt;/percentile&gt;&lt;max&gt;96140000.00&lt;/max&gt;&lt;min&gt;70000000.00&lt;/min&gt;&lt;/buy&gt;&lt;sell&gt;&lt;volume&gt;397&lt;/volume&gt;&lt;avg&gt;133163727.96&lt;/avg&gt;&lt;stddev&gt;36960521.69&lt;/stddev&gt;&lt;median&gt;112800000.00&lt;/median&gt;&lt;percentile&gt;105491666.67&lt;/percentile&gt;&lt;max&gt;350000000.00&lt;/max&gt;&lt;min&gt;104700000.00&lt;/min&gt;&lt;/sell&gt;&lt;/type&gt;&lt;type id="2193"&gt;&lt;buy&gt;&lt;volume&gt;6398&lt;/volume&gt;&lt;avg&gt;76701.23&lt;/avg&gt;&lt;stddev&gt;5226.63&lt;/stddev&gt;&lt;median&gt;75020.00&lt;/median&gt;&lt;percentile&gt;80230.00&lt;/percentile&gt;&lt;max&gt;80230.00&lt;/max&gt;&lt;min&gt;70000.00&lt;/min&gt;&lt;/buy&gt;&lt;sell&gt;&lt;volume&gt;9856&lt;/volume&gt;&lt;avg&gt;137619.68&lt;/avg&gt;&lt;stddev&gt;18149.10&lt;/stddev&gt;&lt;median&gt;150000.00&lt;/median&gt;&lt;percentile&gt;99791.94&lt;/percentile&gt;&lt;max&gt;150000.00&lt;/max&gt;&lt;min&gt;98400.00&lt;/min&gt;&lt;/sell&gt;&lt;/type&gt;&lt;type id="2478"&gt;&lt;buy&gt;&lt;volume&gt;3250&lt;/volume&gt;&lt;avg&gt;1346581.54&lt;/avg&gt;&lt;stddev&gt;159765.44&lt;/stddev&gt;&lt;median&gt;1283000.00&lt;/median&gt;&lt;percentile&gt;1576000.00&lt;/percentile&gt;&lt;max&gt;1577000.00&lt;/max&gt;&lt;min&gt;1140000.00&lt;/min&gt;&lt;/buy&gt;&lt;sell&gt;&lt;volume&gt;5262&lt;/volume&gt;&lt;avg&gt;1732539.34&lt;/avg&gt;&lt;stddev&gt;172289.93&lt;/stddev&gt;&lt;median&gt;1739500.00&lt;/median&gt;&lt;percentile&gt;1687912.82&lt;/percentile&gt;&lt;max&gt;2399000.00&lt;/max&gt;&lt;min&gt;1687000.00&lt;/min&gt;&lt;/sell&gt;&lt;/type&gt;&lt;type id="2446"&gt;&lt;buy&gt;&lt;volume&gt;1670&lt;/volume&gt;&lt;avg&gt;1048724.55&lt;/avg&gt;&lt;stddev&gt;383436.51&lt;/stddev&gt;&lt;median&gt;1122500.00&lt;/median&gt;&lt;percentile&gt;1242000.00&lt;/percentile&gt;&lt;max&gt;1242000.00&lt;/max&gt;&lt;min&gt;350400.00&lt;/min&gt;&lt;/buy&gt;&lt;sell&gt;&lt;volume&gt;7851&lt;/volume&gt;&lt;avg&gt;1546963.44&lt;/avg&gt;&lt;stddev&gt;166054.89&lt;/stddev&gt;&lt;median&gt;1479000.00&lt;/median&gt;&lt;percentile&gt;1379162.69&lt;/percentile&gt;&lt;max&gt;2377000.00&lt;/max&gt;&lt;min&gt;1365000.00&lt;/min&gt;&lt;/sell&gt;&lt;/type&gt;&lt;type id="2195"&gt;&lt;buy&gt;&lt;volume&gt;1451&lt;/volume&gt;&lt;avg&gt;1324646.45&lt;/avg&gt;&lt;stddev&gt;141693.75&lt;/stddev&gt;&lt;median&gt;1400000.00&lt;/median&gt;&lt;percentile&gt;1417000.00&lt;/percentile&gt;&lt;max&gt;1417000.00&lt;/max&gt;&lt;min&gt;900100.00&lt;/min&gt;&lt;/buy&gt;&lt;sell&gt;&lt;volume&gt;8558&lt;/volume&gt;&lt;avg&gt;2345978.62&lt;/avg&gt;&lt;stddev&gt;1576285.66&lt;/stddev&gt;&lt;median&gt;1779000.00&lt;/median&gt;&lt;percentile&gt;1579361.70&lt;/percentile&gt;&lt;max&gt;5999000.00&lt;/max&gt;&lt;min&gt;1579000.00&lt;/min&gt;&lt;/sell&gt;&lt;/type&gt;&lt;type id="2436"&gt;&lt;buy&gt;&lt;volume&gt;1034&lt;/volume&gt;&lt;avg&gt;1468832.69&lt;/avg&gt;&lt;stddev&gt;45729.02&lt;/stddev&gt;&lt;median&gt;1483500.00&lt;/median&gt;&lt;percentile&gt;1501923.08&lt;/percentile&gt;&lt;max&gt;1550000.00&lt;/max&gt;&lt;min&gt;1412000.00&lt;/min&gt;&lt;/buy&gt;&lt;sell&gt;&lt;volume&gt;7550&lt;/volume&gt;&lt;avg&gt;1770026.23&lt;/avg&gt;&lt;stddev&gt;155841.14&lt;/stddev&gt;&lt;median&gt;1715000.00&lt;/median&gt;&lt;percentile&gt;1649786.39&lt;/percentile&gt;&lt;max&gt;2157000.00&lt;/max&gt;&lt;min&gt;1648000.00&lt;/min&gt;&lt;/sell&gt;&lt;/type&gt;&lt;type id="31870"&gt;&lt;buy&gt;&lt;volume&gt;767&lt;/volume&gt;&lt;avg&gt;2283646.68&lt;/avg&gt;&lt;stddev&gt;418906.67&lt;/stddev&gt;&lt;median&gt;2570500.00&lt;/median&gt;&lt;percentile&gt;2755000.00&lt;/percentile&gt;&lt;max&gt;2755000.00&lt;/max&gt;&lt;min&gt;1600000.00&lt;/min&gt;&lt;/buy&gt;&lt;sell&gt;&lt;volume&gt;2978&lt;/volume&gt;&lt;avg&gt;4069473.81&lt;/avg&gt;&lt;stddev&gt;401672.62&lt;/stddev&gt;&lt;median&gt;4000000.00&lt;/median&gt;&lt;percentile&gt;3486486.84&lt;/percentile&gt;&lt;max&gt;4950000.00&lt;/max&gt;&lt;min&gt;3484000.00&lt;/min&gt;&lt;/sell&gt;&lt;/type&gt;&lt;type id="2203"&gt;&lt;buy&gt;&lt;volume&gt;55800&lt;/volume&gt;&lt;avg&gt;3293.56&lt;/avg&gt;&lt;stddev&gt;900.49&lt;/stddev&gt;&lt;median&gt;3150.50&lt;/median&gt;&lt;percentile&gt;3750.00&lt;/percentile&gt;&lt;max&gt;3750.00&lt;/max&gt;&lt;min&gt;1505.00&lt;/min&gt;&lt;/buy&gt;&lt;sell&gt;&lt;volume&gt;64053&lt;/volume&gt;&lt;avg&gt;4826.98&lt;/avg&gt;&lt;stddev&gt;1907.02&lt;/stddev&gt;&lt;median&gt;4396.00&lt;/median&gt;&lt;percentile&gt;4180.34&lt;/percentile&gt;&lt;max&gt;13270.00&lt;/max&gt;&lt;min&gt;4180.00&lt;/min&gt;&lt;/sell&gt;&lt;/type&gt;&lt;type id="2454"&gt;&lt;buy&gt;&lt;volume&gt;161327&lt;/volume&gt;&lt;avg&gt;3243.80&lt;/avg&gt;&lt;stddev&gt;1118.33&lt;/stddev&gt;&lt;median&gt;2933.00&lt;/median&gt;&lt;percentile&gt;4868.06&lt;/percentile&gt;&lt;max&gt;4874.00&lt;/max&gt;&lt;min&gt;1500.00&lt;/min&gt;&lt;/buy&gt;&lt;sell&gt;&lt;volume&gt;46458&lt;/volume&gt;&lt;avg&gt;18693.08&lt;/avg&gt;&lt;stddev&gt;9501.84&lt;/stddev&gt;&lt;median&gt;9960.00&lt;/median&gt;&lt;percentile&gt;5360.36&lt;/percentile&gt;&lt;max&gt;42460.00&lt;/max&gt;&lt;min&gt;4995.00&lt;/min&gt;&lt;/sell&gt;&lt;/type&gt;&lt;type id="2486"&gt;&lt;buy&gt;&lt;volume&gt;17850&lt;/volume&gt;&lt;avg&gt;6593.57&lt;/avg&gt;&lt;stddev&gt;927.07&lt;/stddev&gt;&lt;median&gt;6062.50&lt;/median&gt;&lt;percentile&gt;7500.00&lt;/percentile&gt;&lt;max&gt;7500.00&lt;/max&gt;&lt;min&gt;5073.00&lt;/min&gt;&lt;/buy&gt;&lt;sell&gt;&lt;volume&gt;89786&lt;/volume&gt;&lt;avg&gt;34170.45&lt;/avg&gt;&lt;stddev&gt;12501.97&lt;/stddev&gt;&lt;median&gt;50000.00&lt;/median&gt;&lt;percentile&gt;9253.17&lt;/percentile&gt;&lt;max&gt;56680.00&lt;/max&gt;&lt;min&gt;8980.00&lt;/min&gt;&lt;/sell&gt;&lt;/type&gt;&lt;type id="2205"&gt;&lt;buy&gt;&lt;volume&gt;2615&lt;/volume&gt;&lt;avg&gt;245300.96&lt;/avg&gt;&lt;stddev&gt;41044.33&lt;/stddev&gt;&lt;median&gt;270000.00&lt;/median&gt;&lt;percentile&gt;293550.00&lt;/percentile&gt;&lt;max&gt;295000.00&lt;/max&gt;&lt;min&gt;150100.00&lt;/min&gt;&lt;/buy&gt;&lt;sell&gt;&lt;volume&gt;24099&lt;/volume&gt;&lt;avg&gt;345703.24&lt;/avg&gt;&lt;stddev&gt;26318.15&lt;/stddev&gt;&lt;median&gt;346700.00&lt;/median&gt;&lt;percentile&gt;327500.00&lt;/percentile&gt;&lt;max&gt;429400.00&lt;/max&gt;&lt;min&gt;327500.00&lt;/min&gt;&lt;/sell&gt;&lt;/type&gt;&lt;type id="2456"&gt;&lt;buy&gt;&lt;volume&gt;3667&lt;/volume&gt;&lt;avg&gt;275698.12&lt;/avg&gt;&lt;stddev&gt;69607.18&lt;/stddev&gt;&lt;median&gt;290400.00&lt;/median&gt;&lt;percentile&gt;294900.00&lt;/percentile&gt;&lt;max&gt;294900.00&lt;/max&gt;&lt;min&gt;150000.00&lt;/min&gt;&lt;/buy&gt;&lt;sell&gt;&lt;volume&gt;13719&lt;/volume&gt;&lt;avg&gt;341973.44&lt;/avg&gt;&lt;stddev&gt;159899.71&lt;/stddev&gt;&lt;median&gt;336050.00&lt;/median&gt;&lt;percentile&gt;326500.00&lt;/percentile&gt;&lt;max&gt;1302000.00&lt;/max&gt;&lt;min&gt;326500.00&lt;/min&gt;&lt;/sell&gt;&lt;/type&gt;&lt;type id="2466"&gt;&lt;buy&gt;&lt;volume&gt;2160&lt;/volume&gt;&lt;avg&gt;309157.41&lt;/avg&gt;&lt;stddev&gt;6690.29&lt;/stddev&gt;&lt;median&gt;312050.00&lt;/median&gt;&lt;percentile&gt;315100.00&lt;/percentile&gt;&lt;max&gt;315100.00&lt;/max&gt;&lt;min&gt;300000.00&lt;/min&gt;&lt;/buy&gt;&lt;sell&gt;&lt;volume&gt;16219&lt;/volume&gt;&lt;avg&gt;396201.54&lt;/avg&gt;&lt;stddev&gt;71739.36&lt;/stddev&gt;&lt;median&gt;409500.00&lt;/median&gt;&lt;percentile&gt;342496.77&lt;/percentile&gt;&lt;max&gt;628900.00&lt;/max&gt;&lt;min&gt;342400.00&lt;/min&gt;&lt;/sell&gt;&lt;/type&gt;&lt;type id="2488"&gt;&lt;buy&gt;&lt;volume&gt;3115&lt;/volume&gt;&lt;avg&gt;297323.43&lt;/avg&gt;&lt;stddev&gt;5187.94&lt;/stddev&gt;&lt;median&gt;301600.00&lt;/median&gt;&lt;percentile&gt;301615.79&lt;/percentile&gt;&lt;max&gt;301800.00&lt;/max&gt;&lt;min&gt;290000.00&lt;/min&gt;&lt;/buy&gt;&lt;sell&gt;&lt;volume&gt;38589&lt;/volume&gt;&lt;avg&gt;366401.80&lt;/avg&gt;&lt;stddev&gt;88829.92&lt;/stddev&gt;&lt;median&gt;349500.00&lt;/median&gt;&lt;percentile&gt;339181.69&lt;/percentile&gt;&lt;max&gt;865200.00&lt;/max&gt;&lt;min&gt;339000.00&lt;/min&gt;&lt;/sell&gt;&lt;/type&gt;&lt;type id="31864"&gt;&lt;buy&gt;&lt;volume&gt;2081&lt;/volume&gt;&lt;avg&gt;841949.06&lt;/avg&gt;&lt;stddev&gt;346727.55&lt;/stddev&gt;&lt;median&gt;553550.00&lt;/median&gt;&lt;percentile&gt;1323166.67&lt;/percentile&gt;&lt;max&gt;1324000.00&lt;/max&gt;&lt;min&gt;350000.00&lt;/min&gt;&lt;/buy&gt;&lt;sell&gt;&lt;volume&gt;1447&lt;/volume&gt;&lt;avg&gt;1670411.20&lt;/avg&gt;&lt;stddev&gt;143883.69&lt;/stddev&gt;&lt;median&gt;1703000.00&lt;/median&gt;&lt;percentile&gt;1500000.00&lt;/percentile&gt;&lt;max&gt;1990000.00&lt;/max&gt;&lt;min&gt;1500000.00&lt;/min&gt;&lt;/sell&gt;&lt;/type&gt;&lt;type id="31888"&gt;&lt;buy&gt;&lt;volume&gt;776&lt;/volume&gt;&lt;avg&gt;1074784.79&lt;/avg&gt;&lt;stddev&gt;55232.45&lt;/stddev&gt;&lt;median&gt;1100000.00&lt;/median&gt;&lt;percentile&gt;1138000.00&lt;/percentile&gt;&lt;max&gt;1138000.00&lt;/max&gt;&lt;min&gt;997100.00&lt;/min&gt;&lt;/buy&gt;&lt;sell&gt;&lt;volume&gt;3176&lt;/volume&gt;&lt;avg&gt;1420737.09&lt;/avg&gt;&lt;stddev&gt;252383.19&lt;/stddev&gt;&lt;median&gt;1226000.00&lt;/median&gt;&lt;percentile&gt;1200000.00&lt;/percentile&gt;&lt;max&gt;1899000.00&lt;/max&gt;&lt;min&gt;1200000.00&lt;/min&gt;&lt;/sell&gt;&lt;/type&gt;&lt;type id="2173"&gt;&lt;buy&gt;&lt;volume&gt;11082&lt;/volume&gt;&lt;avg&gt;21676.35&lt;/avg&gt;&lt;stddev&gt;6211.75&lt;/stddev&gt;&lt;median&gt;24330.00&lt;/median&gt;&lt;percentile&gt;25140.00&lt;/percentile&gt;&lt;max&gt;25140.00&lt;/max&gt;&lt;min&gt;6888.00&lt;/min&gt;&lt;/buy&gt;&lt;sell&gt;&lt;volume&gt;7455&lt;/volume&gt;&lt;avg&gt;38694.89&lt;/avg&gt;&lt;stddev&gt;9151.04&lt;/stddev&gt;&lt;median&gt;36000.00&lt;/median&gt;&lt;percentile&gt;32743.01&lt;/percentile&gt;&lt;max&gt;74470.00&lt;/max&gt;&lt;min&gt;32700.00&lt;/min&gt;&lt;/sell&gt;&lt;/type&gt;&lt;type id="2185"&gt;&lt;buy&gt;&lt;volume&gt;1726&lt;/volume&gt;&lt;avg&gt;751831.52&lt;/avg&gt;&lt;stddev&gt;20721.67&lt;/stddev&gt;&lt;median&gt;754400.00&lt;/median&gt;&lt;percentile&gt;767300.00&lt;/percentile&gt;&lt;max&gt;767300.00&lt;/max&gt;&lt;min&gt;697700.00&lt;/min&gt;&lt;/buy&gt;&lt;sell&gt;&lt;volume&gt;12364&lt;/volume&gt;&lt;avg&gt;1110373.29&lt;/avg&gt;&lt;stddev&gt;406050.96&lt;/stddev&gt;&lt;median&gt;848600.00&lt;/median&gt;&lt;percentile&gt;837635.19&lt;/percentile&gt;&lt;max&gt;3244000.00&lt;/max&gt;&lt;min&gt;837500.00&lt;/min&gt;&lt;/sell&gt;&lt;/type&gt;&lt;type id="2175"&gt;&lt;buy&gt;&lt;volume&gt;5892&lt;/volume&gt;&lt;avg&gt;758584.23&lt;/avg&gt;&lt;stddev&gt;59775.18&lt;/stddev&gt;&lt;median&gt;782800.00&lt;/median&gt;&lt;percentile&gt;827052.49&lt;/percentile&gt;&lt;max&gt;827100.00&lt;/max&gt;&lt;min&gt;600000.00&lt;/min&gt;&lt;/buy&gt;&lt;sell&gt;&lt;volume&gt;5039&lt;/volume&gt;&lt;avg&gt;1006666.28&lt;/avg&gt;&lt;stddev&gt;72747.53&lt;/stddev&gt;&lt;median&gt;1027000.00&lt;/median&gt;&lt;percentile&gt;899978.12&lt;/percentile&gt;&lt;max&gt;1208000.00&lt;/max&gt;&lt;min&gt;899900.00&lt;/min&gt;&lt;/sell&gt;&lt;/type&gt;&lt;type id="21640"&gt;&lt;buy&gt;&lt;volume&gt;1390&lt;/volume&gt;&lt;avg&gt;729776.98&lt;/avg&gt;&lt;stddev&gt;28013.16&lt;/stddev&gt;&lt;median&gt;717350.00&lt;/median&gt;&lt;percentile&gt;776400.00&lt;/percentile&gt;&lt;max&gt;776400.00&lt;/max&gt;&lt;min&gt;700000.00&lt;/min&gt;&lt;/buy&gt;&lt;sell&gt;&lt;volume&gt;14094&lt;/volume&gt;&lt;avg&gt;986745.32&lt;/avg&gt;&lt;stddev&gt;283740.56&lt;/stddev&gt;&lt;median&gt;898300.00&lt;/median&gt;&lt;percentile&gt;857971.17&lt;/percentile&gt;&lt;max&gt;2450000.00&lt;/max&gt;&lt;min&gt;857900.00&lt;/min&gt;&lt;/sell&gt;&lt;/type&gt;&lt;type id="21638"&gt;&lt;buy&gt;&lt;volume&gt;2255&lt;/volume&gt;&lt;avg&gt;771603.77&lt;/avg&gt;&lt;stddev&gt;76456.16&lt;/stddev&gt;&lt;median&gt;783900.00&lt;/median&gt;&lt;percentile&gt;806900.00&lt;/percentile&gt;&lt;max&gt;806900.00&lt;/max&gt;&lt;min&gt;604400.00&lt;/min&gt;&lt;/buy&gt;&lt;sell&gt;&lt;volume&gt;12521&lt;/volume&gt;&lt;avg&gt;939181.07&lt;/avg&gt;&lt;stddev&gt;69614.53&lt;/stddev&gt;&lt;median&gt;955800.00&lt;/median&gt;&lt;percentile&gt;869952.63&lt;/percentile&gt;&lt;max&gt;1200000.00&lt;/max&gt;&lt;min&gt;869800.00&lt;/min&gt;&lt;/sell&gt;&lt;/type&gt;&lt;type id="31866"&gt;&lt;buy&gt;&lt;volume&gt;1821&lt;/volume&gt;&lt;avg&gt;1715915.43&lt;/avg&gt;&lt;stddev&gt;135871.17&lt;/stddev&gt;&lt;median&gt;1825000.00&lt;/median&gt;&lt;percentile&gt;1860000.00&lt;/percentile&gt;&lt;max&gt;1860000.00&lt;/max&gt;&lt;min&gt;1500000.00&lt;/min&gt;&lt;/buy&gt;&lt;sell&gt;&lt;volume&gt;1311&lt;/volume&gt;&lt;avg&gt;2108373.76&lt;/avg&gt;&lt;stddev&gt;162219.81&lt;/stddev&gt;&lt;median&gt;2075000.00&lt;/median&gt;&lt;percentile&gt;2050000.00&lt;/percentile&gt;&lt;max&gt;2567000.00&lt;/max&gt;&lt;min&gt;2050000.00&lt;/min&gt;&lt;/sell&gt;&lt;/type&gt;&lt;type id="28213"&gt;&lt;buy&gt;&lt;volume&gt;952&lt;/volume&gt;&lt;avg&gt;1279462.18&lt;/avg&gt;&lt;stddev&gt;385451.02&lt;/stddev&gt;&lt;median&gt;1368500.00&lt;/median&gt;&lt;percentile&gt;1451000.00&lt;/percentile&gt;&lt;max&gt;1451000.00&lt;/max&gt;&lt;min&gt;509200.00&lt;/min&gt;&lt;/buy&gt;&lt;sell&gt;&lt;volume&gt;3499&lt;/volume&gt;&lt;avg&gt;1667635.32&lt;/avg&gt;&lt;stddev&gt;72070.82&lt;/stddev&gt;&lt;median&gt;1702000.00&lt;/median&gt;&lt;percentile&gt;1570448.43&lt;/percentile&gt;&lt;max&gt;1875000.00&lt;/max&gt;&lt;min&gt;1570000.00&lt;/min&gt;&lt;/sell&gt;&lt;/type&gt;&lt;type id="31868"&gt;&lt;buy&gt;&lt;volume&gt;1458&lt;/volume&gt;&lt;avg&gt;2460769.55&lt;/avg&gt;&lt;stddev&gt;352078.45&lt;/stddev&gt;&lt;median&gt;2708500.00&lt;/median&gt;&lt;percentile&gt;2765727.27&lt;/percentile&gt;&lt;max&gt;2771000.00&lt;/max&gt;&lt;min&gt;1564000.00&lt;/min&gt;&lt;/buy&gt;&lt;sell&gt;&lt;volume&gt;541&lt;/volume&gt;&lt;avg&gt;3637800.37&lt;/avg&gt;&lt;stddev&gt;317482.16&lt;/stddev&gt;&lt;median&gt;3941000.00&lt;/median&gt;&lt;percentile&gt;3287609.76&lt;/percentile&gt;&lt;max&gt;3985000.00&lt;/max&gt;&lt;min&gt;3279000.00&lt;/min&gt;&lt;/sell&gt;&lt;/type&gt;&lt;type id="23707"&gt;&lt;buy&gt;&lt;volume&gt;45833&lt;/volume&gt;&lt;avg&gt;5242.78&lt;/avg&gt;&lt;stddev&gt;1114.31&lt;/stddev&gt;&lt;median&gt;4581.00&lt;/median&gt;&lt;percentile&gt;5500.00&lt;/percentile&gt;&lt;max&gt;5500.00&lt;/max&gt;&lt;min&gt;3112.00&lt;/min&gt;&lt;/buy&gt;&lt;sell&gt;&lt;volume&gt;103792&lt;/volume&gt;&lt;avg&gt;6736.37&lt;/avg&gt;&lt;stddev&gt;2594.45&lt;/stddev&gt;&lt;median&gt;6397.50&lt;/median&gt;&lt;percentile&gt;5788.00&lt;/percentile&gt;&lt;max&gt;18500.00&lt;/max&gt;&lt;min&gt;5788.00&lt;/min&gt;&lt;/sell&gt;&lt;/type&gt;&lt;type id="23705"&gt;&lt;buy&gt;&lt;volume&gt;4400&lt;/volume&gt;&lt;avg&gt;18483.13&lt;/avg&gt;&lt;stddev&gt;2978.50&lt;/stddev&gt;&lt;median&gt;19750.00&lt;/median&gt;&lt;percentile&gt;19813.33&lt;/percentile&gt;&lt;max&gt;19820.00&lt;/max&gt;&lt;min&gt;10000.00&lt;/min&gt;&lt;/buy&gt;&lt;sell&gt;&lt;volume&gt;781&lt;/volume&gt;&lt;avg&gt;66922.75&lt;/avg&gt;&lt;stddev&gt;16376.43&lt;/stddev&gt;&lt;median&gt;59900.00&lt;/median&gt;&lt;percentile&gt;59880.00&lt;/percentile&gt;&lt;max&gt;99000.00&lt;/max&gt;&lt;min&gt;59880.00&lt;/min&gt;&lt;/sell&gt;&lt;/type&gt;&lt;type id="10246"&gt;&lt;buy&gt;&lt;volume&gt;28399&lt;/volume&gt;&lt;avg&gt;8271.19&lt;/avg&gt;&lt;stddev&gt;521.74&lt;/stddev&gt;&lt;median&gt;8357.00&lt;/median&gt;&lt;percentile&gt;8532.19&lt;/percentile&gt;&lt;max&gt;8535.00&lt;/max&gt;&lt;min&gt;7000.00&lt;/min&gt;&lt;/buy&gt;&lt;sell&gt;&lt;volume&gt;12015&lt;/volume&gt;&lt;avg&gt;13097.03&lt;/avg&gt;&lt;stddev&gt;4358.96&lt;/stddev&gt;&lt;median&gt;11450.00&lt;/median&gt;&lt;percentile&gt;10968.21&lt;/percentile&gt;&lt;max&gt;23500.00&lt;/max&gt;&lt;min&gt;10950.00&lt;/min&gt;&lt;/sell&gt;&lt;/type&gt;&lt;type id="10250"&gt;&lt;buy&gt;&lt;volume&gt;2500&lt;/volume&gt;&lt;avg&gt;590643.60&lt;/avg&gt;&lt;stddev&gt;31747.50&lt;/stddev&gt;&lt;median&gt;575250.00&lt;/median&gt;&lt;percentile&gt;617070.37&lt;/percentile&gt;&lt;max&gt;617200.00&lt;/max&gt;&lt;min&gt;522800.00&lt;/min&gt;&lt;/buy&gt;&lt;sell&gt;&lt;volume&gt;17711&lt;/volume&gt;&lt;avg&gt;733093.15&lt;/avg&gt;&lt;stddev&gt;44930.41&lt;/stddev&gt;&lt;median&gt;704450.00&lt;/median&gt;&lt;percentile&gt;698429.43&lt;/percentile&gt;&lt;max&gt;840900.00&lt;/max&gt;&lt;min&gt;680600.00&lt;/min&gt;&lt;/sell&gt;&lt;/type&gt;&lt;type id="32787"&gt;&lt;buy&gt;&lt;volume&gt;16600&lt;/volume&gt;&lt;avg&gt;28587.83&lt;/avg&gt;&lt;stddev&gt;3954.79&lt;/stddev&gt;&lt;median&gt;28750.00&lt;/median&gt;&lt;percentile&gt;30006.67&lt;/percentile&gt;&lt;max&gt;30140.00&lt;/max&gt;&lt;min&gt;16500.00&lt;/min&gt;&lt;/buy&gt;&lt;sell&gt;&lt;volume&gt;26903&lt;/volume&gt;&lt;avg&gt;40402.71&lt;/avg&gt;&lt;stddev&gt;20314.26&lt;/stddev&gt;&lt;median&gt;38000.00&lt;/median&gt;&lt;percentile&gt;31800.00&lt;/percentile&gt;&lt;max&gt;100000.00&lt;/max&gt;&lt;min&gt;31800.00&lt;/min&gt;&lt;/sell&gt;&lt;/type&gt;&lt;type id="25896"&gt;&lt;buy&gt;&lt;volume&gt;218&lt;/volume&gt;&lt;avg&gt;7429403.67&lt;/avg&gt;&lt;stddev&gt;389327.37&lt;/stddev&gt;&lt;median&gt;7425000.00&lt;/median&gt;&lt;percentile&gt;7849750.00&lt;/percentile&gt;&lt;max&gt;7921000.00&lt;/max&gt;&lt;min&gt;6653000.00&lt;/min&gt;&lt;/buy&gt;&lt;sell&gt;&lt;volume&gt;386&lt;/volume&gt;&lt;avg&gt;8600230.57&lt;/avg&gt;&lt;stddev&gt;683405.03&lt;/stddev&gt;&lt;median&gt;8405000.00&lt;/median&gt;&lt;percentile&gt;8376000.00&lt;/percentile&gt;&lt;max&gt;10700000.00&lt;/max&gt;&lt;min&gt;8376000.00&lt;/min&gt;&lt;/sell&gt;&lt;/type&gt;&lt;type id="25894"&gt;&lt;buy&gt;&lt;volume&gt;162&lt;/volume&gt;&lt;avg&gt;5335185.19&lt;/avg&gt;&lt;stddev&gt;832829.11&lt;/stddev&gt;&lt;median&gt;5441000.00&lt;/median&gt;&lt;percentile&gt;5444000.00&lt;/percentile&gt;&lt;max&gt;5444000.00&lt;/max&gt;&lt;min&gt;4000000.00&lt;/min&gt;&lt;/buy&gt;&lt;sell&gt;&lt;volume&gt;2632&lt;/volume&gt;&lt;avg&gt;6514787.61&lt;/avg&gt;&lt;stddev&gt;386805.12&lt;/stddev&gt;&lt;median&gt;6368000.00&lt;/median&gt;&lt;percentile&gt;5944196.08&lt;/percentile&gt;&lt;max&gt;7214000.00&lt;/max&gt;&lt;min&gt;5934000.00&lt;/min&gt;&lt;/sell&gt;&lt;/type&gt;&lt;type id="31047"&gt;&lt;buy&gt;&lt;volume&gt;214&lt;/volume&gt;&lt;avg&gt;1083394.86&lt;/avg&gt;&lt;stddev&gt;115077.74&lt;/stddev&gt;&lt;median&gt;997650.00&lt;/median&gt;&lt;percentile&gt;1262000.00&lt;/percentile&gt;&lt;max&gt;1262000.00&lt;/max&gt;&lt;min&gt;980600.00&lt;/min&gt;&lt;/buy&gt;&lt;sell&gt;&lt;volume&gt;2003&lt;/volume&gt;&lt;avg&gt;1539621.07&lt;/avg&gt;&lt;stddev&gt;314190.85&lt;/stddev&gt;&lt;median&gt;1460000.00&lt;/median&gt;&lt;percentile&gt;1298000.00&lt;/percentile&gt;&lt;max&gt;2400000.00&lt;/max&gt;&lt;min&gt;1298000.00&lt;/min&gt;&lt;/sell&gt;&lt;/type&gt;&lt;type id="31011"&gt;&lt;buy&gt;&lt;volume&gt;291&lt;/volume&gt;&lt;avg&gt;995603.09&lt;/avg&gt;&lt;stddev&gt;101248.35&lt;/stddev&gt;&lt;median&gt;1002500.00&lt;/median&gt;&lt;percentile&gt;1005000.00&lt;/percentile&gt;&lt;max&gt;1005000.00&lt;/max&gt;&lt;min&gt;788000.00&lt;/min&gt;&lt;/buy&gt;&lt;sell&gt;&lt;volume&gt;1076&lt;/volume&gt;&lt;avg&gt;1267220.26&lt;/avg&gt;&lt;stddev&gt;132556.99&lt;/stddev&gt;&lt;median&gt;1277000.00&lt;/median&gt;&lt;percentile&gt;1065000.00&lt;/percentile&gt;&lt;max&gt;1510000.00&lt;/max&gt;&lt;min&gt;1065000.00&lt;/min&gt;&lt;/sell&gt;&lt;/type&gt;&lt;type id="33894"&gt;&lt;buy&gt;&lt;volume&gt;27&lt;/volume&gt;&lt;avg&gt;1016592.59&lt;/avg&gt;&lt;stddev&gt;65479.16&lt;/stddev&gt;&lt;median&gt;1002000.00&lt;/median&gt;&lt;percentile&gt;1108000.00&lt;/percentile&gt;&lt;max&gt;1108000.00&lt;/max&gt;&lt;min&gt;988400.00&lt;/min&gt;&lt;/buy&gt;&lt;sell&gt;&lt;volume&gt;2041&lt;/volume&gt;&lt;avg&gt;2191673.69&lt;/avg&gt;&lt;stddev&gt;916536.26&lt;/stddev&gt;&lt;median&gt;2387000.00&lt;/median&gt;&lt;percentile&gt;1581000.00&lt;/percentile&gt;&lt;max&gt;4000000.00&lt;/max&gt;&lt;min&gt;1581000.00&lt;/min&gt;&lt;/sell&gt;&lt;/type&gt;&lt;type id="31055"&gt;&lt;buy&gt;&lt;volume&gt;1899&lt;/volume&gt;&lt;avg&gt;995187.78&lt;/avg&gt;&lt;stddev&gt;70107.36&lt;/stddev&gt;&lt;median&gt;998750.00&lt;/median&gt;&lt;percentile&gt;999900.00&lt;/percentile&gt;&lt;max&gt;999900.00&lt;/max&gt;&lt;min&gt;769000.00&lt;/min&gt;&lt;/buy&gt;&lt;sell&gt;&lt;volume&gt;3167&lt;/volume&gt;&lt;avg&gt;1280060.31&lt;/avg&gt;&lt;stddev&gt;160310.53&lt;/stddev&gt;&lt;median&gt;1218000.00&lt;/median&gt;&lt;percentile&gt;1184773.20&lt;/percentile&gt;&lt;max&gt;1688000.00&lt;/max&gt;&lt;min&gt;1184000.00&lt;/min&gt;&lt;/sell&gt;&lt;/type&gt;&lt;type id="31053"&gt;&lt;buy&gt;&lt;volume&gt;185&lt;/volume&gt;&lt;avg&gt;27255891.89&lt;/avg&gt;&lt;stddev&gt;1943897.60&lt;/stddev&gt;&lt;median&gt;26935000.00&lt;/median&gt;&lt;percentile&gt;28120000.00&lt;/percentile&gt;&lt;max&gt;28120000.00&lt;/max&gt;&lt;min&gt;20000000.00&lt;/min&gt;&lt;/buy&gt;&lt;sell&gt;&lt;volume&gt;648&lt;/volume&gt;&lt;avg&gt;32013641.98&lt;/avg&gt;&lt;stddev&gt;2224270.17&lt;/stddev&gt;&lt;median&gt;31175000.00&lt;/median&gt;&lt;percentile&gt;30841063.83&lt;/percentile&gt;&lt;max&gt;42040000.00&lt;/max&gt;&lt;min&gt;30800000.00&lt;/min&gt;&lt;/sell&gt;&lt;/type&gt;&lt;type id="31017"&gt;&lt;buy&gt;&lt;volume&gt;103&lt;/volume&gt;&lt;avg&gt;15097281.55&lt;/avg&gt;&lt;stddev&gt;1823228.41&lt;/stddev&gt;&lt;median&gt;15970000.00&lt;/median&gt;&lt;percentile&gt;16040000.00&lt;/percentile&gt;&lt;max&gt;16040000.00&lt;/max&gt;&lt;min&gt;10440000.00&lt;/min&gt;&lt;/buy&gt;&lt;sell&gt;&lt;volume&gt;369&lt;/volume&gt;&lt;avg&gt;18593062.33&lt;/avg&gt;&lt;stddev&gt;1310526.20&lt;/stddev&gt;&lt;median&gt;18140000.00&lt;/median&gt;&lt;percentile&gt;17790000.00&lt;/percentile&gt;&lt;max&gt;22780000.00&lt;/max&gt;&lt;min&gt;17790000.00&lt;/min&gt;&lt;/sell&gt;&lt;/type&gt;&lt;type id="31059"&gt;&lt;buy&gt;&lt;volume&gt;279&lt;/volume&gt;&lt;avg&gt;14666057.35&lt;/avg&gt;&lt;stddev&gt;2358468.00&lt;/stddev&gt;&lt;median&gt;15930000.00&lt;/median&gt;&lt;percentile&gt;17050000.00&lt;/percentile&gt;&lt;max&gt;17050000.00&lt;/max&gt;&lt;min&gt;10790000.00&lt;/min&gt;&lt;/buy&gt;&lt;sell&gt;&lt;volume&gt;2067&lt;/volume&gt;&lt;avg&gt;18813986.45&lt;/avg&gt;&lt;stddev&gt;1021126.55&lt;/stddev&gt;&lt;median&gt;18395000.00&lt;/median&gt;&lt;percentile&gt;17841089.11&lt;/percentile&gt;&lt;max&gt;21990000.00&lt;/max&gt;&lt;min&gt;17790000.00&lt;/min&gt;&lt;/sell&gt;&lt;/type&gt;&lt;type id="33890"&gt;&lt;buy&gt;&lt;volume&gt;1087&lt;/volume&gt;&lt;avg&gt;149722.82&lt;/avg&gt;&lt;stddev&gt;25439.68&lt;/stddev&gt;&lt;median&gt;151600.00&lt;/median&gt;&lt;percentile&gt;151800.00&lt;/percentile&gt;&lt;max&gt;151800.00&lt;/max&gt;&lt;min&gt;75060.00&lt;/min&gt;&lt;/buy&gt;&lt;sell&gt;&lt;volume&gt;8192&lt;/volume&gt;&lt;avg&gt;365668.55&lt;/avg&gt;&lt;stddev&gt;41246.76&lt;/stddev&gt;&lt;median&gt;362000.00&lt;/median&gt;&lt;percentile&gt;336700.00&lt;/percentile&gt;&lt;max&gt;488700.00&lt;/max&gt;&lt;min&gt;336700.00&lt;/min&gt;&lt;/sell&gt;&lt;/type&gt;&lt;type id="31051"&gt;&lt;buy&gt;&lt;volume&gt;8&lt;/volume&gt;&lt;avg&gt;6015375.00&lt;/avg&gt;&lt;stddev&gt;28991.38&lt;/stddev&gt;&lt;median&gt;6000000.00&lt;/median&gt;&lt;percentile&gt;6041000.00&lt;/percentile&gt;&lt;max&gt;6041000.00&lt;/max&gt;&lt;min&gt;6000000.00&lt;/min&gt;&lt;/buy&gt;&lt;sell&gt;&lt;volume&gt;648&lt;/volume&gt;&lt;avg&gt;9494195.99&lt;/avg&gt;&lt;stddev&gt;2217845.55&lt;/stddev&gt;&lt;median&gt;9541500.00&lt;/median&gt;&lt;percentile&gt;6606047.62&lt;/percentile&gt;&lt;max&gt;14980000.00&lt;/max&gt;&lt;min&gt;6605000.00&lt;/min&gt;&lt;/sell&gt;&lt;/type&gt;&lt;type id="33892"&gt;&lt;buy&gt;&lt;volume&gt;1120&lt;/volume&gt;&lt;avg&gt;1784264.29&lt;/avg&gt;&lt;stddev&gt;49769.70&lt;/stddev&gt;&lt;median&gt;1787000.00&lt;/median&gt;&lt;percentile&gt;1807125.00&lt;/percentile&gt;&lt;max&gt;1808000.00&lt;/max&gt;&lt;min&gt;1618000.00&lt;/min&gt;&lt;/buy&gt;&lt;sell&gt;&lt;volume&gt;1679&lt;/volume&gt;&lt;avg&gt;2700784.40&lt;/avg&gt;&lt;stddev&gt;972439.82&lt;/stddev&gt;&lt;median&gt;2473500.00&lt;/median&gt;&lt;percentile&gt;2124481.48&lt;/percentile&gt;&lt;max&gt;4379000.00&lt;/max&gt;&lt;min&gt;2123000.00&lt;/min&gt;&lt;/sell&gt;&lt;/type&gt;&lt;type id="31057"&gt;&lt;buy&gt;&lt;volume&gt;174&lt;/volume&gt;&lt;avg&gt;5407494.25&lt;/avg&gt;&lt;stddev&gt;1233415.65&lt;/stddev&gt;&lt;median&gt;6461000.00&lt;/median&gt;&lt;percentile&gt;6499000.00&lt;/percentile&gt;&lt;max&gt;6499000.00&lt;/max&gt;&lt;min&gt;3938000.00&lt;/min&gt;&lt;/buy&gt;&lt;sell&gt;&lt;volume&gt;2100&lt;/volume&gt;&lt;avg&gt;7410848.57&lt;/avg&gt;&lt;stddev&gt;519523.27&lt;/stddev&gt;&lt;median&gt;7179500.00&lt;/median&gt;&lt;percentile&gt;7039081.27&lt;/percentile&gt;&lt;max&gt;9999000.00&lt;/max&gt;&lt;min&gt;7037000.00&lt;/min&gt;&lt;/sell&gt;&lt;/type&gt;&lt;type id="31119"&gt;&lt;buy&gt;&lt;volume&gt;276&lt;/volume&gt;&lt;avg&gt;43171.74&lt;/avg&gt;&lt;stddev&gt;72650.17&lt;/stddev&gt;&lt;median&gt;23850.00&lt;/median&gt;&lt;percentile&gt;183350.00&lt;/percentile&gt;&lt;max&gt;183800.00&lt;/max&gt;&lt;min&gt;22000.00&lt;/min&gt;&lt;/buy&gt;&lt;sell&gt;&lt;volume&gt;8652&lt;/volume&gt;&lt;avg&gt;220316.25&lt;/avg&gt;&lt;stddev&gt;42882.77&lt;/stddev&gt;&lt;median&gt;205000.00&lt;/median&gt;&lt;percentile&gt;202073.69&lt;/percentile&gt;&lt;max&gt;400000.00&lt;/max&gt;&lt;min&gt;202000.00&lt;/min&gt;&lt;/sell&gt;&lt;/type&gt;&lt;type id="31161"&gt;&lt;buy&gt;&lt;volume&gt;1077&lt;/volume&gt;&lt;avg&gt;592761.56&lt;/avg&gt;&lt;stddev&gt;7559.80&lt;/stddev&gt;&lt;median&gt;594200.00&lt;/median&gt;&lt;percentile&gt;595309.09&lt;/percentile&gt;&lt;max&gt;595400.00&lt;/max&gt;&lt;min&gt;574000.00&lt;/min&gt;&lt;/buy&gt;&lt;sell&gt;&lt;volume&gt;3177&lt;/volume&gt;&lt;avg&gt;854564.78&lt;/avg&gt;&lt;stddev&gt;94583.06&lt;/stddev&gt;&lt;median&gt;920000.00&lt;/median&gt;&lt;percentile&gt;699800.00&lt;/percentile&gt;&lt;max&gt;964900.00&lt;/max&gt;&lt;min&gt;699800.00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>
        <v>51.8</v>
      </c>
      <c r="D46" s="39">
        <f t="shared" si="0"/>
        <v>56.3551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>
        <f t="shared" si="4"/>
        <v>3311.4009999999998</v>
      </c>
      <c r="J46" s="20">
        <f t="shared" si="5"/>
        <v>7700</v>
      </c>
      <c r="K46" s="19">
        <f t="shared" si="2"/>
        <v>19.25</v>
      </c>
      <c r="L46" s="8">
        <f t="shared" si="8"/>
        <v>2.2024528392283926</v>
      </c>
      <c r="M46" s="9">
        <f t="shared" si="9"/>
        <v>433934.27</v>
      </c>
      <c r="N46" s="10">
        <f t="shared" si="6"/>
        <v>521785.49500000005</v>
      </c>
      <c r="O46" s="11">
        <f t="shared" si="7"/>
        <v>27105.74</v>
      </c>
      <c r="P46" s="23">
        <f t="shared" si="3"/>
        <v>955719.76500000013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1048&lt;/volume&gt;&lt;avg&gt;425637.79&lt;/avg&gt;&lt;stddev&gt;8968.26&lt;/stddev&gt;&lt;median&gt;425800.00&lt;/median&gt;&lt;percentile&gt;426200.00&lt;/percentile&gt;&lt;max&gt;426200.00&lt;/max&gt;&lt;min&gt;403700.00&lt;/min&gt;&lt;/buy&gt;&lt;sell&gt;&lt;volume&gt;1420&lt;/volume&gt;&lt;avg&gt;697785.49&lt;/avg&gt;&lt;stddev&gt;49237.31&lt;/stddev&gt;&lt;median&gt;716000.00&lt;/median&gt;&lt;percentile&gt;655200.00&lt;/percentile&gt;&lt;max&gt;850000.00&lt;/max&gt;&lt;min&gt;655200.00&lt;/min&gt;&lt;/sell&gt;&lt;/type&gt;&lt;type id="31179"&gt;&lt;buy&gt;&lt;volume&gt;365&lt;/volume&gt;&lt;avg&gt;136349.32&lt;/avg&gt;&lt;stddev&gt;2767.50&lt;/stddev&gt;&lt;median&gt;137800.00&lt;/median&gt;&lt;percentile&gt;137909.09&lt;/percentile&gt;&lt;max&gt;138000.00&lt;/max&gt;&lt;min&gt;130500.00&lt;/min&gt;&lt;/buy&gt;&lt;sell&gt;&lt;volume&gt;4478&lt;/volume&gt;&lt;avg&gt;254264.07&lt;/avg&gt;&lt;stddev&gt;21867.61&lt;/stddev&gt;&lt;median&gt;253100.00&lt;/median&gt;&lt;percentile&gt;228279.60&lt;/percentile&gt;&lt;max&gt;299500.00&lt;/max&gt;&lt;min&gt;228100.00&lt;/min&gt;&lt;/sell&gt;&lt;/type&gt;&lt;type id="31125"&gt;&lt;buy&gt;&lt;volume&gt;63&lt;/volume&gt;&lt;avg&gt;6657555.56&lt;/avg&gt;&lt;stddev&gt;1492410.09&lt;/stddev&gt;&lt;median&gt;7293500.00&lt;/median&gt;&lt;percentile&gt;7683000.00&lt;/percentile&gt;&lt;max&gt;7683000.00&lt;/max&gt;&lt;min&gt;4536000.00&lt;/min&gt;&lt;/buy&gt;&lt;sell&gt;&lt;volume&gt;2212&lt;/volume&gt;&lt;avg&gt;8586910.04&lt;/avg&gt;&lt;stddev&gt;621463.70&lt;/stddev&gt;&lt;median&gt;8300000.00&lt;/median&gt;&lt;percentile&gt;7972335.66&lt;/percentile&gt;&lt;max&gt;9933000.00&lt;/max&gt;&lt;min&gt;7970000.00&lt;/min&gt;&lt;/sell&gt;&lt;/type&gt;&lt;type id="31167"&gt;&lt;buy&gt;&lt;volume&gt;882&lt;/volume&gt;&lt;avg&gt;4852756.24&lt;/avg&gt;&lt;stddev&gt;919444.77&lt;/stddev&gt;&lt;median&gt;5661000.00&lt;/median&gt;&lt;percentile&gt;5677400.00&lt;/percentile&gt;&lt;max&gt;5678000.00&lt;/max&gt;&lt;min&gt;3021000.00&lt;/min&gt;&lt;/buy&gt;&lt;sell&gt;&lt;volume&gt;1010&lt;/volume&gt;&lt;avg&gt;7630931.68&lt;/avg&gt;&lt;stddev&gt;996835.40&lt;/stddev&gt;&lt;median&gt;6944000.00&lt;/median&gt;&lt;percentile&gt;6802592.59&lt;/percentile&gt;&lt;max&gt;11000000.00&lt;/max&gt;&lt;min&gt;6800000.00&lt;/min&gt;&lt;/sell&gt;&lt;/type&gt;&lt;type id="31185"&gt;&lt;buy&gt;&lt;volume&gt;204&lt;/volume&gt;&lt;avg&gt;8309122.55&lt;/avg&gt;&lt;stddev&gt;639738.47&lt;/stddev&gt;&lt;median&gt;8540000.00&lt;/median&gt;&lt;percentile&gt;8594571.43&lt;/percentile&gt;&lt;max&gt;8596000.00&lt;/max&gt;&lt;min&gt;6547000.00&lt;/min&gt;&lt;/buy&gt;&lt;sell&gt;&lt;volume&gt;1423&lt;/volume&gt;&lt;avg&gt;9866496.13&lt;/avg&gt;&lt;stddev&gt;1093153.52&lt;/stddev&gt;&lt;median&gt;9489000.00&lt;/median&gt;&lt;percentile&gt;9440940.17&lt;/percentile&gt;&lt;max&gt;15000000.00&lt;/max&gt;&lt;min&gt;9440000.00&lt;/min&gt;&lt;/sell&gt;&lt;/type&gt;&lt;type id="31173"&gt;&lt;buy&gt;&lt;volume&gt;185&lt;/volume&gt;&lt;avg&gt;5678567.57&lt;/avg&gt;&lt;stddev&gt;405838.17&lt;/stddev&gt;&lt;median&gt;6000000.00&lt;/median&gt;&lt;percentile&gt;6023000.00&lt;/percentile&gt;&lt;max&gt;6023000.00&lt;/max&gt;&lt;min&gt;5137000.00&lt;/min&gt;&lt;/buy&gt;&lt;sell&gt;&lt;volume&gt;658&lt;/volume&gt;&lt;avg&gt;7069943.77&lt;/avg&gt;&lt;stddev&gt;363887.88&lt;/stddev&gt;&lt;median&gt;6949000.00&lt;/median&gt;&lt;percentile&gt;6624925.37&lt;/percentile&gt;&lt;max&gt;7624000.00&lt;/max&gt;&lt;min&gt;6624000.00&lt;/min&gt;&lt;/sell&gt;&lt;/type&gt;&lt;type id="31117"&gt;&lt;buy&gt;&lt;volume&gt;1370&lt;/volume&gt;&lt;avg&gt;42166.02&lt;/avg&gt;&lt;stddev&gt;35.12&lt;/stddev&gt;&lt;median&gt;42150.00&lt;/median&gt;&lt;percentile&gt;42220.00&lt;/percentile&gt;&lt;max&gt;42220.00&lt;/max&gt;&lt;min&gt;42150.00&lt;/min&gt;&lt;/buy&gt;&lt;sell&gt;&lt;volume&gt;17782&lt;/volume&gt;&lt;avg&gt;65614.51&lt;/avg&gt;&lt;stddev&gt;10425.10&lt;/stddev&gt;&lt;median&gt;69445.00&lt;/median&gt;&lt;percentile&gt;46452.31&lt;/percentile&gt;&lt;max&gt;73990.00&lt;/max&gt;&lt;min&gt;46000.00&lt;/min&gt;&lt;/sell&gt;&lt;/type&gt;&lt;type id="31153"&gt;&lt;buy&gt;&lt;volume&gt;1963&lt;/volume&gt;&lt;avg&gt;93894.55&lt;/avg&gt;&lt;stddev&gt;17841.18&lt;/stddev&gt;&lt;median&gt;101100.00&lt;/median&gt;&lt;percentile&gt;101300.00&lt;/percentile&gt;&lt;max&gt;101300.00&lt;/max&gt;&lt;min&gt;50000.00&lt;/min&gt;&lt;/buy&gt;&lt;sell&gt;&lt;volume&gt;6453&lt;/volume&gt;&lt;avg&gt;150344.30&lt;/avg&gt;&lt;stddev&gt;16034.81&lt;/stddev&gt;&lt;median&gt;149500.00&lt;/median&gt;&lt;percentile&gt;146700.00&lt;/percentile&gt;&lt;max&gt;222000.00&lt;/max&gt;&lt;min&gt;146700.00&lt;/min&gt;&lt;/sell&gt;&lt;/type&gt;&lt;type id="31177"&gt;&lt;buy&gt;&lt;volume&gt;4808&lt;/volume&gt;&lt;avg&gt;35546.20&lt;/avg&gt;&lt;stddev&gt;16073.20&lt;/stddev&gt;&lt;median&gt;28215.00&lt;/median&gt;&lt;percentile&gt;60670.00&lt;/percentile&gt;&lt;max&gt;60670.00&lt;/max&gt;&lt;min&gt;26130.00&lt;/min&gt;&lt;/buy&gt;&lt;sell&gt;&lt;volume&gt;4573&lt;/volume&gt;&lt;avg&gt;239717.63&lt;/avg&gt;&lt;stddev&gt;13509.05&lt;/stddev&gt;&lt;median&gt;241500.00&lt;/median&gt;&lt;percentile&gt;227900.00&lt;/percentile&gt;&lt;max&gt;285000.00&lt;/max&gt;&lt;min&gt;227900.00&lt;/min&gt;&lt;/sell&gt;&lt;/type&gt;&lt;type id="31165"&gt;&lt;buy&gt;&lt;volume&gt;846&lt;/volume&gt;&lt;avg&gt;1459068.56&lt;/avg&gt;&lt;stddev&gt;312947.34&lt;/stddev&gt;&lt;median&gt;1588000.00&lt;/median&gt;&lt;percentile&gt;1609000.00&lt;/percentile&gt;&lt;max&gt;1609000.00&lt;/max&gt;&lt;min&gt;500200.00&lt;/min&gt;&lt;/buy&gt;&lt;sell&gt;&lt;volume&gt;1138&lt;/volume&gt;&lt;avg&gt;2151228.47&lt;/avg&gt;&lt;stddev&gt;464341.46&lt;/stddev&gt;&lt;median&gt;1866000.00&lt;/median&gt;&lt;percentile&gt;1841666.67&lt;/percentile&gt;&lt;max&gt;3000000.00&lt;/max&gt;&lt;min&gt;1841000.00&lt;/min&gt;&lt;/sell&gt;&lt;/type&gt;&lt;type id="31171"&gt;&lt;buy&gt;&lt;volume&gt;1058&lt;/volume&gt;&lt;avg&gt;1045104.91&lt;/avg&gt;&lt;stddev&gt;199990.46&lt;/stddev&gt;&lt;median&gt;901700.00&lt;/median&gt;&lt;percentile&gt;1473666.67&lt;/percentile&gt;&lt;max&gt;1474000.00&lt;/max&gt;&lt;min&gt;901700.00&lt;/min&gt;&lt;/buy&gt;&lt;sell&gt;&lt;volume&gt;1011&lt;/volume&gt;&lt;avg&gt;1793766.57&lt;/avg&gt;&lt;stddev&gt;172110.57&lt;/stddev&gt;&lt;median&gt;1755000.00&lt;/median&gt;&lt;percentile&gt;1675000.00&lt;/percentile&gt;&lt;max&gt;2464000.00&lt;/max&gt;&lt;min&gt;1675000.00&lt;/min&gt;&lt;/sell&gt;&lt;/type&gt;&lt;type id="31183"&gt;&lt;buy&gt;&lt;volume&gt;439&lt;/volume&gt;&lt;avg&gt;1825772.21&lt;/avg&gt;&lt;stddev&gt;20488.21&lt;/stddev&gt;&lt;median&gt;1815500.00&lt;/median&gt;&lt;percentile&gt;1837055.56&lt;/percentile&gt;&lt;max&gt;1838000.00&lt;/max&gt;&lt;min&gt;1795000.00&lt;/min&gt;&lt;/buy&gt;&lt;sell&gt;&lt;volume&gt;989&lt;/volume&gt;&lt;avg&gt;2151407.48&lt;/avg&gt;&lt;stddev&gt;205141.68&lt;/stddev&gt;&lt;median&gt;2140000.00&lt;/median&gt;&lt;percentile&gt;1978000.00&lt;/percentile&gt;&lt;max&gt;2660000.00&lt;/max&gt;&lt;min&gt;1978000.00&lt;/min&gt;&lt;/sell&gt;&lt;/type&gt;&lt;type id="32043"&gt;&lt;buy&gt;&lt;volume&gt;245&lt;/volume&gt;&lt;avg&gt;372291.84&lt;/avg&gt;&lt;stddev&gt;129919.91&lt;/stddev&gt;&lt;median&gt;492400.00&lt;/median&gt;&lt;percentile&gt;493420.00&lt;/percentile&gt;&lt;max&gt;493900.00&lt;/max&gt;&lt;min&gt;200000.00&lt;/min&gt;&lt;/buy&gt;&lt;sell&gt;&lt;volume&gt;1442&lt;/volume&gt;&lt;avg&gt;944176.07&lt;/avg&gt;&lt;stddev&gt;76513.13&lt;/stddev&gt;&lt;median&gt;954000.00&lt;/median&gt;&lt;percentile&gt;894400.00&lt;/percentile&gt;&lt;max&gt;1231000.00&lt;/max&gt;&lt;min&gt;894400.00&lt;/min&gt;&lt;/sell&gt;&lt;/type&gt;&lt;type id="25948"&gt;&lt;buy&gt;&lt;volume&gt;795&lt;/volume&gt;&lt;avg&gt;2055747.17&lt;/avg&gt;&lt;stddev&gt;18347.52&lt;/stddev&gt;&lt;median&gt;2058000.00&lt;/median&gt;&lt;percentile&gt;2070000.00&lt;/percentile&gt;&lt;max&gt;2070000.00&lt;/max&gt;&lt;min&gt;1991000.00&lt;/min&gt;&lt;/buy&gt;&lt;sell&gt;&lt;volume&gt;1374&lt;/volume&gt;&lt;avg&gt;2801775.84&lt;/avg&gt;&lt;stddev&gt;206901.22&lt;/stddev&gt;&lt;median&gt;2678500.00&lt;/median&gt;&lt;percentile&gt;2644000.00&lt;/percentile&gt;&lt;max&gt;3500000.00&lt;/max&gt;&lt;min&gt;2644000.00&lt;/min&gt;&lt;/sell&gt;&lt;/type&gt;&lt;type id="26374"&gt;&lt;buy&gt;&lt;volume&gt;153&lt;/volume&gt;&lt;avg&gt;32377516.34&lt;/avg&gt;&lt;stddev&gt;2935603.90&lt;/stddev&gt;&lt;median&gt;33210000.00&lt;/median&gt;&lt;percentile&gt;34775000.00&lt;/percentile&gt;&lt;max&gt;34790000.00&lt;/max&gt;&lt;min&gt;24230000.00&lt;/min&gt;&lt;/buy&gt;&lt;sell&gt;&lt;volume&gt;487&lt;/volume&gt;&lt;avg&gt;41790759.75&lt;/avg&gt;&lt;stddev&gt;381618.67&lt;/stddev&gt;&lt;median&gt;41660000.00&lt;/median&gt;&lt;percentile&gt;41527333.33&lt;/percentile&gt;&lt;max&gt;42990000.00&lt;/max&gt;&lt;min&gt;41520000.00&lt;/min&gt;&lt;/sell&gt;&lt;/type&gt;&lt;type id="31360"&gt;&lt;buy&gt;&lt;volume&gt;617&lt;/volume&gt;&lt;avg&gt;2325875.20&lt;/avg&gt;&lt;stddev&gt;79727.38&lt;/stddev&gt;&lt;median&gt;2303500.00&lt;/median&gt;&lt;percentile&gt;2450500.00&lt;/percentile&gt;&lt;max&gt;2451000.00&lt;/max&gt;&lt;min&gt;2229000.00&lt;/min&gt;&lt;/buy&gt;&lt;sell&gt;&lt;volume&gt;2362&lt;/volume&gt;&lt;avg&gt;3042885.27&lt;/avg&gt;&lt;stddev&gt;442439.16&lt;/stddev&gt;&lt;median&gt;2947000.00&lt;/median&gt;&lt;percentile&gt;2581470.90&lt;/percentile&gt;&lt;max&gt;4899000.00&lt;/max&gt;&lt;min&gt;2580000.00&lt;/min&gt;&lt;/sell&gt;&lt;/type&gt;&lt;type id="31372"&gt;&lt;buy&gt;&lt;volume&gt;445&lt;/volume&gt;&lt;avg&gt;411486.52&lt;/avg&gt;&lt;stddev&gt;2673.39&lt;/stddev&gt;&lt;median&gt;411200.00&lt;/median&gt;&lt;percentile&gt;414300.00&lt;/percentile&gt;&lt;max&gt;414300.00&lt;/max&gt;&lt;min&gt;408300.00&lt;/min&gt;&lt;/buy&gt;&lt;sell&gt;&lt;volume&gt;3469&lt;/volume&gt;&lt;avg&gt;600210.58&lt;/avg&gt;&lt;stddev&gt;112846.07&lt;/stddev&gt;&lt;median&gt;494500.00&lt;/median&gt;&lt;percentile&gt;449175.00&lt;/percentile&gt;&lt;max&gt;1000000.00&lt;/max&gt;&lt;min&gt;449100.00&lt;/min&gt;&lt;/sell&gt;&lt;/type&gt;&lt;type id="43896"&gt;&lt;buy&gt;&lt;volume&gt;239&lt;/volume&gt;&lt;avg&gt;371481.17&lt;/avg&gt;&lt;stddev&gt;35147.82&lt;/stddev&gt;&lt;median&gt;402600.00&lt;/median&gt;&lt;percentile&gt;405000.00&lt;/percentile&gt;&lt;max&gt;405000.00&lt;/max&gt;&lt;min&gt;309400.00&lt;/min&gt;&lt;/buy&gt;&lt;sell&gt;&lt;volume&gt;2766&lt;/volume&gt;&lt;avg&gt;731885.36&lt;/avg&gt;&lt;stddev&gt;202410.08&lt;/stddev&gt;&lt;median&gt;756150.00&lt;/median&gt;&lt;percentile&gt;499600.00&lt;/percentile&gt;&lt;max&gt;997900.00&lt;/max&gt;&lt;min&gt;499600.00&lt;/min&gt;&lt;/sell&gt;&lt;/type&gt;&lt;type id="4395"&gt;&lt;buy&gt;&lt;volume&gt;528&lt;/volume&gt;&lt;avg&gt;135441.48&lt;/avg&gt;&lt;stddev&gt;28931.13&lt;/stddev&gt;&lt;median&gt;150300.00&lt;/median&gt;&lt;percentile&gt;158353.16&lt;/percentile&gt;&lt;max&gt;160100.00&lt;/max&gt;&lt;min&gt;93130.00&lt;/min&gt;&lt;/buy&gt;&lt;sell&gt;&lt;volume&gt;800&lt;/volume&gt;&lt;avg&gt;249962.50&lt;/avg&gt;&lt;stddev&gt;70.71&lt;/stddev&gt;&lt;median&gt;250000.00&lt;/median&gt;&lt;percentile&gt;249900.00&lt;/percentile&gt;&lt;max&gt;250000.00&lt;/max&gt;&lt;min&gt;249900.00&lt;/min&gt;&lt;/sell&gt;&lt;/type&gt;&lt;type id="31408"&gt;&lt;buy&gt;&lt;volume&gt;60&lt;/volume&gt;&lt;avg&gt;722100.00&lt;/avg&gt;&lt;stddev&gt;848.53&lt;/stddev&gt;&lt;median&gt;721700.00&lt;/median&gt;&lt;percentile&gt;722300.00&lt;/percentile&gt;&lt;max&gt;722300.00&lt;/max&gt;&lt;min&gt;721100.00&lt;/min&gt;&lt;/buy&gt;&lt;sell&gt;&lt;volume&gt;655&lt;/volume&gt;&lt;avg&gt;1178222.90&lt;/avg&gt;&lt;stddev&gt;140839.88&lt;/stddev&gt;&lt;median&gt;1090000.00&lt;/median&gt;&lt;percentile&gt;1072000.00&lt;/percentile&gt;&lt;max&gt;1500000.00&lt;/max&gt;&lt;min&gt;1072000.00&lt;/min&gt;&lt;/sell&gt;&lt;/type&gt;&lt;type id="31366"&gt;&lt;buy&gt;&lt;volume&gt;20&lt;/volume&gt;&lt;avg&gt;18312000.00&lt;/avg&gt;&lt;stddev&gt;1258650.07&lt;/stddev&gt;&lt;median&gt;17600000.00&lt;/median&gt;&lt;percentile&gt;18490000.00&lt;/percentile&gt;&lt;max&gt;18490000.00&lt;/max&gt;&lt;min&gt;16710000.00&lt;/min&gt;&lt;/buy&gt;&lt;sell&gt;&lt;volume&gt;2661&lt;/volume&gt;&lt;avg&gt;23738128.52&lt;/avg&gt;&lt;stddev&gt;3853727.78&lt;/stddev&gt;&lt;median&gt;20410000.00&lt;/median&gt;&lt;percentile&gt;19257473.12&lt;/percentile&gt;&lt;max&gt;30010000.00&lt;/max&gt;&lt;min&gt;19240000.00&lt;/min&gt;&lt;/sell&gt;&lt;/type&gt;&lt;type id="31378"&gt;&lt;buy&gt;&lt;volume&gt;351&lt;/volume&gt;&lt;avg&gt;6110769.23&lt;/avg&gt;&lt;stddev&gt;1533397.64&lt;/stddev&gt;&lt;median&gt;6604500.00&lt;/median&gt;&lt;percentile&gt;7512000.00&lt;/percentile&gt;&lt;max&gt;7512000.00&lt;/max&gt;&lt;min&gt;3458000.00&lt;/min&gt;&lt;/buy&gt;&lt;sell&gt;&lt;volume&gt;1438&lt;/volume&gt;&lt;avg&gt;8527978.44&lt;/avg&gt;&lt;stddev&gt;1506306.88&lt;/stddev&gt;&lt;median&gt;8083500.00&lt;/median&gt;&lt;percentile&gt;7995531.25&lt;/percentile&gt;&lt;max&gt;16000000.00&lt;/max&gt;&lt;min&gt;7994000.00&lt;/min&gt;&lt;/sell&gt;&lt;/type&gt;&lt;type id="4399"&gt;&lt;buy&gt;&lt;volume&gt;326&lt;/volume&gt;&lt;avg&gt;3589972.39&lt;/avg&gt;&lt;stddev&gt;349982.11&lt;/stddev&gt;&lt;median&gt;3664000.00&lt;/median&gt;&lt;percentile&gt;3763000.00&lt;/percentile&gt;&lt;max&gt;3763000.00&lt;/max&gt;&lt;min&gt;2530000.00&lt;/min&gt;&lt;/buy&gt;&lt;sell&gt;&lt;volume&gt;863&lt;/volume&gt;&lt;avg&gt;5655553.88&lt;/avg&gt;&lt;stddev&gt;1226665.99&lt;/stddev&gt;&lt;median&gt;5346500.00&lt;/median&gt;&lt;percentile&gt;5291307.69&lt;/percentile&gt;&lt;max&gt;10000000.00&lt;/max&gt;&lt;min&gt;5199000.00&lt;/min&gt;&lt;/sell&gt;&lt;/type&gt;&lt;type id="31358"&gt;&lt;buy&gt;&lt;volume&gt;527&lt;/volume&gt;&lt;avg&gt;383113.85&lt;/avg&gt;&lt;stddev&gt;54626.21&lt;/stddev&gt;&lt;median&gt;405900.00&lt;/median&gt;&lt;percentile&gt;418246.15&lt;/percentile&gt;&lt;max&gt;418400.00&lt;/max&gt;&lt;min&gt;260000.00&lt;/min&gt;&lt;/buy&gt;&lt;sell&gt;&lt;volume&gt;4143&lt;/volume&gt;&lt;avg&gt;559874.08&lt;/avg&gt;&lt;stddev&gt;45639.11&lt;/stddev&gt;&lt;median&gt;545000.00&lt;/median&gt;&lt;percentile&gt;508735.90&lt;/percentile&gt;&lt;max&gt;660400.00&lt;/max&gt;&lt;min&gt;508700.00&lt;/min&gt;&lt;/sell&gt;&lt;/type&gt;&lt;type id="26929"&gt;&lt;buy&gt;&lt;volume&gt;70&lt;/volume&gt;&lt;avg&gt;41767.14&lt;/avg&gt;&lt;stddev&gt;8025.66&lt;/stddev&gt;&lt;median&gt;39335.00&lt;/median&gt;&lt;percentile&gt;45010.00&lt;/percentile&gt;&lt;max&gt;45010.00&lt;/max&gt;&lt;min&gt;33660.00&lt;/min&gt;&lt;/buy&gt;&lt;sell&gt;&lt;volume&gt;17545&lt;/volume&gt;&lt;avg&gt;67907.38&lt;/avg&gt;&lt;stddev&gt;39316.91&lt;/stddev&gt;&lt;median&gt;59685.00&lt;/median&gt;&lt;percentile&gt;50950.01&lt;/percentile&gt;&lt;max&gt;225000.00&lt;/max&gt;&lt;min&gt;50920.00&lt;/min&gt;&lt;/sell&gt;&lt;/type&gt;&lt;type id="31364"&gt;&lt;buy&gt;&lt;volume&gt;315&lt;/volume&gt;&lt;avg&gt;2671095.24&lt;/avg&gt;&lt;stddev&gt;355155.10&lt;/stddev&gt;&lt;median&gt;2800000.00&lt;/median&gt;&lt;percentile&gt;2815000.00&lt;/percentile&gt;&lt;max&gt;2815000.00&lt;/max&gt;&lt;min&gt;2000000.00&lt;/min&gt;&lt;/buy&gt;&lt;sell&gt;&lt;volume&gt;348&lt;/volume&gt;&lt;avg&gt;3256488.51&lt;/avg&gt;&lt;stddev&gt;421295.10&lt;/stddev&gt;&lt;median&gt;3191000.00&lt;/median&gt;&lt;percentile&gt;3132000.00&lt;/percentile&gt;&lt;max&gt;5000000.00&lt;/max&gt;&lt;min&gt;3132000.00&lt;/min&gt;&lt;/sell&gt;&lt;/type&gt;&lt;type id="31600"&gt;&lt;buy&gt;&lt;volume&gt;305&lt;/volume&gt;&lt;avg&gt;379654.10&lt;/avg&gt;&lt;stddev&gt;115643.30&lt;/stddev&gt;&lt;median&gt;432100.00&lt;/median&gt;&lt;percentile&gt;432300.00&lt;/percentile&gt;&lt;max&gt;432300.00&lt;/max&gt;&lt;min&gt;231900.00&lt;/min&gt;&lt;/buy&gt;&lt;sell&gt;&lt;volume&gt;1097&lt;/volume&gt;&lt;avg&gt;724290.98&lt;/avg&gt;&lt;stddev&gt;65603.45&lt;/stddev&gt;&lt;median&gt;724900.00&lt;/median&gt;&lt;percentile&gt;634900.00&lt;/percentile&gt;&lt;max&gt;846500.00&lt;/max&gt;&lt;min&gt;634900.00&lt;/min&gt;&lt;/sell&gt;&lt;/type&gt;&lt;type id="31610"&gt;&lt;buy&gt;&lt;volume&gt;300&lt;/volume&gt;&lt;avg&gt;100166.67&lt;/avg&gt;&lt;stddev&gt;707.11&lt;/stddev&gt;&lt;median&gt;100000.00&lt;/median&gt;&lt;percentile&gt;101000.00&lt;/percentile&gt;&lt;max&gt;101000.00&lt;/max&gt;&lt;min&gt;100000.00&lt;/min&gt;&lt;/buy&gt;&lt;sell&gt;&lt;volume&gt;1301&lt;/volume&gt;&lt;avg&gt;907202.69&lt;/avg&gt;&lt;stddev&gt;316212.56&lt;/stddev&gt;&lt;median&gt;986900.00&lt;/median&gt;&lt;percentile&gt;639900.00&lt;/percentile&gt;&lt;max&gt;1873000.00&lt;/max&gt;&lt;min&gt;639900.00&lt;/min&gt;&lt;/sell&gt;&lt;/type&gt;&lt;type id="32819"&gt;&lt;buy&gt;&lt;volume&gt;1014&lt;/volume&gt;&lt;avg&gt;219205.62&lt;/avg&gt;&lt;stddev&gt;35464.06&lt;/stddev&gt;&lt;median&gt;230400.00&lt;/median&gt;&lt;percentile&gt;230908.26&lt;/percentile&gt;&lt;max&gt;231000.00&lt;/max&gt;&lt;min&gt;150900.00&lt;/min&gt;&lt;/buy&gt;&lt;sell&gt;&lt;volume&gt;556&lt;/volume&gt;&lt;avg&gt;540890.11&lt;/avg&gt;&lt;stddev&gt;1208.49&lt;/stddev&gt;&lt;median&gt;540850.00&lt;/median&gt;&lt;percentile&gt;539800.00&lt;/percentile&gt;&lt;max&gt;543800.00&lt;/max&gt;&lt;min&gt;539800.00&lt;/min&gt;&lt;/sell&gt;&lt;/type&gt;&lt;type id="32817"&gt;&lt;buy&gt;&lt;volume&gt;405&lt;/volume&gt;&lt;avg&gt;207312.35&lt;/avg&gt;&lt;stddev&gt;86602.60&lt;/stddev&gt;&lt;median&gt;175800.00&lt;/median&gt;&lt;percentile&gt;325900.00&lt;/percentile&gt;&lt;max&gt;325900.00&lt;/max&gt;&lt;min&gt;175800.00&lt;/min&gt;&lt;/buy&gt;&lt;sell&gt;&lt;volume&gt;201&lt;/volume&gt;&lt;avg&gt;463916.92&lt;/avg&gt;&lt;stddev&gt;556.35&lt;/stddev&gt;&lt;median&gt;463600.00&lt;/median&gt;&lt;percentile&gt;463400.00&lt;/percentile&gt;&lt;max&gt;464800.00&lt;/max&gt;&lt;min&gt;463400.00&lt;/min&gt;&lt;/sell&gt;&lt;/type&gt;&lt;type id="31085"&gt;&lt;buy&gt;&lt;volume&gt;50&lt;/volume&gt;&lt;avg&gt;1106000.00&lt;/avg&gt;&lt;stddev&gt;0.00&lt;/stddev&gt;&lt;median&gt;1106000.00&lt;/median&gt;&lt;percentile&gt;1106000.00&lt;/percentile&gt;&lt;max&gt;1106000.00&lt;/max&gt;&lt;min&gt;1106000.00&lt;/min&gt;&lt;/buy&gt;&lt;sell&gt;&lt;volume&gt;1430&lt;/volume&gt;&lt;avg&gt;1673766.43&lt;/avg&gt;&lt;stddev&gt;180455.94&lt;/stddev&gt;&lt;median&gt;1697500.00&lt;/median&gt;&lt;percentile&gt;1376304.35&lt;/percentile&gt;&lt;max&gt;1911000.00&lt;/max&gt;&lt;min&gt;1375000.00&lt;/min&gt;&lt;/sell&gt;&lt;/type&gt;&lt;type id="31091"&gt;&lt;buy&gt;&lt;volume&gt;27&lt;/volume&gt;&lt;avg&gt;27483703.70&lt;/avg&gt;&lt;stddev&gt;65510.81&lt;/stddev&gt;&lt;median&gt;27450000.00&lt;/median&gt;&lt;percentile&gt;27581666.67&lt;/percentile&gt;&lt;max&gt;27590000.00&lt;/max&gt;&lt;min&gt;27450000.00&lt;/min&gt;&lt;/buy&gt;&lt;sell&gt;&lt;volume&gt;383&lt;/volume&gt;&lt;avg&gt;32062036.55&lt;/avg&gt;&lt;stddev&gt;2830458.41&lt;/stddev&gt;&lt;median&gt;31005000.00&lt;/median&gt;&lt;percentile&gt;30850000.00&lt;/percentile&gt;&lt;max&gt;40970000.00&lt;/max&gt;&lt;min&gt;30850000.00&lt;/min&gt;&lt;/sell&gt;&lt;/type&gt;&lt;type id="31083"&gt;&lt;buy&gt;&lt;volume&gt;160&lt;/volume&gt;&lt;avg&gt;80500.25&lt;/avg&gt;&lt;stddev&gt;22797.15&lt;/stddev&gt;&lt;median&gt;70795.00&lt;/median&gt;&lt;percentile&gt;109500.00&lt;/percentile&gt;&lt;max&gt;109500.00&lt;/max&gt;&lt;min&gt;61580.00&lt;/min&gt;&lt;/buy&gt;&lt;sell&gt;&lt;volume&gt;3240&lt;/volume&gt;&lt;avg&gt;448744.14&lt;/avg&gt;&lt;stddev&gt;53523.54&lt;/stddev&gt;&lt;median&gt;416250.00&lt;/median&gt;&lt;percentile&gt;392789.77&lt;/percentile&gt;&lt;max&gt;620500.00&lt;/max&gt;&lt;min&gt;391400.00&lt;/min&gt;&lt;/sell&gt;&lt;/type&gt;&lt;type id="31213"&gt;&lt;buy&gt;&lt;volume&gt;2963&lt;/volume&gt;&lt;avg&gt;13202.90&lt;/avg&gt;&lt;stddev&gt;1780.67&lt;/stddev&gt;&lt;median&gt;12110.00&lt;/median&gt;&lt;percentile&gt;15124.26&lt;/percentile&gt;&lt;max&gt;16010.00&lt;/max&gt;&lt;min&gt;12000.00&lt;/min&gt;&lt;/buy&gt;&lt;sell&gt;&lt;volume&gt;9082&lt;/volume&gt;&lt;avg&gt;44983.02&lt;/avg&gt;&lt;stddev&gt;12375.91&lt;/stddev&gt;&lt;median&gt;42355.00&lt;/median&gt;&lt;percentile&gt;24330.00&lt;/percentile&gt;&lt;max&gt;68000.00&lt;/max&gt;&lt;min&gt;24330.00&lt;/min&gt;&lt;/sell&gt;&lt;/type&gt;&lt;type id="26088"&gt;&lt;buy&gt;&lt;volume&gt;483&lt;/volume&gt;&lt;avg&gt;3131844.72&lt;/avg&gt;&lt;stddev&gt;29676.78&lt;/stddev&gt;&lt;median&gt;3135000.00&lt;/median&gt;&lt;percentile&gt;3158000.00&lt;/percentile&gt;&lt;max&gt;3158000.00&lt;/max&gt;&lt;min&gt;3080000.00&lt;/min&gt;&lt;/buy&gt;&lt;sell&gt;&lt;volume&gt;673&lt;/volume&gt;&lt;avg&gt;3721533.43&lt;/avg&gt;&lt;stddev&gt;230797.82&lt;/stddev&gt;&lt;median&gt;3591000.00&lt;/median&gt;&lt;percentile&gt;3567763.31&lt;/percentile&gt;&lt;max&gt;4343000.00&lt;/max&gt;&lt;min&gt;3566000.00&lt;/min&gt;&lt;/sell&gt;&lt;/type&gt;&lt;type id="31790"&gt;&lt;buy&gt;&lt;volume&gt;646&lt;/volume&gt;&lt;avg&gt;705033.59&lt;/avg&gt;&lt;stddev&gt;62468.19&lt;/stddev&gt;&lt;median&gt;735200.00&lt;/median&gt;&lt;percentile&gt;739200.00&lt;/percentile&gt;&lt;max&gt;739200.00&lt;/max&gt;&lt;min&gt;601000.00&lt;/min&gt;&lt;/buy&gt;&lt;sell&gt;&lt;volume&gt;11972&lt;/volume&gt;&lt;avg&gt;890381.47&lt;/avg&gt;&lt;stddev&gt;66601.91&lt;/stddev&gt;&lt;median&gt;900000.00&lt;/median&gt;&lt;percentile&gt;801878.58&lt;/percentile&gt;&lt;max&gt;1200000.00&lt;/max&gt;&lt;min&gt;801800.00&lt;/min&gt;&lt;/sell&gt;&lt;/type&gt;&lt;type id="31718"&gt;&lt;buy&gt;&lt;volume&gt;2055&lt;/volume&gt;&lt;avg&gt;55544.43&lt;/avg&gt;&lt;stddev&gt;9004.57&lt;/stddev&gt;&lt;median&gt;49510.00&lt;/median&gt;&lt;percentile&gt;66401.14&lt;/percentile&gt;&lt;max&gt;66430.00&lt;/max&gt;&lt;min&gt;47000.00&lt;/min&gt;&lt;/buy&gt;&lt;sell&gt;&lt;volume&gt;4558&lt;/volume&gt;&lt;avg&gt;139890.70&lt;/avg&gt;&lt;stddev&gt;18276.23&lt;/stddev&gt;&lt;median&gt;128700.00&lt;/median&gt;&lt;percentile&gt;121400.00&lt;/percentile&gt;&lt;max&gt;200000.00&lt;/max&gt;&lt;min&gt;121400.00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7391&lt;/volume&gt;&lt;avg&gt;115533.75&lt;/avg&gt;&lt;stddev&gt;35168.71&lt;/stddev&gt;&lt;median&gt;105600.00&lt;/median&gt;&lt;percentile&gt;97998.96&lt;/percentile&gt;&lt;max&gt;249000.00&lt;/max&gt;&lt;min&gt;97990.00&lt;/min&gt;&lt;/sell&gt;&lt;/type&gt;&lt;type id="31796"&gt;&lt;buy&gt;&lt;volume&gt;18&lt;/volume&gt;&lt;avg&gt;13542666.67&lt;/avg&gt;&lt;stddev&gt;3069242.08&lt;/stddev&gt;&lt;median&gt;13005000.00&lt;/median&gt;&lt;percentile&gt;16530000.00&lt;/percentile&gt;&lt;max&gt;16530000.00&lt;/max&gt;&lt;min&gt;9019000.00&lt;/min&gt;&lt;/buy&gt;&lt;sell&gt;&lt;volume&gt;2837&lt;/volume&gt;&lt;avg&gt;18701642.58&lt;/avg&gt;&lt;stddev&gt;1210704.90&lt;/stddev&gt;&lt;median&gt;18200000.00&lt;/median&gt;&lt;percentile&gt;17512387.10&lt;/percentile&gt;&lt;max&gt;23000000.00&lt;/max&gt;&lt;min&gt;17480000.00&lt;/min&gt;&lt;/sell&gt;&lt;/type&gt;&lt;type id="31812"&gt;&lt;buy&gt;&lt;volume&gt;40&lt;/volume&gt;&lt;avg&gt;16498125.00&lt;/avg&gt;&lt;stddev&gt;3833843.79&lt;/stddev&gt;&lt;median&gt;17520000.00&lt;/median&gt;&lt;percentile&gt;17650000.00&lt;/percentile&gt;&lt;max&gt;17650000.00&lt;/max&gt;&lt;min&gt;8999000.00&lt;/min&gt;&lt;/buy&gt;&lt;sell&gt;&lt;volume&gt;1638&lt;/volume&gt;&lt;avg&gt;19201978.02&lt;/avg&gt;&lt;stddev&gt;1775665.83&lt;/stddev&gt;&lt;median&gt;18420000.00&lt;/median&gt;&lt;percentile&gt;17768043.48&lt;/percentile&gt;&lt;max&gt;23100000.00&lt;/max&gt;&lt;min&gt;17760000.00&lt;/min&gt;&lt;/sell&gt;&lt;/type&gt;&lt;type id="31724"&gt;&lt;buy&gt;&lt;volume&gt;627&lt;/volume&gt;&lt;avg&gt;3092529.51&lt;/avg&gt;&lt;stddev&gt;685655.38&lt;/stddev&gt;&lt;median&gt;3354000.00&lt;/median&gt;&lt;percentile&gt;3400166.67&lt;/percentile&gt;&lt;max&gt;3401000.00&lt;/max&gt;&lt;min&gt;1529000.00&lt;/min&gt;&lt;/buy&gt;&lt;sell&gt;&lt;volume&gt;1410&lt;/volume&gt;&lt;avg&gt;3855303.55&lt;/avg&gt;&lt;stddev&gt;230352.45&lt;/stddev&gt;&lt;median&gt;3864500.00&lt;/median&gt;&lt;percentile&gt;3751333.33&lt;/percentile&gt;&lt;max&gt;5059000.00&lt;/max&gt;&lt;min&gt;3751000.00&lt;/min&gt;&lt;/sell&gt;&lt;/type&gt;&lt;type id="31760"&gt;&lt;buy&gt;&lt;volume&gt;919&lt;/volume&gt;&lt;avg&gt;2624589.77&lt;/avg&gt;&lt;stddev&gt;434782.46&lt;/stddev&gt;&lt;median&gt;2833000.00&lt;/median&gt;&lt;percentile&gt;2847187.50&lt;/percentile&gt;&lt;max&gt;2848000.00&lt;/max&gt;&lt;min&gt;1502000.00&lt;/min&gt;&lt;/buy&gt;&lt;sell&gt;&lt;volume&gt;789&lt;/volume&gt;&lt;avg&gt;4028669.20&lt;/avg&gt;&lt;stddev&gt;536671.66&lt;/stddev&gt;&lt;median&gt;3750000.00&lt;/median&gt;&lt;percentile&gt;3708000.00&lt;/percentile&gt;&lt;max&gt;5271000.00&lt;/max&gt;&lt;min&gt;3708000.00&lt;/min&gt;&lt;/sell&gt;&lt;/type&gt;&lt;type id="31788"&gt;&lt;buy&gt;&lt;volume&gt;1223&lt;/volume&gt;&lt;avg&gt;24786.26&lt;/avg&gt;&lt;stddev&gt;41151.82&lt;/stddev&gt;&lt;median&gt;12210.00&lt;/median&gt;&lt;percentile&gt;120600.00&lt;/percentile&gt;&lt;max&gt;120600.00&lt;/max&gt;&lt;min&gt;11000.00&lt;/min&gt;&lt;/buy&gt;&lt;sell&gt;&lt;volume&gt;14880&lt;/volume&gt;&lt;avg&gt;174750.50&lt;/avg&gt;&lt;stddev&gt;30031.47&lt;/stddev&gt;&lt;median&gt;170250.00&lt;/median&gt;&lt;percentile&gt;159969.83&lt;/percentile&gt;&lt;max&gt;311200.00&lt;/max&gt;&lt;min&gt;159800.00&lt;/min&gt;&lt;/sell&gt;&lt;/type&gt;&lt;type id="31716"&gt;&lt;buy&gt;&lt;volume&gt;4000&lt;/volume&gt;&lt;avg&gt;10042.50&lt;/avg&gt;&lt;stddev&gt;7.07&lt;/stddev&gt;&lt;median&gt;10040.00&lt;/median&gt;&lt;percentile&gt;10050.00&lt;/percentile&gt;&lt;max&gt;10050.00&lt;/max&gt;&lt;min&gt;10040.00&lt;/min&gt;&lt;/buy&gt;&lt;sell&gt;&lt;volume&gt;19522&lt;/volume&gt;&lt;avg&gt;25340.15&lt;/avg&gt;&lt;stddev&gt;20081.97&lt;/stddev&gt;&lt;median&gt;19285.00&lt;/median&gt;&lt;percentile&gt;17328.77&lt;/percentile&gt;&lt;max&gt;99990.00&lt;/max&gt;&lt;min&gt;17100.00&lt;/min&gt;&lt;/sell&gt;&lt;/type&gt;&lt;type id="31794"&gt;&lt;buy&gt;&lt;volume&gt;290&lt;/volume&gt;&lt;avg&gt;4574334.48&lt;/avg&gt;&lt;stddev&gt;1571268.57&lt;/stddev&gt;&lt;median&gt;5012000.00&lt;/median&gt;&lt;percentile&gt;5158285.71&lt;/percentile&gt;&lt;max&gt;5160000.00&lt;/max&gt;&lt;min&gt;1800000.00&lt;/min&gt;&lt;/buy&gt;&lt;sell&gt;&lt;volume&gt;3211&lt;/volume&gt;&lt;avg&gt;6233343.51&lt;/avg&gt;&lt;stddev&gt;744205.39&lt;/stddev&gt;&lt;median&gt;5866000.00&lt;/median&gt;&lt;percentile&gt;5572958.04&lt;/percentile&gt;&lt;max&gt;9356000.00&lt;/max&gt;&lt;min&gt;5570000.00&lt;/min&gt;&lt;/sell&gt;&lt;/type&gt;&lt;type id="31722"&gt;&lt;buy&gt;&lt;volume&gt;878&lt;/volume&gt;&lt;avg&gt;1292912.30&lt;/avg&gt;&lt;stddev&gt;49355.40&lt;/stddev&gt;&lt;median&gt;1313000.00&lt;/median&gt;&lt;percentile&gt;1326000.00&lt;/percentile&gt;&lt;max&gt;1326000.00&lt;/max&gt;&lt;min&gt;1164000.00&lt;/min&gt;&lt;/buy&gt;&lt;sell&gt;&lt;volume&gt;2783&lt;/volume&gt;&lt;avg&gt;1822074.38&lt;/avg&gt;&lt;stddev&gt;145094.40&lt;/stddev&gt;&lt;median&gt;1884000.00&lt;/median&gt;&lt;percentile&gt;1586928.57&lt;/percentile&gt;&lt;max&gt;1996000.00&lt;/max&gt;&lt;min&gt;1585000.00&lt;/min&gt;&lt;/sell&gt;&lt;/type&gt;&lt;type id="31276"&gt;&lt;buy&gt;&lt;volume&gt;141&lt;/volume&gt;&lt;avg&gt;139817.02&lt;/avg&gt;&lt;stddev&gt;597.49&lt;/stddev&gt;&lt;median&gt;139800.00&lt;/median&gt;&lt;percentile&gt;140200.00&lt;/percentile&gt;&lt;max&gt;140200.00&lt;/max&gt;&lt;min&gt;138700.00&lt;/min&gt;&lt;/buy&gt;&lt;sell&gt;&lt;volume&gt;600&lt;/volume&gt;&lt;avg&gt;704023.33&lt;/avg&gt;&lt;stddev&gt;4068.70&lt;/stddev&gt;&lt;median&gt;704700.00&lt;/median&gt;&lt;percentile&gt;700300.00&lt;/percentile&gt;&lt;max&gt;709900.00&lt;/max&gt;&lt;min&gt;700300.00&lt;/min&gt;&lt;/sell&gt;&lt;/type&gt;&lt;type id="4393"&gt;&lt;buy&gt;&lt;volume&gt;3700&lt;/volume&gt;&lt;avg&gt;33463.92&lt;/avg&gt;&lt;stddev&gt;1288.35&lt;/stddev&gt;&lt;median&gt;33670.00&lt;/median&gt;&lt;percentile&gt;34100.00&lt;/percentile&gt;&lt;max&gt;34100.00&lt;/max&gt;&lt;min&gt;30000.00&lt;/min&gt;&lt;/buy&gt;&lt;sell&gt;&lt;volume&gt;3985&lt;/volume&gt;&lt;avg&gt;73660.76&lt;/avg&gt;&lt;stddev&gt;14670.43&lt;/stddev&gt;&lt;median&gt;62200.00&lt;/median&gt;&lt;percentile&gt;62200.00&lt;/percentile&gt;&lt;max&gt;95950.00&lt;/max&gt;&lt;min&gt;62200.00&lt;/min&gt;&lt;/sell&gt;&lt;/type&gt;&lt;type id="23527"&gt;&lt;buy&gt;&lt;volume&gt;3670&lt;/volume&gt;&lt;avg&gt;188331.34&lt;/avg&gt;&lt;stddev&gt;65750.09&lt;/stddev&gt;&lt;median&gt;202100.00&lt;/median&gt;&lt;percentile&gt;230000.00&lt;/percentile&gt;&lt;max&gt;230000.00&lt;/max&gt;&lt;min&gt;61000.00&lt;/min&gt;&lt;/buy&gt;&lt;sell&gt;&lt;volume&gt;2810&lt;/volume&gt;&lt;avg&gt;247609.04&lt;/avg&gt;&lt;stddev&gt;17799.39&lt;/stddev&gt;&lt;median&gt;248400.00&lt;/median&gt;&lt;percentile&gt;244000.00&lt;/percentile&gt;&lt;max&gt;299800.00&lt;/max&gt;&lt;min&gt;244000.00&lt;/min&gt;&lt;/sell&gt;&lt;/type&gt;&lt;type id="24395"&gt;&lt;buy&gt;&lt;volume&gt;961&lt;/volume&gt;&lt;avg&gt;226351.93&lt;/avg&gt;&lt;stddev&gt;50077.59&lt;/stddev&gt;&lt;median&gt;250000.00&lt;/median&gt;&lt;percentile&gt;282100.00&lt;/percentile&gt;&lt;max&gt;282100.00&lt;/max&gt;&lt;min&gt;100100.00&lt;/min&gt;&lt;/buy&gt;&lt;sell&gt;&lt;volume&gt;2788&lt;/volume&gt;&lt;avg&gt;355157.57&lt;/avg&gt;&lt;stddev&gt;135444.93&lt;/stddev&gt;&lt;median&gt;340900.00&lt;/median&gt;&lt;percentile&gt;338589.55&lt;/percentile&gt;&lt;max&gt;1014000.00&lt;/max&gt;&lt;min&gt;338500.00&lt;/min&gt;&lt;/sell&gt;&lt;/type&gt;&lt;type id="4405"&gt;&lt;buy&gt;&lt;volume&gt;8686&lt;/volume&gt;&lt;avg&gt;930943.59&lt;/avg&gt;&lt;stddev&gt;116469.36&lt;/stddev&gt;&lt;median&gt;950000.00&lt;/median&gt;&lt;percentile&gt;982925.24&lt;/percentile&gt;&lt;max&gt;983100.00&lt;/max&gt;&lt;min&gt;680000.00&lt;/min&gt;&lt;/buy&gt;&lt;sell&gt;&lt;volume&gt;8861&lt;/volume&gt;&lt;avg&gt;1245361.02&lt;/avg&gt;&lt;stddev&gt;290312.89&lt;/stddev&gt;&lt;median&gt;1151000.00&lt;/median&gt;&lt;percentile&gt;1085357.39&lt;/percentile&gt;&lt;max&gt;2750000.00&lt;/max&gt;&lt;min&gt;1084000.00&lt;/min&gt;&lt;/sell&gt;&lt;/type&gt;&lt;type id="24427"&gt;&lt;buy&gt;&lt;volume&gt;1839&lt;/volume&gt;&lt;avg&gt;1150453.51&lt;/avg&gt;&lt;stddev&gt;169700.78&lt;/stddev&gt;&lt;median&gt;1255000.00&lt;/median&gt;&lt;percentile&gt;1273899.47&lt;/percentile&gt;&lt;max&gt;1278000.00&lt;/max&gt;&lt;min&gt;798500.00&lt;/min&gt;&lt;/buy&gt;&lt;sell&gt;&lt;volume&gt;737&lt;/volume&gt;&lt;avg&gt;1984786.97&lt;/avg&gt;&lt;stddev&gt;365217.25&lt;/stddev&gt;&lt;median&gt;2250000.00&lt;/median&gt;&lt;percentile&gt;1468000.00&lt;/percentile&gt;&lt;max&gt;2500000.00&lt;/max&gt;&lt;min&gt;1468000.00&lt;/min&gt;&lt;/sell&gt;&lt;/type&gt;&lt;type id="24417"&gt;&lt;buy&gt;&lt;volume&gt;775&lt;/volume&gt;&lt;avg&gt;1154309.68&lt;/avg&gt;&lt;stddev&gt;89474.02&lt;/stddev&gt;&lt;median&gt;1145000.00&lt;/median&gt;&lt;percentile&gt;1234461.54&lt;/percentile&gt;&lt;max&gt;1236000.00&lt;/max&gt;&lt;min&gt;1016000.00&lt;/min&gt;&lt;/buy&gt;&lt;sell&gt;&lt;volume&gt;4471&lt;/volume&gt;&lt;avg&gt;2042642.14&lt;/avg&gt;&lt;stddev&gt;197056.04&lt;/stddev&gt;&lt;median&gt;2494000.00&lt;/median&gt;&lt;percentile&gt;1416491.07&lt;/percentile&gt;&lt;max&gt;2494000.00&lt;/max&gt;&lt;min&gt;1411000.00&lt;/min&gt;&lt;/sell&gt;&lt;/type&gt;&lt;type id="33824"&gt;&lt;buy&gt;&lt;volume&gt;245&lt;/volume&gt;&lt;avg&gt;686644.90&lt;/avg&gt;&lt;stddev&gt;9586.10&lt;/stddev&gt;&lt;median&gt;683200.00&lt;/median&gt;&lt;percentile&gt;700000.00&lt;/percentile&gt;&lt;max&gt;700000.00&lt;/max&gt;&lt;min&gt;683200.00&lt;/min&gt;&lt;/buy&gt;&lt;sell&gt;&lt;volume&gt;7402&lt;/volume&gt;&lt;avg&gt;1066839.79&lt;/avg&gt;&lt;stddev&gt;235970.78&lt;/stddev&gt;&lt;median&gt;999800.00&lt;/median&gt;&lt;percentile&gt;898472.41&lt;/percentile&gt;&lt;max&gt;1706000.00&lt;/max&gt;&lt;min&gt;898300.00&lt;/min&gt;&lt;/sell&gt;&lt;/type&gt;&lt;type id="24438"&gt;&lt;buy&gt;&lt;volume&gt;220&lt;/volume&gt;&lt;avg&gt;704215.91&lt;/avg&gt;&lt;stddev&gt;2499.00&lt;/stddev&gt;&lt;median&gt;702800.00&lt;/median&gt;&lt;percentile&gt;706500.00&lt;/percentile&gt;&lt;max&gt;706500.00&lt;/max&gt;&lt;min&gt;700800.00&lt;/min&gt;&lt;/buy&gt;&lt;sell&gt;&lt;volume&gt;4552&lt;/volume&gt;&lt;avg&gt;966068.76&lt;/avg&gt;&lt;stddev&gt;230818.05&lt;/stddev&gt;&lt;median&gt;899000.00&lt;/median&gt;&lt;percentile&gt;890972.60&lt;/percentile&gt;&lt;max&gt;1696000.00&lt;/max&gt;&lt;min&gt;890000.00&lt;/min&gt;&lt;/sell&gt;&lt;/type&gt;&lt;type id="33828"&gt;&lt;buy&gt;&lt;volume&gt;55&lt;/volume&gt;&lt;avg&gt;1620181.82&lt;/avg&gt;&lt;stddev&gt;535986.94&lt;/stddev&gt;&lt;median&gt;1379000.00&lt;/median&gt;&lt;percentile&gt;1758000.00&lt;/percentile&gt;&lt;max&gt;1758000.00&lt;/max&gt;&lt;min&gt;1000000.00&lt;/min&gt;&lt;/buy&gt;&lt;sell&gt;&lt;volume&gt;114&lt;/volume&gt;&lt;avg&gt;3377456.14&lt;/avg&gt;&lt;stddev&gt;453151.86&lt;/stddev&gt;&lt;median&gt;3441000.00&lt;/median&gt;&lt;percentile&gt;2816428.57&lt;/percentile&gt;&lt;max&gt;4517000.00&lt;/max&gt;&lt;min&gt;2500000.00&lt;/min&gt;&lt;/sell&gt;&lt;/type&gt;&lt;type id="22782"&gt;&lt;buy&gt;&lt;volume&gt;338&lt;/volume&gt;&lt;avg&gt;1698763.31&lt;/avg&gt;&lt;stddev&gt;114885.24&lt;/stddev&gt;&lt;median&gt;1716000.00&lt;/median&gt;&lt;percentile&gt;1717416.67&lt;/percentile&gt;&lt;max&gt;1722000.00&lt;/max&gt;&lt;min&gt;1408000.00&lt;/min&gt;&lt;/buy&gt;&lt;sell&gt;&lt;volume&gt;549&lt;/volume&gt;&lt;avg&gt;2475502.73&lt;/avg&gt;&lt;stddev&gt;463843.72&lt;/stddev&gt;&lt;median&gt;2265000.00&lt;/median&gt;&lt;percentile&gt;2262000.00&lt;/percentile&gt;&lt;max&gt;3572000.00&lt;/max&gt;&lt;min&gt;2262000.00&lt;/min&gt;&lt;/sell&gt;&lt;/type&gt;&lt;type id="41057"&gt;&lt;buy&gt;&lt;volume&gt;211&lt;/volume&gt;&lt;avg&gt;2898464.45&lt;/avg&gt;&lt;stddev&gt;1096393.70&lt;/stddev&gt;&lt;median&gt;2030000.00&lt;/median&gt;&lt;percentile&gt;4306000.00&lt;/percentile&gt;&lt;max&gt;4306000.00&lt;/max&gt;&lt;min&gt;2029000.00&lt;/min&gt;&lt;/buy&gt;&lt;sell&gt;&lt;volume&gt;1242&lt;/volume&gt;&lt;avg&gt;5021773.75&lt;/avg&gt;&lt;stddev&gt;291319.26&lt;/stddev&gt;&lt;median&gt;4935000.00&lt;/median&gt;&lt;percentile&gt;4926599.16&lt;/percentile&gt;&lt;max&gt;5842000.00&lt;/max&gt;&lt;min&gt;4922000.00&lt;/min&gt;&lt;/sell&gt;&lt;/type&gt;&lt;type id="4027"&gt;&lt;buy&gt;&lt;volume&gt;14500&lt;/volume&gt;&lt;avg&gt;13749.81&lt;/avg&gt;&lt;stddev&gt;8693.95&lt;/stddev&gt;&lt;median&gt;10850.00&lt;/median&gt;&lt;percentile&gt;28520.00&lt;/percentile&gt;&lt;max&gt;28520.00&lt;/max&gt;&lt;min&gt;5600.00&lt;/min&gt;&lt;/buy&gt;&lt;sell&gt;&lt;volume&gt;1001&lt;/volume&gt;&lt;avg&gt;72731.95&lt;/avg&gt;&lt;stddev&gt;11858.77&lt;/stddev&gt;&lt;median&gt;75420.00&lt;/median&gt;&lt;percentile&gt;54880.00&lt;/percentile&gt;&lt;max&gt;75420.00&lt;/max&gt;&lt;min&gt;54880.00&lt;/min&gt;&lt;/sell&gt;&lt;/type&gt;&lt;type id="4025"&gt;&lt;buy&gt;&lt;volume&gt;15900&lt;/volume&gt;&lt;avg&gt;2386.03&lt;/avg&gt;&lt;stddev&gt;1277.93&lt;/stddev&gt;&lt;median&gt;1856.00&lt;/median&gt;&lt;percentile&gt;4177.25&lt;/percentile&gt;&lt;max&gt;4178.00&lt;/max&gt;&lt;min&gt;1501.00&lt;/min&gt;&lt;/buy&gt;&lt;sell&gt;&lt;volume&gt;15087&lt;/volume&gt;&lt;avg&gt;20488.59&lt;/avg&gt;&lt;stddev&gt;14337.69&lt;/stddev&gt;&lt;median&gt;14855.00&lt;/median&gt;&lt;percentile&gt;9741.10&lt;/percentile&gt;&lt;max&gt;60000.00&lt;/max&gt;&lt;min&gt;4181.00&lt;/min&gt;&lt;/sell&gt;&lt;/type&gt;&lt;type id="527"&gt;&lt;buy&gt;&lt;volume&gt;1200&lt;/volume&gt;&lt;avg&gt;1103175.00&lt;/avg&gt;&lt;stddev&gt;90883.56&lt;/stddev&gt;&lt;median&gt;1132000.00&lt;/median&gt;&lt;percentile&gt;1165000.00&lt;/percentile&gt;&lt;max&gt;1165000.00&lt;/max&gt;&lt;min&gt;900000.00&lt;/min&gt;&lt;/buy&gt;&lt;sell&gt;&lt;volume&gt;4453&lt;/volume&gt;&lt;avg&gt;1276829.78&lt;/avg&gt;&lt;stddev&gt;179352.44&lt;/stddev&gt;&lt;median&gt;1251500.00&lt;/median&gt;&lt;percentile&gt;1242000.00&lt;/percentile&gt;&lt;max&gt;1979000.00&lt;/max&gt;&lt;min&gt;1242000.00&lt;/min&gt;&lt;/sell&gt;&lt;/type&gt;&lt;type id="17559"&gt;&lt;buy&gt;&lt;volume&gt;268&lt;/volume&gt;&lt;avg&gt;53874067.16&lt;/avg&gt;&lt;stddev&gt;4588401.02&lt;/stddev&gt;&lt;median&gt;55160000.00&lt;/median&gt;&lt;percentile&gt;58718181.82&lt;/percentile&gt;&lt;max&gt;58730000.00&lt;/max&gt;&lt;min&gt;41010000.00&lt;/min&gt;&lt;/buy&gt;&lt;sell&gt;&lt;volume&gt;188&lt;/volume&gt;&lt;avg&gt;68970957.45&lt;/avg&gt;&lt;stddev&gt;305422.92&lt;/stddev&gt;&lt;median&gt;68855000.00&lt;/median&gt;&lt;percentile&gt;68740000.00&lt;/percentile&gt;&lt;max&gt;69920000.00&lt;/max&gt;&lt;min&gt;68740000.00&lt;/min&gt;&lt;/sell&gt;&lt;/type&gt;&lt;type id="19814"&gt;&lt;buy&gt;&lt;volume&gt;13760&lt;/volume&gt;&lt;avg&gt;27256.74&lt;/avg&gt;&lt;stddev&gt;10142.51&lt;/stddev&gt;&lt;median&gt;26570.00&lt;/median&gt;&lt;percentile&gt;33860.00&lt;/percentile&gt;&lt;max&gt;33860.00&lt;/max&gt;&lt;min&gt;9537.00&lt;/min&gt;&lt;/buy&gt;&lt;sell&gt;&lt;volume&gt;11300&lt;/volume&gt;&lt;avg&gt;47995.83&lt;/avg&gt;&lt;stddev&gt;36216.82&lt;/stddev&gt;&lt;median&gt;37590.00&lt;/median&gt;&lt;percentile&gt;37267.75&lt;/percentile&gt;&lt;max&gt;200000.00&lt;/max&gt;&lt;min&gt;33890.00&lt;/min&gt;&lt;/sell&gt;&lt;/type&gt;&lt;type id="19806"&gt;&lt;buy&gt;&lt;volume&gt;779&lt;/volume&gt;&lt;avg&gt;795796.53&lt;/avg&gt;&lt;stddev&gt;70895.32&lt;/stddev&gt;&lt;median&gt;846150.00&lt;/median&gt;&lt;percentile&gt;895000.00&lt;/percentile&gt;&lt;max&gt;895000.00&lt;/max&gt;&lt;min&gt;700100.00&lt;/min&gt;&lt;/buy&gt;&lt;sell&gt;&lt;volume&gt;3034&lt;/volume&gt;&lt;avg&gt;992782.30&lt;/avg&gt;&lt;stddev&gt;38461.96&lt;/stddev&gt;&lt;median&gt;977550.00&lt;/median&gt;&lt;percentile&gt;972895.83&lt;/percentile&gt;&lt;max&gt;1133000.00&lt;/max&gt;&lt;min&gt;972800.00&lt;/min&gt;&lt;/sell&gt;&lt;/type&gt;&lt;type id="5405"&gt;&lt;buy&gt;&lt;volume&gt;18100&lt;/volume&gt;&lt;avg&gt;7994.92&lt;/avg&gt;&lt;stddev&gt;2180.48&lt;/stddev&gt;&lt;median&gt;8137.00&lt;/median&gt;&lt;percentile&gt;9124.00&lt;/percentile&gt;&lt;max&gt;9124.00&lt;/max&gt;&lt;min&gt;3200.00&lt;/min&gt;&lt;/buy&gt;&lt;sell&gt;&lt;volume&gt;2660&lt;/volume&gt;&lt;avg&gt;76169.32&lt;/avg&gt;&lt;stddev&gt;46185.06&lt;/stddev&gt;&lt;median&gt;39650.00&lt;/median&gt;&lt;percentile&gt;11553.34&lt;/percentile&gt;&lt;max&gt;199600.00&lt;/max&gt;&lt;min&gt;9124.00&lt;/min&gt;&lt;/sell&gt;&lt;/type&gt;&lt;type id="3244"&gt;&lt;buy&gt;&lt;volume&gt;1599&lt;/volume&gt;&lt;avg&gt;1431435.27&lt;/avg&gt;&lt;stddev&gt;133484.08&lt;/stddev&gt;&lt;median&gt;1504000.00&lt;/median&gt;&lt;percentile&gt;1505006.51&lt;/percentile&gt;&lt;max&gt;1506000.00&lt;/max&gt;&lt;min&gt;1203000.00&lt;/min&gt;&lt;/buy&gt;&lt;sell&gt;&lt;volume&gt;6764&lt;/volume&gt;&lt;avg&gt;1920845.65&lt;/avg&gt;&lt;stddev&gt;288465.89&lt;/stddev&gt;&lt;median&gt;1660000.00&lt;/median&gt;&lt;percentile&gt;1597936.19&lt;/percentile&gt;&lt;max&gt;2495000.00&lt;/max&gt;&lt;min&gt;1597000.00&lt;/min&gt;&lt;/sell&gt;&lt;/type&gt;&lt;type id="5443"&gt;&lt;buy&gt;&lt;volume&gt;11265&lt;/volume&gt;&lt;avg&gt;39593.65&lt;/avg&gt;&lt;stddev&gt;18505.49&lt;/stddev&gt;&lt;median&gt;27840.00&lt;/median&gt;&lt;percentile&gt;58217.57&lt;/percentile&gt;&lt;max&gt;59030.00&lt;/max&gt;&lt;min&gt;17260.00&lt;/min&gt;&lt;/buy&gt;&lt;sell&gt;&lt;volume&gt;4268&lt;/volume&gt;&lt;avg&gt;117192.81&lt;/avg&gt;&lt;stddev&gt;44770.92&lt;/stddev&gt;&lt;median&gt;98790.00&lt;/median&gt;&lt;percentile&gt;87267.69&lt;/percentile&gt;&lt;max&gt;201000.00&lt;/max&gt;&lt;min&gt;80000.00&lt;/min&gt;&lt;/sell&gt;&lt;/type&gt;&lt;type id="5445"&gt;&lt;buy&gt;&lt;volume&gt;16730&lt;/volume&gt;&lt;avg&gt;14112.43&lt;/avg&gt;&lt;stddev&gt;5368.00&lt;/stddev&gt;&lt;median&gt;12760.00&lt;/median&gt;&lt;percentile&gt;22510.00&lt;/percentile&gt;&lt;max&gt;22510.00&lt;/max&gt;&lt;min&gt;6000.00&lt;/min&gt;&lt;/buy&gt;&lt;sell&gt;&lt;volume&gt;9041&lt;/volume&gt;&lt;avg&gt;43599.93&lt;/avg&gt;&lt;stddev&gt;22818.32&lt;/stddev&gt;&lt;median&gt;37770.00&lt;/median&gt;&lt;percentile&gt;31939.56&lt;/percentile&gt;&lt;max&gt;128000.00&lt;/max&gt;&lt;min&gt;30990.00&lt;/min&gt;&lt;/sell&gt;&lt;/type&gt;&lt;type id="448"&gt;&lt;buy&gt;&lt;volume&gt;635&lt;/volume&gt;&lt;avg&gt;1487377.95&lt;/avg&gt;&lt;stddev&gt;276695.90&lt;/stddev&gt;&lt;median&gt;1584000.00&lt;/median&gt;&lt;percentile&gt;1693000.00&lt;/percentile&gt;&lt;max&gt;1701000.00&lt;/max&gt;&lt;min&gt;751200.00&lt;/min&gt;&lt;/buy&gt;&lt;sell&gt;&lt;volume&gt;19897&lt;/volume&gt;&lt;avg&gt;2628362.01&lt;/avg&gt;&lt;stddev&gt;299148.62&lt;/stddev&gt;&lt;median&gt;2875000.00&lt;/median&gt;&lt;percentile&gt;1821558.75&lt;/percentile&gt;&lt;max&gt;2875000.00&lt;/max&gt;&lt;min&gt;1819000.00&lt;/min&gt;&lt;/sell&gt;&lt;/type&gt;&lt;type id="1182"&gt;&lt;buy&gt;&lt;volume&gt;7571&lt;/volume&gt;&lt;avg&gt;7361.93&lt;/avg&gt;&lt;stddev&gt;1677.92&lt;/stddev&gt;&lt;median&gt;7298.00&lt;/median&gt;&lt;percentile&gt;10380.00&lt;/percentile&gt;&lt;max&gt;10380.00&lt;/max&gt;&lt;min&gt;5002.00&lt;/min&gt;&lt;/buy&gt;&lt;sell&gt;&lt;volume&gt;10480&lt;/volume&gt;&lt;avg&gt;101094.34&lt;/avg&gt;&lt;stddev&gt;65812.23&lt;/stddev&gt;&lt;median&gt;181400.00&lt;/median&gt;&lt;percentile&gt;13298.71&lt;/percentile&gt;&lt;max&gt;249000.00&lt;/max&gt;&lt;min&gt;12490.00&lt;/min&gt;&lt;/sell&gt;&lt;/type&gt;&lt;type id="11370"&gt;&lt;buy&gt;&lt;volume&gt;1210&lt;/volume&gt;&lt;avg&gt;1810322.31&lt;/avg&gt;&lt;stddev&gt;236310.45&lt;/stddev&gt;&lt;median&gt;1863000.00&lt;/median&gt;&lt;percentile&gt;1949000.00&lt;/percentile&gt;&lt;max&gt;1949000.00&lt;/max&gt;&lt;min&gt;1237000.00&lt;/min&gt;&lt;/buy&gt;&lt;sell&gt;&lt;volume&gt;2513&lt;/volume&gt;&lt;avg&gt;2188496.62&lt;/avg&gt;&lt;stddev&gt;105400.99&lt;/stddev&gt;&lt;median&gt;2129000.00&lt;/median&gt;&lt;percentile&gt;2087180.33&lt;/percentile&gt;&lt;max&gt;2467000.00&lt;/max&gt;&lt;min&gt;2086000.00&lt;/min&gt;&lt;/sell&gt;&lt;/type&gt;&lt;type id="11578"&gt;&lt;buy&gt;&lt;volume&gt;1878&lt;/volume&gt;&lt;avg&gt;4894252.40&lt;/avg&gt;&lt;stddev&gt;716826.73&lt;/stddev&gt;&lt;median&gt;5265000.00&lt;/median&gt;&lt;percentile&gt;5821000.00&lt;/percentile&gt;&lt;max&gt;5821000.00&lt;/max&gt;&lt;min&gt;3535000.00&lt;/min&gt;&lt;/buy&gt;&lt;sell&gt;&lt;volume&gt;4576&lt;/volume&gt;&lt;avg&gt;6415924.39&lt;/avg&gt;&lt;stddev&gt;391395.84&lt;/stddev&gt;&lt;median&gt;6310000.00&lt;/median&gt;&lt;percentile&gt;6269716.89&lt;/percentile&gt;&lt;max&gt;7579000.00&lt;/max&gt;&lt;min&gt;6266000.00&lt;/min&gt;&lt;/sell&gt;&lt;/type&gt;&lt;type id="11577"&gt;&lt;buy&gt;&lt;volume&gt;882&lt;/volume&gt;&lt;avg&gt;3778984.13&lt;/avg&gt;&lt;stddev&gt;743115.58&lt;/stddev&gt;&lt;median&gt;4054000.00&lt;/median&gt;&lt;percentile&gt;4108000.00&lt;/percentile&gt;&lt;max&gt;4108000.00&lt;/max&gt;&lt;min&gt;2146000.00&lt;/min&gt;&lt;/buy&gt;&lt;sell&gt;&lt;volume&gt;1537&lt;/volume&gt;&lt;avg&gt;4702895.90&lt;/avg&gt;&lt;stddev&gt;274150.11&lt;/stddev&gt;&lt;median&gt;4541000.00&lt;/median&gt;&lt;percentile&gt;4492888.89&lt;/percentile&gt;&lt;max&gt;6372000.00&lt;/max&gt;&lt;min&gt;4492000.00&lt;/min&gt;&lt;/sell&gt;&lt;/type&gt;&lt;type id="3888"&gt;&lt;buy&gt;&lt;volume&gt;1960&lt;/volume&gt;&lt;avg&gt;881259.69&lt;/avg&gt;&lt;stddev&gt;7424.14&lt;/stddev&gt;&lt;median&gt;883000.00&lt;/median&gt;&lt;percentile&gt;885750.00&lt;/percentile&gt;&lt;max&gt;885900.00&lt;/max&gt;&lt;min&gt;864400.00&lt;/min&gt;&lt;/buy&gt;&lt;sell&gt;&lt;volume&gt;3534&lt;/volume&gt;&lt;avg&gt;1074894.40&lt;/avg&gt;&lt;stddev&gt;160788.17&lt;/stddev&gt;&lt;median&gt;1001000.00&lt;/median&gt;&lt;percentile&gt;983300.00&lt;/percentile&gt;&lt;max&gt;1448000.00&lt;/max&gt;&lt;min&gt;983300.00&lt;/min&gt;&lt;/sell&gt;&lt;/type&gt;&lt;type id="6160"&gt;&lt;buy&gt;&lt;volume&gt;43585&lt;/volume&gt;&lt;avg&gt;7759.97&lt;/avg&gt;&lt;stddev&gt;2512.81&lt;/stddev&gt;&lt;median&gt;8059.00&lt;/median&gt;&lt;percentile&gt;11637.80&lt;/percentile&gt;&lt;max&gt;11670.00&lt;/max&gt;&lt;min&gt;4728.00&lt;/min&gt;&lt;/buy&gt;&lt;sell&gt;&lt;volume&gt;22561&lt;/volume&gt;&lt;avg&gt;48240.33&lt;/avg&gt;&lt;stddev&gt;24215.28&lt;/stddev&gt;&lt;median&gt;36800.00&lt;/median&gt;&lt;percentile&gt;17422.08&lt;/percentile&gt;&lt;max&gt;97990.00&lt;/max&gt;&lt;min&gt;16720.00&lt;/min&gt;&lt;/sell&gt;&lt;/type&gt;&lt;type id="1952"&gt;&lt;buy&gt;&lt;volume&gt;660&lt;/volume&gt;&lt;avg&gt;879901.52&lt;/avg&gt;&lt;stddev&gt;49279.29&lt;/stddev&gt;&lt;median&gt;883000.00&lt;/median&gt;&lt;percentile&gt;886445.45&lt;/percentile&gt;&lt;max&gt;950000.00&lt;/max&gt;&lt;min&gt;783400.00&lt;/min&gt;&lt;/buy&gt;&lt;sell&gt;&lt;volume&gt;2959&lt;/volume&gt;&lt;avg&gt;1300285.23&lt;/avg&gt;&lt;stddev&gt;473459.57&lt;/stddev&gt;&lt;median&gt;1195000.00&lt;/median&gt;&lt;percentile&gt;1042000.00&lt;/percentile&gt;&lt;max&gt;2892000.00&lt;/max&gt;&lt;min&gt;1042000.00&lt;/min&gt;&lt;/sell&gt;&lt;/type&gt;&lt;type id="41191"&gt;&lt;buy&gt;&lt;volume&gt;56&lt;/volume&gt;&lt;avg&gt;38597857.14&lt;/avg&gt;&lt;stddev&gt;2069037.83&lt;/stddev&gt;&lt;median&gt;39810000.00&lt;/median&gt;&lt;percentile&gt;39935714.29&lt;/percentile&gt;&lt;max&gt;39950000.00&lt;/max&gt;&lt;min&gt;33270000.00&lt;/min&gt;&lt;/buy&gt;&lt;sell&gt;&lt;volume&gt;39&lt;/volume&gt;&lt;avg&gt;69030512.82&lt;/avg&gt;&lt;stddev&gt;27365282.47&lt;/stddev&gt;&lt;median&gt;54500000.00&lt;/median&gt;&lt;percentile&gt;52950000.00&lt;/percentile&gt;&lt;max&gt;149200000.00&lt;/max&gt;&lt;min&gt;52950000.00&lt;/min&gt;&lt;/sell&gt;&lt;/type&gt;&lt;type id="24348"&gt;&lt;buy&gt;&lt;volume&gt;221&lt;/volume&gt;&lt;avg&gt;1078126.70&lt;/avg&gt;&lt;stddev&gt;404851.85&lt;/stddev&gt;&lt;median&gt;787650.00&lt;/median&gt;&lt;percentile&gt;1692000.00&lt;/percentile&gt;&lt;max&gt;1692000.00&lt;/max&gt;&lt;min&gt;781200.00&lt;/min&gt;&lt;/buy&gt;&lt;sell&gt;&lt;volume&gt;5203&lt;/volume&gt;&lt;avg&gt;3123555.06&lt;/avg&gt;&lt;stddev&gt;559646.74&lt;/stddev&gt;&lt;median&gt;3685000.00&lt;/median&gt;&lt;percentile&gt;1854203.54&lt;/percentile&gt;&lt;max&gt;3685000.00&lt;/max&gt;&lt;min&gt;1849000.00&lt;/min&gt;&lt;/sell&gt;&lt;/type&gt;&lt;type id="4250"&gt;&lt;buy&gt;&lt;volume&gt;1433&lt;/volume&gt;&lt;avg&gt;2394476.62&lt;/avg&gt;&lt;stddev&gt;328016.34&lt;/stddev&gt;&lt;median&gt;2497000.00&lt;/median&gt;&lt;percentile&gt;2559538.46&lt;/percentile&gt;&lt;max&gt;2560000.00&lt;/max&gt;&lt;min&gt;1251000.00&lt;/min&gt;&lt;/buy&gt;&lt;sell&gt;&lt;volume&gt;932&lt;/volume&gt;&lt;avg&gt;3726423.82&lt;/avg&gt;&lt;stddev&gt;1552371.02&lt;/stddev&gt;&lt;median&gt;3383500.00&lt;/median&gt;&lt;percentile&gt;3369000.00&lt;/percentile&gt;&lt;max&gt;8396000.00&lt;/max&gt;&lt;min&gt;3369000.00&lt;/min&gt;&lt;/sell&gt;&lt;/type&gt;&lt;type id="11563"&gt;&lt;buy&gt;&lt;volume&gt;430&lt;/volume&gt;&lt;avg&gt;218302.33&lt;/avg&gt;&lt;stddev&gt;108043.54&lt;/stddev&gt;&lt;median&gt;269500.00&lt;/median&gt;&lt;percentile&gt;284000.00&lt;/percentile&gt;&lt;max&gt;284000.00&lt;/max&gt;&lt;min&gt;32450.00&lt;/min&gt;&lt;/buy&gt;&lt;sell&gt;&lt;volume&gt;793&lt;/volume&gt;&lt;avg&gt;395343.51&lt;/avg&gt;&lt;stddev&gt;6504.58&lt;/stddev&gt;&lt;median&gt;393700.00&lt;/median&gt;&lt;percentile&gt;393700.00&lt;/percentile&gt;&lt;max&gt;407100.00&lt;/max&gt;&lt;min&gt;393700.00&lt;/min&gt;&lt;/sell&gt;&lt;/type&gt;&lt;type id="4254"&gt;&lt;buy&gt;&lt;volume&gt;1275&lt;/volume&gt;&lt;avg&gt;785945.49&lt;/avg&gt;&lt;stddev&gt;163131.28&lt;/stddev&gt;&lt;median&gt;782050.00&lt;/median&gt;&lt;percentile&gt;877300.00&lt;/percentile&gt;&lt;max&gt;877300.00&lt;/max&gt;&lt;min&gt;400000.00&lt;/min&gt;&lt;/buy&gt;&lt;sell&gt;&lt;volume&gt;1301&lt;/volume&gt;&lt;avg&gt;1022609.53&lt;/avg&gt;&lt;stddev&gt;42870.91&lt;/stddev&gt;&lt;median&gt;1021000.00&lt;/median&gt;&lt;percentile&gt;997500.00&lt;/percentile&gt;&lt;max&gt;1144000.00&lt;/max&gt;&lt;min&gt;995000.00&lt;/min&gt;&lt;/sell&gt;&lt;/type&gt;&lt;type id="4871"&gt;&lt;buy&gt;&lt;volume&gt;8793&lt;/volume&gt;&lt;avg&gt;17422.05&lt;/avg&gt;&lt;stddev&gt;2731.23&lt;/stddev&gt;&lt;median&gt;19750.00&lt;/median&gt;&lt;percentile&gt;20738.28&lt;/percentile&gt;&lt;max&gt;20810.00&lt;/max&gt;&lt;min&gt;10490.00&lt;/min&gt;&lt;/buy&gt;&lt;sell&gt;&lt;volume&gt;15128&lt;/volume&gt;&lt;avg&gt;681677.82&lt;/avg&gt;&lt;stddev&gt;171818.91&lt;/stddev&gt;&lt;median&gt;792900.00&lt;/median&gt;&lt;percentile&gt;35836.79&lt;/percentile&gt;&lt;max&gt;795000.00&lt;/max&gt;&lt;min&gt;35810.00&lt;/min&gt;&lt;/sell&gt;&lt;/type&gt;&lt;type id="3504"&gt;&lt;buy&gt;&lt;volume&gt;676&lt;/volume&gt;&lt;avg&gt;1887744.08&lt;/avg&gt;&lt;stddev&gt;442761.38&lt;/stddev&gt;&lt;median&gt;1957500.00&lt;/median&gt;&lt;percentile&gt;1970000.00&lt;/percentile&gt;&lt;max&gt;1970000.00&lt;/max&gt;&lt;min&gt;1005000.00&lt;/min&gt;&lt;/buy&gt;&lt;sell&gt;&lt;volume&gt;1433&lt;/volume&gt;&lt;avg&gt;2538628.75&lt;/avg&gt;&lt;stddev&gt;484451.44&lt;/stddev&gt;&lt;median&gt;2266500.00&lt;/median&gt;&lt;percentile&gt;2099000.00&lt;/percentile&gt;&lt;max&gt;3491000.00&lt;/max&gt;&lt;min&gt;2099000.00&lt;/min&gt;&lt;/sell&gt;&lt;/type&gt;&lt;type id="41218"&gt;&lt;buy&gt;&lt;volume&gt;413&lt;/volume&gt;&lt;avg&gt;23998329.30&lt;/avg&gt;&lt;stddev&gt;3458831.50&lt;/stddev&gt;&lt;median&gt;25100000.00&lt;/median&gt;&lt;percentile&gt;25375000.00&lt;/percentile&gt;&lt;max&gt;25390000.00&lt;/max&gt;&lt;min&gt;11000000.00&lt;/min&gt;&lt;/buy&gt;&lt;sell&gt;&lt;volume&gt;641&lt;/volume&gt;&lt;avg&gt;29936661.47&lt;/avg&gt;&lt;stddev&gt;2364289.42&lt;/stddev&gt;&lt;median&gt;29835000.00&lt;/median&gt;&lt;percentile&gt;28346052.63&lt;/percentile&gt;&lt;max&gt;38000000.00&lt;/max&gt;&lt;min&gt;28240000.00&lt;/min&gt;&lt;/sell&gt;&lt;/type&gt;&lt;type id="3496"&gt;&lt;buy&gt;&lt;volume&gt;551&lt;/volume&gt;&lt;avg&gt;973753.18&lt;/avg&gt;&lt;stddev&gt;461765.83&lt;/stddev&gt;&lt;median&gt;1118000.00&lt;/median&gt;&lt;percentile&gt;1120000.00&lt;/percentile&gt;&lt;max&gt;1120000.00&lt;/max&gt;&lt;min&gt;319200.00&lt;/min&gt;&lt;/buy&gt;&lt;sell&gt;&lt;volume&gt;3168&lt;/volume&gt;&lt;avg&gt;1354353.85&lt;/avg&gt;&lt;stddev&gt;104810.32&lt;/stddev&gt;&lt;median&gt;1365000.00&lt;/median&gt;&lt;percentile&gt;1225542.86&lt;/percentile&gt;&lt;max&gt;1553000.00&lt;/max&gt;&lt;min&gt;1224000.00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>
        <v>1143</v>
      </c>
      <c r="D47" s="39">
        <f t="shared" si="0"/>
        <v>1216.3634999999999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>
        <f t="shared" si="4"/>
        <v>22600.25</v>
      </c>
      <c r="J47" s="20">
        <f t="shared" si="5"/>
        <v>49000</v>
      </c>
      <c r="K47" s="19">
        <f t="shared" si="2"/>
        <v>1225</v>
      </c>
      <c r="L47" s="8">
        <f t="shared" si="8"/>
        <v>0.94264584558809927</v>
      </c>
      <c r="M47" s="9">
        <f t="shared" si="9"/>
        <v>59601811.5</v>
      </c>
      <c r="N47" s="10">
        <f t="shared" si="6"/>
        <v>-3418411.5000000009</v>
      </c>
      <c r="O47" s="11">
        <f t="shared" si="7"/>
        <v>-2790.5400000000009</v>
      </c>
      <c r="P47" s="23">
        <f t="shared" si="3"/>
        <v>56183400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7161.65&lt;/avg&gt;&lt;stddev&gt;2076.02&lt;/stddev&gt;&lt;median&gt;8572.00&lt;/median&gt;&lt;percentile&gt;8613.00&lt;/percentile&gt;&lt;max&gt;8613.00&lt;/max&gt;&lt;min&gt;3333.00&lt;/min&gt;&lt;/buy&gt;&lt;sell&gt;&lt;volume&gt;18784&lt;/volume&gt;&lt;avg&gt;20672.67&lt;/avg&gt;&lt;stddev&gt;11101.57&lt;/stddev&gt;&lt;median&gt;13355.00&lt;/median&gt;&lt;percentile&gt;11950.00&lt;/percentile&gt;&lt;max&gt;49000.00&lt;/max&gt;&lt;min&gt;11950.00&lt;/min&gt;&lt;/sell&gt;&lt;/type&gt;&lt;type id="2024"&gt;&lt;buy&gt;&lt;volume&gt;803&lt;/volume&gt;&lt;avg&gt;809616.81&lt;/avg&gt;&lt;stddev&gt;108573.77&lt;/stddev&gt;&lt;median&gt;830700.00&lt;/median&gt;&lt;percentile&gt;832600.00&lt;/percentile&gt;&lt;max&gt;832600.00&lt;/max&gt;&lt;min&gt;521000.00&lt;/min&gt;&lt;/buy&gt;&lt;sell&gt;&lt;volume&gt;3425&lt;/volume&gt;&lt;avg&gt;1259150.66&lt;/avg&gt;&lt;stddev&gt;267836.22&lt;/stddev&gt;&lt;median&gt;1083500.00&lt;/median&gt;&lt;percentile&gt;1041575.34&lt;/percentile&gt;&lt;max&gt;2038000.00&lt;/max&gt;&lt;min&gt;1028000.00&lt;/min&gt;&lt;/sell&gt;&lt;/type&gt;&lt;type id="3568"&gt;&lt;buy&gt;&lt;volume&gt;3716&lt;/volume&gt;&lt;avg&gt;449179.39&lt;/avg&gt;&lt;stddev&gt;44653.35&lt;/stddev&gt;&lt;median&gt;449900.00&lt;/median&gt;&lt;percentile&gt;453977.27&lt;/percentile&gt;&lt;max&gt;454000.00&lt;/max&gt;&lt;min&gt;250100.00&lt;/min&gt;&lt;/buy&gt;&lt;sell&gt;&lt;volume&gt;2703&lt;/volume&gt;&lt;avg&gt;719739.59&lt;/avg&gt;&lt;stddev&gt;67324.83&lt;/stddev&gt;&lt;median&gt;698600.00&lt;/median&gt;&lt;percentile&gt;695745.41&lt;/percentile&gt;&lt;max&gt;901000.00&lt;/max&gt;&lt;min&gt;690000.00&lt;/min&gt;&lt;/sell&gt;&lt;/type&gt;&lt;type id="1248"&gt;&lt;buy&gt;&lt;volume&gt;609&lt;/volume&gt;&lt;avg&gt;393292.28&lt;/avg&gt;&lt;stddev&gt;209166.12&lt;/stddev&gt;&lt;median&gt;550000.00&lt;/median&gt;&lt;percentile&gt;550100.00&lt;/percentile&gt;&lt;max&gt;550100.00&lt;/max&gt;&lt;min&gt;168100.00&lt;/min&gt;&lt;/buy&gt;&lt;sell&gt;&lt;volume&gt;6457&lt;/volume&gt;&lt;avg&gt;681596.11&lt;/avg&gt;&lt;stddev&gt;22662.13&lt;/stddev&gt;&lt;median&gt;666400.00&lt;/median&gt;&lt;percentile&gt;663900.00&lt;/percentile&gt;&lt;max&gt;722000.00&lt;/max&gt;&lt;min&gt;663900.00&lt;/min&gt;&lt;/sell&gt;&lt;/type&gt;&lt;type id="1447"&gt;&lt;buy&gt;&lt;volume&gt;6970&lt;/volume&gt;&lt;avg&gt;513153.20&lt;/avg&gt;&lt;stddev&gt;31790.94&lt;/stddev&gt;&lt;median&gt;519900.00&lt;/median&gt;&lt;percentile&gt;520500.00&lt;/percentile&gt;&lt;max&gt;520500.00&lt;/max&gt;&lt;min&gt;428500.00&lt;/min&gt;&lt;/buy&gt;&lt;sell&gt;&lt;volume&gt;2639&lt;/volume&gt;&lt;avg&gt;645157.86&lt;/avg&gt;&lt;stddev&gt;31375.80&lt;/stddev&gt;&lt;median&gt;634700.00&lt;/median&gt;&lt;percentile&gt;634528.96&lt;/percentile&gt;&lt;max&gt;712100.00&lt;/max&gt;&lt;min&gt;634200.00&lt;/min&gt;&lt;/sell&gt;&lt;/type&gt;&lt;type id="2032"&gt;&lt;buy&gt;&lt;volume&gt;1250&lt;/volume&gt;&lt;avg&gt;591880.00&lt;/avg&gt;&lt;stddev&gt;42225.58&lt;/stddev&gt;&lt;median&gt;604000.00&lt;/median&gt;&lt;percentile&gt;604000.00&lt;/percentile&gt;&lt;max&gt;604000.00&lt;/max&gt;&lt;min&gt;521000.00&lt;/min&gt;&lt;/buy&gt;&lt;sell&gt;&lt;volume&gt;3239&lt;/volume&gt;&lt;avg&gt;704933.00&lt;/avg&gt;&lt;stddev&gt;24282.18&lt;/stddev&gt;&lt;median&gt;710100.00&lt;/median&gt;&lt;percentile&gt;694900.00&lt;/percentile&gt;&lt;max&gt;775300.00&lt;/max&gt;&lt;min&gt;694900.00&lt;/min&gt;&lt;/sell&gt;&lt;/type&gt;&lt;type id="12271"&gt;&lt;buy&gt;&lt;volume&gt;333&lt;/volume&gt;&lt;avg&gt;4398228.23&lt;/avg&gt;&lt;stddev&gt;685947.59&lt;/stddev&gt;&lt;median&gt;4595500.00&lt;/median&gt;&lt;percentile&gt;4610250.00&lt;/percentile&gt;&lt;max&gt;4611000.00&lt;/max&gt;&lt;min&gt;2000000.00&lt;/min&gt;&lt;/buy&gt;&lt;sell&gt;&lt;volume&gt;814&lt;/volume&gt;&lt;avg&gt;5466233.42&lt;/avg&gt;&lt;stddev&gt;39709.45&lt;/stddev&gt;&lt;median&gt;5486500.00&lt;/median&gt;&lt;percentile&gt;5426111.11&lt;/percentile&gt;&lt;max&gt;5566000.00&lt;/max&gt;&lt;min&gt;5425000.00&lt;/min&gt;&lt;/sell&gt;&lt;/type&gt;&lt;type id="12267"&gt;&lt;buy&gt;&lt;volume&gt;1039&lt;/volume&gt;&lt;avg&gt;2456755.53&lt;/avg&gt;&lt;stddev&gt;326445.96&lt;/stddev&gt;&lt;median&gt;2489500.00&lt;/median&gt;&lt;percentile&gt;2579000.00&lt;/percentile&gt;&lt;max&gt;2579000.00&lt;/max&gt;&lt;min&gt;1500000.00&lt;/min&gt;&lt;/buy&gt;&lt;sell&gt;&lt;volume&gt;2906&lt;/volume&gt;&lt;avg&gt;3246213.35&lt;/avg&gt;&lt;stddev&gt;1082606.74&lt;/stddev&gt;&lt;median&gt;2990000.00&lt;/median&gt;&lt;percentile&gt;2987891.82&lt;/percentile&gt;&lt;max&gt;9500000.00&lt;/max&gt;&lt;min&gt;2985000.00&lt;/min&gt;&lt;/sell&gt;&lt;/type&gt;&lt;type id="13003"&gt;&lt;buy&gt;&lt;volume&gt;1423&lt;/volume&gt;&lt;avg&gt;1332808.15&lt;/avg&gt;&lt;stddev&gt;63277.88&lt;/stddev&gt;&lt;median&gt;1360000.00&lt;/median&gt;&lt;percentile&gt;1364600.00&lt;/percentile&gt;&lt;max&gt;1367000.00&lt;/max&gt;&lt;min&gt;1139000.00&lt;/min&gt;&lt;/buy&gt;&lt;sell&gt;&lt;volume&gt;2759&lt;/volume&gt;&lt;avg&gt;1743371.87&lt;/avg&gt;&lt;stddev&gt;272252.08&lt;/stddev&gt;&lt;median&gt;1652000.00&lt;/median&gt;&lt;percentile&gt;1577000.00&lt;/percentile&gt;&lt;max&gt;2473000.00&lt;/max&gt;&lt;min&gt;1577000.00&lt;/min&gt;&lt;/sell&gt;&lt;/type&gt;&lt;type id="13001"&gt;&lt;buy&gt;&lt;volume&gt;301&lt;/volume&gt;&lt;avg&gt;1751495.02&lt;/avg&gt;&lt;stddev&gt;403856.82&lt;/stddev&gt;&lt;median&gt;2100000.00&lt;/median&gt;&lt;percentile&gt;2100000.00&lt;/percentile&gt;&lt;max&gt;2100000.00&lt;/max&gt;&lt;min&gt;1400000.00&lt;/min&gt;&lt;/buy&gt;&lt;sell&gt;&lt;volume&gt;1414&lt;/volume&gt;&lt;avg&gt;2412840.88&lt;/avg&gt;&lt;stddev&gt;448900.62&lt;/stddev&gt;&lt;median&gt;2345000.00&lt;/median&gt;&lt;percentile&gt;2324869.57&lt;/percentile&gt;&lt;max&gt;3889000.00&lt;/max&gt;&lt;min&gt;2324000.00&lt;/min&gt;&lt;/sell&gt;&lt;/type&gt;&lt;type id="1541"&gt;&lt;buy&gt;&lt;volume&gt;1340&lt;/volume&gt;&lt;avg&gt;572880.37&lt;/avg&gt;&lt;stddev&gt;16721.43&lt;/stddev&gt;&lt;median&gt;562600.00&lt;/median&gt;&lt;percentile&gt;605000.00&lt;/percentile&gt;&lt;max&gt;605000.00&lt;/max&gt;&lt;min&gt;556000.00&lt;/min&gt;&lt;/buy&gt;&lt;sell&gt;&lt;volume&gt;4320&lt;/volume&gt;&lt;avg&gt;923739.12&lt;/avg&gt;&lt;stddev&gt;298702.47&lt;/stddev&gt;&lt;median&gt;677750.00&lt;/median&gt;&lt;percentile&gt;651847.96&lt;/percentile&gt;&lt;max&gt;1599000.00&lt;/max&gt;&lt;min&gt;649800.00&lt;/min&gt;&lt;/sell&gt;&lt;/type&gt;&lt;type id="31952"&gt;&lt;buy&gt;&lt;volume&gt;285&lt;/volume&gt;&lt;avg&gt;22780736.84&lt;/avg&gt;&lt;stddev&gt;801915.63&lt;/stddev&gt;&lt;median&gt;22830000.00&lt;/median&gt;&lt;percentile&gt;24087333.33&lt;/percentile&gt;&lt;max&gt;24100000.00&lt;/max&gt;&lt;min&gt;22220000.00&lt;/min&gt;&lt;/buy&gt;&lt;sell&gt;&lt;volume&gt;175&lt;/volume&gt;&lt;avg&gt;33075142.86&lt;/avg&gt;&lt;stddev&gt;6269647.84&lt;/stddev&gt;&lt;median&gt;31450000.00&lt;/median&gt;&lt;percentile&gt;27917777.78&lt;/percentile&gt;&lt;max&gt;50740000.00&lt;/max&gt;&lt;min&gt;27890000.00&lt;/min&gt;&lt;/sell&gt;&lt;/type&gt;&lt;type id="1355"&gt;&lt;buy&gt;&lt;volume&gt;863&lt;/volume&gt;&lt;avg&gt;642560.95&lt;/avg&gt;&lt;stddev&gt;223483.61&lt;/stddev&gt;&lt;median&gt;652400.00&lt;/median&gt;&lt;percentile&gt;657800.00&lt;/percentile&gt;&lt;max&gt;657800.00&lt;/max&gt;&lt;min&gt;150000.00&lt;/min&gt;&lt;/buy&gt;&lt;sell&gt;&lt;volume&gt;4102&lt;/volume&gt;&lt;avg&gt;742368.41&lt;/avg&gt;&lt;stddev&gt;56929.12&lt;/stddev&gt;&lt;median&gt;721050.00&lt;/median&gt;&lt;percentile&gt;689000.00&lt;/percentile&gt;&lt;max&gt;852600.00&lt;/max&gt;&lt;min&gt;689000.00&lt;/min&gt;&lt;/sell&gt;&lt;/type&gt;&lt;type id="25861"&gt;&lt;buy&gt;&lt;volume&gt;6030&lt;/volume&gt;&lt;avg&gt;19485.04&lt;/avg&gt;&lt;stddev&gt;11244.28&lt;/stddev&gt;&lt;median&gt;11265.00&lt;/median&gt;&lt;percentile&gt;40780.00&lt;/percentile&gt;&lt;max&gt;40780.00&lt;/max&gt;&lt;min&gt;10000.00&lt;/min&gt;&lt;/buy&gt;&lt;sell&gt;&lt;volume&gt;14461&lt;/volume&gt;&lt;avg&gt;52718.26&lt;/avg&gt;&lt;stddev&gt;2607.78&lt;/stddev&gt;&lt;median&gt;54135.00&lt;/median&gt;&lt;percentile&gt;48999.53&lt;/percentile&gt;&lt;max&gt;56380.00&lt;/max&gt;&lt;min&gt;48980.00&lt;/min&gt;&lt;/sell&gt;&lt;/type&gt;&lt;type id="30836"&gt;&lt;buy&gt;&lt;volume&gt;664&lt;/volume&gt;&lt;avg&gt;755880.87&lt;/avg&gt;&lt;stddev&gt;139701.84&lt;/stddev&gt;&lt;median&gt;803950.00&lt;/median&gt;&lt;percentile&gt;813100.00&lt;/percentile&gt;&lt;max&gt;813100.00&lt;/max&gt;&lt;min&gt;478400.00&lt;/min&gt;&lt;/buy&gt;&lt;sell&gt;&lt;volume&gt;2385&lt;/volume&gt;&lt;avg&gt;1016269.69&lt;/avg&gt;&lt;stddev&gt;56548.87&lt;/stddev&gt;&lt;median&gt;995000.00&lt;/median&gt;&lt;percentile&gt;984795.24&lt;/percentile&gt;&lt;max&gt;1199000.00&lt;/max&gt;&lt;min&gt;984700.00&lt;/min&gt;&lt;/sell&gt;&lt;/type&gt;&lt;type id="4403"&gt;&lt;buy&gt;&lt;volume&gt;1910&lt;/volume&gt;&lt;avg&gt;885606.28&lt;/avg&gt;&lt;stddev&gt;168237.46&lt;/stddev&gt;&lt;median&gt;698350.00&lt;/median&gt;&lt;percentile&gt;901800.00&lt;/percentile&gt;&lt;max&gt;901800.00&lt;/max&gt;&lt;min&gt;500000.00&lt;/min&gt;&lt;/buy&gt;&lt;sell&gt;&lt;volume&gt;5742&lt;/volume&gt;&lt;avg&gt;1254521.25&lt;/avg&gt;&lt;stddev&gt;213968.26&lt;/stddev&gt;&lt;median&gt;1222000.00&lt;/median&gt;&lt;percentile&gt;1037982.40&lt;/percentile&gt;&lt;max&gt;1999000.00&lt;/max&gt;&lt;min&gt;1000000.00&lt;/min&gt;&lt;/sell&gt;&lt;/type&gt;&lt;type id="20353"&gt;&lt;buy&gt;&lt;volume&gt;375&lt;/volume&gt;&lt;avg&gt;4356360.00&lt;/avg&gt;&lt;stddev&gt;413711.40&lt;/stddev&gt;&lt;median&gt;4046500.00&lt;/median&gt;&lt;percentile&gt;4967000.00&lt;/percentile&gt;&lt;max&gt;4967000.00&lt;/max&gt;&lt;min&gt;4008000.00&lt;/min&gt;&lt;/buy&gt;&lt;sell&gt;&lt;volume&gt;1415&lt;/volume&gt;&lt;avg&gt;5911915.19&lt;/avg&gt;&lt;stddev&gt;491830.25&lt;/stddev&gt;&lt;median&gt;6085000.00&lt;/median&gt;&lt;percentile&gt;5396197.92&lt;/percentile&gt;&lt;max&gt;6882000.00&lt;/max&gt;&lt;min&gt;5395000.00&lt;/min&gt;&lt;/sell&gt;&lt;/type&gt;&lt;type id="31900"&gt;&lt;buy&gt;&lt;volume&gt;250&lt;/volume&gt;&lt;avg&gt;30021160.00&lt;/avg&gt;&lt;stddev&gt;4601058.68&lt;/stddev&gt;&lt;median&gt;28800000.00&lt;/median&gt;&lt;percentile&gt;33120000.00&lt;/percentile&gt;&lt;max&gt;33120000.00&lt;/max&gt;&lt;min&gt;15000000.00&lt;/min&gt;&lt;/buy&gt;&lt;sell&gt;&lt;volume&gt;475&lt;/volume&gt;&lt;avg&gt;40300126.32&lt;/avg&gt;&lt;stddev&gt;13071941.08&lt;/stddev&gt;&lt;median&gt;38720000.00&lt;/median&gt;&lt;percentile&gt;36836666.67&lt;/percentile&gt;&lt;max&gt;93940000.00&lt;/max&gt;&lt;min&gt;36710000.00&lt;/min&gt;&lt;/sell&gt;&lt;/type&gt;&lt;type id="20351"&gt;&lt;buy&gt;&lt;volume&gt;120&lt;/volume&gt;&lt;avg&gt;2484166.67&lt;/avg&gt;&lt;stddev&gt;707.11&lt;/stddev&gt;&lt;median&gt;2484000.00&lt;/median&gt;&lt;percentile&gt;2485000.00&lt;/percentile&gt;&lt;max&gt;2485000.00&lt;/max&gt;&lt;min&gt;2484000.00&lt;/min&gt;&lt;/buy&gt;&lt;sell&gt;&lt;volume&gt;1927&lt;/volume&gt;&lt;avg&gt;3099857.81&lt;/avg&gt;&lt;stddev&gt;270730.55&lt;/stddev&gt;&lt;median&gt;3061000.00&lt;/median&gt;&lt;percentile&gt;2970000.00&lt;/percentile&gt;&lt;max&gt;3693000.00&lt;/max&gt;&lt;min&gt;2970000.00&lt;/min&gt;&lt;/sell&gt;&lt;/type&gt;&lt;type id="33101"&gt;&lt;buy&gt;&lt;volume&gt;3737&lt;/volume&gt;&lt;avg&gt;740843.59&lt;/avg&gt;&lt;stddev&gt;202105.41&lt;/stddev&gt;&lt;median&gt;800300.00&lt;/median&gt;&lt;percentile&gt;803600.00&lt;/percentile&gt;&lt;max&gt;803600.00&lt;/max&gt;&lt;min&gt;302100.00&lt;/min&gt;&lt;/buy&gt;&lt;sell&gt;&lt;volume&gt;2506&lt;/volume&gt;&lt;avg&gt;1004599.76&lt;/avg&gt;&lt;stddev&gt;512010.12&lt;/stddev&gt;&lt;median&gt;893550.00&lt;/median&gt;&lt;percentile&gt;872117.36&lt;/percentile&gt;&lt;max&gt;2751000.00&lt;/max&gt;&lt;min&gt;870400.00&lt;/min&gt;&lt;/sell&gt;&lt;/type&gt;&lt;type id="3530"&gt;&lt;buy&gt;&lt;volume&gt;660&lt;/volume&gt;&lt;avg&gt;1089318.18&lt;/avg&gt;&lt;stddev&gt;185001.88&lt;/stddev&gt;&lt;median&gt;1149000.00&lt;/median&gt;&lt;percentile&gt;1161000.00&lt;/percentile&gt;&lt;max&gt;1161000.00&lt;/max&gt;&lt;min&gt;600000.00&lt;/min&gt;&lt;/buy&gt;&lt;sell&gt;&lt;volume&gt;3557&lt;/volume&gt;&lt;avg&gt;1585953.61&lt;/avg&gt;&lt;stddev&gt;312754.97&lt;/stddev&gt;&lt;median&gt;1576000.00&lt;/median&gt;&lt;percentile&gt;1288890.21&lt;/percentile&gt;&lt;max&gt;2900000.00&lt;/max&gt;&lt;min&gt;1288000.00&lt;/min&gt;&lt;/sell&gt;&lt;/type&gt;&lt;type id="33076"&gt;&lt;buy&gt;&lt;volume&gt;44000&lt;/volume&gt;&lt;avg&gt;13681.29&lt;/avg&gt;&lt;stddev&gt;2347.56&lt;/stddev&gt;&lt;median&gt;14720.00&lt;/median&gt;&lt;percentile&gt;17203.37&lt;/percentile&gt;&lt;max&gt;17550.00&lt;/max&gt;&lt;min&gt;10000.00&lt;/min&gt;&lt;/buy&gt;&lt;sell&gt;&lt;volume&gt;7219&lt;/volume&gt;&lt;avg&gt;67835.81&lt;/avg&gt;&lt;stddev&gt;29394.40&lt;/stddev&gt;&lt;median&gt;73360.00&lt;/median&gt;&lt;percentile&gt;26893.47&lt;/percentile&gt;&lt;max&gt;149700.00&lt;/max&gt;&lt;min&gt;26800.00&lt;/min&gt;&lt;/sell&gt;&lt;/type&gt;&lt;type id="1306"&gt;&lt;buy&gt;&lt;volume&gt;669&lt;/volume&gt;&lt;avg&gt;221052.77&lt;/avg&gt;&lt;stddev&gt;37254.03&lt;/stddev&gt;&lt;median&gt;233600.00&lt;/median&gt;&lt;percentile&gt;233700.00&lt;/percentile&gt;&lt;max&gt;233700.00&lt;/max&gt;&lt;min&gt;150200.00&lt;/min&gt;&lt;/buy&gt;&lt;sell&gt;&lt;volume&gt;3861&lt;/volume&gt;&lt;avg&gt;434794.90&lt;/avg&gt;&lt;stddev&gt;63327.43&lt;/stddev&gt;&lt;median&gt;391900.00&lt;/median&gt;&lt;percentile&gt;377474.40&lt;/percentile&gt;&lt;max&gt;537400.00&lt;/max&gt;&lt;min&gt;377400.00&lt;/min&gt;&lt;/sell&gt;&lt;/type&gt;&lt;type id="2046"&gt;&lt;buy&gt;&lt;volume&gt;6670&lt;/volume&gt;&lt;avg&gt;7750.78&lt;/avg&gt;&lt;stddev&gt;1454.65&lt;/stddev&gt;&lt;median&gt;8256.00&lt;/median&gt;&lt;percentile&gt;8260.00&lt;/percentile&gt;&lt;max&gt;8260.00&lt;/max&gt;&lt;min&gt;4129.00&lt;/min&gt;&lt;/buy&gt;&lt;sell&gt;&lt;volume&gt;33414&lt;/volume&gt;&lt;avg&gt;39287.87&lt;/avg&gt;&lt;stddev&gt;9624.66&lt;/stddev&gt;&lt;median&gt;37990.00&lt;/median&gt;&lt;percentile&gt;16946.04&lt;/percentile&gt;&lt;max&gt;47630.00&lt;/max&gt;&lt;min&gt;16900.00&lt;/min&gt;&lt;/sell&gt;&lt;/type&gt;&lt;type id="47255"&gt;&lt;buy&gt;&lt;volume&gt;18467&lt;/volume&gt;&lt;avg&gt;16888.44&lt;/avg&gt;&lt;stddev&gt;14738.42&lt;/stddev&gt;&lt;median&gt;20520.00&lt;/median&gt;&lt;percentile&gt;41023.19&lt;/percentile&gt;&lt;max&gt;41050.00&lt;/max&gt;&lt;min&gt;7540.00&lt;/min&gt;&lt;/buy&gt;&lt;sell&gt;&lt;volume&gt;4691&lt;/volume&gt;&lt;avg&gt;194981.18&lt;/avg&gt;&lt;stddev&gt;57334.13&lt;/stddev&gt;&lt;median&gt;199600.00&lt;/median&gt;&lt;percentile&gt;129900.00&lt;/percentile&gt;&lt;max&gt;350900.00&lt;/max&gt;&lt;min&gt;129900.00&lt;/min&gt;&lt;/sell&gt;&lt;/type&gt;&lt;type id="5839"&gt;&lt;buy&gt;&lt;volume&gt;939&lt;/volume&gt;&lt;avg&gt;1476378.59&lt;/avg&gt;&lt;stddev&gt;507871.82&lt;/stddev&gt;&lt;median&gt;1681000.00&lt;/median&gt;&lt;percentile&gt;1803000.00&lt;/percentile&gt;&lt;max&gt;1803000.00&lt;/max&gt;&lt;min&gt;600000.00&lt;/min&gt;&lt;/buy&gt;&lt;sell&gt;&lt;volume&gt;3443&lt;/volume&gt;&lt;avg&gt;2324711.30&lt;/avg&gt;&lt;stddev&gt;241016.28&lt;/stddev&gt;&lt;median&gt;2353000.00&lt;/median&gt;&lt;percentile&gt;2067997.57&lt;/percentile&gt;&lt;max&gt;3252000.00&lt;/max&gt;&lt;min&gt;2062000.00&lt;/min&gt;&lt;/sell&gt;&lt;/type&gt;&lt;type id="47257"&gt;&lt;buy&gt;&lt;volume&gt;2125&lt;/volume&gt;&lt;avg&gt;366684.71&lt;/avg&gt;&lt;stddev&gt;28632.68&lt;/stddev&gt;&lt;median&gt;384150.00&lt;/median&gt;&lt;percentile&gt;400200.00&lt;/percentile&gt;&lt;max&gt;400200.00&lt;/max&gt;&lt;min&gt;322700.00&lt;/min&gt;&lt;/buy&gt;&lt;sell&gt;&lt;volume&gt;4953&lt;/volume&gt;&lt;avg&gt;475257.14&lt;/avg&gt;&lt;stddev&gt;19795.07&lt;/stddev&gt;&lt;median&gt;475000.00&lt;/median&gt;&lt;percentile&gt;474123.53&lt;/percentile&gt;&lt;max&gt;550400.00&lt;/max&gt;&lt;min&gt;473600.00&lt;/min&gt;&lt;/sell&gt;&lt;/type&gt;&lt;type id="2048"&gt;&lt;buy&gt;&lt;volume&gt;8027&lt;/volume&gt;&lt;avg&gt;386596.71&lt;/avg&gt;&lt;stddev&gt;100641.48&lt;/stddev&gt;&lt;median&gt;400000.00&lt;/median&gt;&lt;percentile&gt;412935.44&lt;/percentile&gt;&lt;max&gt;413000.00&lt;/max&gt;&lt;min&gt;107700.00&lt;/min&gt;&lt;/buy&gt;&lt;sell&gt;&lt;volume&gt;26853&lt;/volume&gt;&lt;avg&gt;480476.78&lt;/avg&gt;&lt;stddev&gt;113945.17&lt;/stddev&gt;&lt;median&gt;488100.00&lt;/median&gt;&lt;percentile&gt;449828.68&lt;/percentile&gt;&lt;max&gt;1200000.00&lt;/max&gt;&lt;min&gt;449700.00&lt;/min&gt;&lt;/sell&gt;&lt;/type&gt;&lt;type id="11269"&gt;&lt;buy&gt;&lt;volume&gt;1855&lt;/volume&gt;&lt;avg&gt;720977.52&lt;/avg&gt;&lt;stddev&gt;208011.93&lt;/stddev&gt;&lt;median&gt;838900.00&lt;/median&gt;&lt;percentile&gt;916127.91&lt;/percentile&gt;&lt;max&gt;916500.00&lt;/max&gt;&lt;min&gt;232100.00&lt;/min&gt;&lt;/buy&gt;&lt;sell&gt;&lt;volume&gt;5476&lt;/volume&gt;&lt;avg&gt;1181285.96&lt;/avg&gt;&lt;stddev&gt;196495.79&lt;/stddev&gt;&lt;median&gt;999900.00&lt;/median&gt;&lt;percentile&gt;988978.36&lt;/percentile&gt;&lt;max&gt;1999000.00&lt;/max&gt;&lt;min&gt;988900.00&lt;/min&gt;&lt;/sell&gt;&lt;/type&gt;&lt;type id="15729"&gt;&lt;buy&gt;&lt;volume&gt;240&lt;/volume&gt;&lt;avg&gt;22851250.00&lt;/avg&gt;&lt;stddev&gt;1129109.78&lt;/stddev&gt;&lt;median&gt;22625000.00&lt;/median&gt;&lt;percentile&gt;24240000.00&lt;/percentile&gt;&lt;max&gt;24240000.00&lt;/max&gt;&lt;min&gt;21000000.00&lt;/min&gt;&lt;/buy&gt;&lt;sell&gt;&lt;volume&gt;349&lt;/volume&gt;&lt;avg&gt;28342349.57&lt;/avg&gt;&lt;stddev&gt;2482246.43&lt;/stddev&gt;&lt;median&gt;27575000.00&lt;/median&gt;&lt;percentile&gt;26786666.67&lt;/percentile&gt;&lt;max&gt;34990000.00&lt;/max&gt;&lt;min&gt;26780000.00&lt;/min&gt;&lt;/sell&gt;&lt;/type&gt;&lt;type id="1319"&gt;&lt;buy&gt;&lt;volume&gt;3873&lt;/volume&gt;&lt;avg&gt;285881.95&lt;/avg&gt;&lt;stddev&gt;68951.90&lt;/stddev&gt;&lt;median&gt;341500.00&lt;/median&gt;&lt;percentile&gt;352520.16&lt;/percentile&gt;&lt;max&gt;352600.00&lt;/max&gt;&lt;min&gt;150200.00&lt;/min&gt;&lt;/buy&gt;&lt;sell&gt;&lt;volume&gt;10445&lt;/volume&gt;&lt;avg&gt;410163.54&lt;/avg&gt;&lt;stddev&gt;160783.09&lt;/stddev&gt;&lt;median&gt;406800.00&lt;/median&gt;&lt;percentile&gt;398543.64&lt;/percentile&gt;&lt;max&gt;1058000.00&lt;/max&gt;&lt;min&gt;397600.00&lt;/min&gt;&lt;/sell&gt;&lt;/type&gt;&lt;type id="2605"&gt;&lt;buy&gt;&lt;volume&gt;9519&lt;/volume&gt;&lt;avg&gt;258945.04&lt;/avg&gt;&lt;stddev&gt;31216.06&lt;/stddev&gt;&lt;median&gt;266800.00&lt;/median&gt;&lt;percentile&gt;276512.90&lt;/percentile&gt;&lt;max&gt;276900.00&lt;/max&gt;&lt;min&gt;186200.00&lt;/min&gt;&lt;/buy&gt;&lt;sell&gt;&lt;volume&gt;6989&lt;/volume&gt;&lt;avg&gt;464563.08&lt;/avg&gt;&lt;stddev&gt;100052.73&lt;/stddev&gt;&lt;median&gt;474450.00&lt;/median&gt;&lt;percentile&gt;337717.81&lt;/percentile&gt;&lt;max&gt;779300.00&lt;/max&gt;&lt;min&gt;337700.00&lt;/min&gt;&lt;/sell&gt;&lt;/type&gt;&lt;type id="1335"&gt;&lt;buy&gt;&lt;volume&gt;1149&lt;/volume&gt;&lt;avg&gt;293399.74&lt;/avg&gt;&lt;stddev&gt;73398.51&lt;/stddev&gt;&lt;median&gt;304900.00&lt;/median&gt;&lt;percentile&gt;320800.00&lt;/percentile&gt;&lt;max&gt;320800.00&lt;/max&gt;&lt;min&gt;150000.00&lt;/min&gt;&lt;/buy&gt;&lt;sell&gt;&lt;volume&gt;15754&lt;/volume&gt;&lt;avg&gt;561738.85&lt;/avg&gt;&lt;stddev&gt;71017.94&lt;/stddev&gt;&lt;median&gt;639400.00&lt;/median&gt;&lt;percentile&gt;353374.71&lt;/percentile&gt;&lt;max&gt;778800.00&lt;/max&gt;&lt;min&gt;353300.00&lt;/min&gt;&lt;/sell&gt;&lt;/type&gt;&lt;type id="5955"&gt;&lt;buy&gt;&lt;volume&gt;15927&lt;/volume&gt;&lt;avg&gt;138139.00&lt;/avg&gt;&lt;stddev&gt;10086.92&lt;/stddev&gt;&lt;median&gt;138800.00&lt;/median&gt;&lt;percentile&gt;141027.54&lt;/percentile&gt;&lt;max&gt;141200.00&lt;/max&gt;&lt;min&gt;114300.00&lt;/min&gt;&lt;/buy&gt;&lt;sell&gt;&lt;volume&gt;3082&lt;/volume&gt;&lt;avg&gt;171717.16&lt;/avg&gt;&lt;stddev&gt;6507.27&lt;/stddev&gt;&lt;median&gt;172800.00&lt;/median&gt;&lt;percentile&gt;166003.27&lt;/percentile&gt;&lt;max&gt;175000.00&lt;/max&gt;&lt;min&gt;149200.00&lt;/min&gt;&lt;/sell&gt;&lt;/type&gt;&lt;type id="35657"&gt;&lt;buy&gt;&lt;volume&gt;15316&lt;/volume&gt;&lt;avg&gt;142309.31&lt;/avg&gt;&lt;stddev&gt;5386.27&lt;/stddev&gt;&lt;median&gt;142400.00&lt;/median&gt;&lt;percentile&gt;145991.91&lt;/percentile&gt;&lt;max&gt;146000.00&lt;/max&gt;&lt;min&gt;128700.00&lt;/min&gt;&lt;/buy&gt;&lt;sell&gt;&lt;volume&gt;4579&lt;/volume&gt;&lt;avg&gt;237194.08&lt;/avg&gt;&lt;stddev&gt;33119.61&lt;/stddev&gt;&lt;median&gt;285100.00&lt;/median&gt;&lt;percentile&gt;170661.94&lt;/percentile&gt;&lt;max&gt;285100.00&lt;/max&gt;&lt;min&gt;165000.00&lt;/min&gt;&lt;/sell&gt;&lt;/type&gt;&lt;type id="6005"&gt;&lt;buy&gt;&lt;volume&gt;41691&lt;/volume&gt;&lt;avg&gt;3612.47&lt;/avg&gt;&lt;stddev&gt;351.39&lt;/stddev&gt;&lt;median&gt;3447.00&lt;/median&gt;&lt;percentile&gt;4015.21&lt;/percentile&gt;&lt;max&gt;4018.00&lt;/max&gt;&lt;min&gt;3100.00&lt;/min&gt;&lt;/buy&gt;&lt;sell&gt;&lt;volume&gt;28765&lt;/volume&gt;&lt;avg&gt;37837.73&lt;/avg&gt;&lt;stddev&gt;12165.06&lt;/stddev&gt;&lt;median&gt;49990.00&lt;/median&gt;&lt;percentile&gt;13000.00&lt;/percentile&gt;&lt;max&gt;49990.00&lt;/max&gt;&lt;min&gt;13000.00&lt;/min&gt;&lt;/sell&gt;&lt;/type&gt;&lt;type id="35656"&gt;&lt;buy&gt;&lt;volume&gt;36295&lt;/volume&gt;&lt;avg&gt;10054.28&lt;/avg&gt;&lt;stddev&gt;3052.63&lt;/stddev&gt;&lt;median&gt;8851.50&lt;/median&gt;&lt;percentile&gt;14632.50&lt;/percentile&gt;&lt;max&gt;15180.00&lt;/max&gt;&lt;min&gt;4730.00&lt;/min&gt;&lt;/buy&gt;&lt;sell&gt;&lt;volume&gt;13320&lt;/volume&gt;&lt;avg&gt;26137.39&lt;/avg&gt;&lt;stddev&gt;949.99&lt;/stddev&gt;&lt;median&gt;26280.00&lt;/median&gt;&lt;percentile&gt;24990.00&lt;/percentile&gt;&lt;max&gt;27990.00&lt;/max&gt;&lt;min&gt;24990.00&lt;/min&gt;&lt;/sell&gt;&lt;/type&gt;&lt;type id="6001"&gt;&lt;buy&gt;&lt;volume&gt;22376&lt;/volume&gt;&lt;avg&gt;30883.69&lt;/avg&gt;&lt;stddev&gt;7017.80&lt;/stddev&gt;&lt;median&gt;36000.00&lt;/median&gt;&lt;percentile&gt;46951.48&lt;/percentile&gt;&lt;max&gt;47060.00&lt;/max&gt;&lt;min&gt;21020.00&lt;/min&gt;&lt;/buy&gt;&lt;sell&gt;&lt;volume&gt;4456&lt;/volume&gt;&lt;avg&gt;67167.08&lt;/avg&gt;&lt;stddev&gt;42372.08&lt;/stddev&gt;&lt;median&gt;64685.00&lt;/median&gt;&lt;percentile&gt;64491.29&lt;/percentile&gt;&lt;max&gt;193000.00&lt;/max&gt;&lt;min&gt;54000.00&lt;/min&gt;&lt;/sell&gt;&lt;/type&gt;&lt;type id="12068"&gt;&lt;buy&gt;&lt;volume&gt;310&lt;/volume&gt;&lt;avg&gt;2823870.97&lt;/avg&gt;&lt;stddev&gt;787325.31&lt;/stddev&gt;&lt;median&gt;2133000.00&lt;/median&gt;&lt;percentile&gt;3650000.00&lt;/percentile&gt;&lt;max&gt;3650000.00&lt;/max&gt;&lt;min&gt;2093000.00&lt;/min&gt;&lt;/buy&gt;&lt;sell&gt;&lt;volume&gt;1698&lt;/volume&gt;&lt;avg&gt;3997628.39&lt;/avg&gt;&lt;stddev&gt;244370.11&lt;/stddev&gt;&lt;median&gt;3963000.00&lt;/median&gt;&lt;percentile&gt;3890833.33&lt;/percentile&gt;&lt;max&gt;4899000.00&lt;/max&gt;&lt;min&gt;3890000.00&lt;/min&gt;&lt;/sell&gt;&lt;/type&gt;&lt;type id="12058"&gt;&lt;buy&gt;&lt;volume&gt;1151&lt;/volume&gt;&lt;avg&gt;2681033.88&lt;/avg&gt;&lt;stddev&gt;376751.67&lt;/stddev&gt;&lt;median&gt;2849000.00&lt;/median&gt;&lt;percentile&gt;2966684.93&lt;/percentile&gt;&lt;max&gt;2967000.00&lt;/max&gt;&lt;min&gt;1829000.00&lt;/min&gt;&lt;/buy&gt;&lt;sell&gt;&lt;volume&gt;1705&lt;/volume&gt;&lt;avg&gt;3591530.21&lt;/avg&gt;&lt;stddev&gt;603815.43&lt;/stddev&gt;&lt;median&gt;3546500.00&lt;/median&gt;&lt;percentile&gt;3198929.82&lt;/percentile&gt;&lt;max&gt;5000000.00&lt;/max&gt;&lt;min&gt;3197000.00&lt;/min&gt;&lt;/sell&gt;&lt;/type&gt;&lt;type id="438"&gt;&lt;buy&gt;&lt;volume&gt;985&lt;/volume&gt;&lt;avg&gt;1743739.09&lt;/avg&gt;&lt;stddev&gt;490607.34&lt;/stddev&gt;&lt;median&gt;1925000.00&lt;/median&gt;&lt;percentile&gt;2126666.67&lt;/percentile&gt;&lt;max&gt;2127000.00&lt;/max&gt;&lt;min&gt;1002000.00&lt;/min&gt;&lt;/buy&gt;&lt;sell&gt;&lt;volume&gt;555&lt;/volume&gt;&lt;avg&gt;2489504.50&lt;/avg&gt;&lt;stddev&gt;240023.89&lt;/stddev&gt;&lt;median&gt;2491000.00&lt;/median&gt;&lt;percentile&gt;2482000.00&lt;/percentile&gt;&lt;max&gt;3000000.00&lt;/max&gt;&lt;min&gt;2482000.00&lt;/min&gt;&lt;/sell&gt;&lt;/type&gt;&lt;type id="15766"&gt;&lt;buy&gt;&lt;volume&gt;168&lt;/volume&gt;&lt;avg&gt;25800416.67&lt;/avg&gt;&lt;stddev&gt;4978923.41&lt;/stddev&gt;&lt;median&gt;27610000.00&lt;/median&gt;&lt;percentile&gt;28105000.00&lt;/percentile&gt;&lt;max&gt;28110000.00&lt;/max&gt;&lt;min&gt;13620000.00&lt;/min&gt;&lt;/buy&gt;&lt;sell&gt;&lt;volume&gt;10&lt;/volume&gt;&lt;avg&gt;35000000.00&lt;/avg&gt;&lt;stddev&gt;0.00&lt;/stddev&gt;&lt;median&gt;35000000.00&lt;/median&gt;&lt;percentile&gt;35000000.00&lt;/percentile&gt;&lt;max&gt;35000000.00&lt;/max&gt;&lt;min&gt;35000000.00&lt;/min&gt;&lt;/sell&gt;&lt;/type&gt;&lt;type id="4383"&gt;&lt;buy&gt;&lt;volume&gt;346&lt;/volume&gt;&lt;avg&gt;1784653.18&lt;/avg&gt;&lt;stddev&gt;219382.09&lt;/stddev&gt;&lt;median&gt;2000000.00&lt;/median&gt;&lt;percentile&gt;2000000.00&lt;/percentile&gt;&lt;max&gt;2000000.00&lt;/max&gt;&lt;min&gt;1501000.00&lt;/min&gt;&lt;/buy&gt;&lt;sell&gt;&lt;volume&gt;1437&lt;/volume&gt;&lt;avg&gt;2506556.72&lt;/avg&gt;&lt;stddev&gt;250999.66&lt;/stddev&gt;&lt;median&gt;2557000.00&lt;/median&gt;&lt;percentile&gt;2200471.70&lt;/percentile&gt;&lt;max&gt;2999000.00&lt;/max&gt;&lt;min&gt;2200000.00&lt;/min&gt;&lt;/sell&gt;&lt;/type&gt;&lt;type id="33915"&gt;&lt;buy&gt;&lt;volume&gt;764&lt;/volume&gt;&lt;avg&gt;487345.42&lt;/avg&gt;&lt;stddev&gt;109083.21&lt;/stddev&gt;&lt;median&gt;502550.00&lt;/median&gt;&lt;percentile&gt;587900.00&lt;/percentile&gt;&lt;max&gt;587900.00&lt;/max&gt;&lt;min&gt;235900.00&lt;/min&gt;&lt;/buy&gt;&lt;sell&gt;&lt;volume&gt;3324&lt;/volume&gt;&lt;avg&gt;885814.56&lt;/avg&gt;&lt;stddev&gt;108173.03&lt;/stddev&gt;&lt;median&gt;950000.00&lt;/median&gt;&lt;percentile&gt;624924.51&lt;/percentile&gt;&lt;max&gt;970000.00&lt;/max&gt;&lt;min&gt;624900.00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11877&lt;/volume&gt;&lt;avg&gt;23200.33&lt;/avg&gt;&lt;stddev&gt;4051.70&lt;/stddev&gt;&lt;median&gt;25700.00&lt;/median&gt;&lt;percentile&gt;19100.00&lt;/percentile&gt;&lt;max&gt;32070.00&lt;/max&gt;&lt;min&gt;19100.00&lt;/min&gt;&lt;/sell&gt;&lt;/type&gt;&lt;type id="35660"&gt;&lt;buy&gt;&lt;volume&gt;45150&lt;/volume&gt;&lt;avg&gt;9666.50&lt;/avg&gt;&lt;stddev&gt;976.60&lt;/stddev&gt;&lt;median&gt;9081.00&lt;/median&gt;&lt;percentile&gt;11412.00&lt;/percentile&gt;&lt;max&gt;11420.00&lt;/max&gt;&lt;min&gt;9081.00&lt;/min&gt;&lt;/buy&gt;&lt;sell&gt;&lt;volume&gt;14349&lt;/volume&gt;&lt;avg&gt;20051.48&lt;/avg&gt;&lt;stddev&gt;4798.67&lt;/stddev&gt;&lt;median&gt;16750.00&lt;/median&gt;&lt;percentile&gt;15487.72&lt;/percentile&gt;&lt;max&gt;32000.00&lt;/max&gt;&lt;min&gt;15460.00&lt;/min&gt;&lt;/sell&gt;&lt;/type&gt;&lt;type id="35659"&gt;&lt;buy&gt;&lt;volume&gt;120622&lt;/volume&gt;&lt;avg&gt;8784.92&lt;/avg&gt;&lt;stddev&gt;22141.94&lt;/stddev&gt;&lt;median&gt;5003.00&lt;/median&gt;&lt;percentile&gt;39754.40&lt;/percentile&gt;&lt;max&gt;69550.00&lt;/max&gt;&lt;min&gt;5003.00&lt;/min&gt;&lt;/buy&gt;&lt;sell&gt;&lt;volume&gt;2313&lt;/volume&gt;&lt;avg&gt;494842.67&lt;/avg&gt;&lt;stddev&gt;574733.55&lt;/stddev&gt;&lt;median&gt;374200.00&lt;/median&gt;&lt;percentile&gt;341830.53&lt;/percentile&gt;&lt;max&gt;2776000.00&lt;/max&gt;&lt;min&gt;340000.00&lt;/min&gt;&lt;/sell&gt;&lt;/type&gt;&lt;type id="5971"&gt;&lt;buy&gt;&lt;volume&gt;23909&lt;/volume&gt;&lt;avg&gt;11358.71&lt;/avg&gt;&lt;stddev&gt;3325.23&lt;/stddev&gt;&lt;median&gt;10500.00&lt;/median&gt;&lt;percentile&gt;19765.33&lt;/percentile&gt;&lt;max&gt;19930.00&lt;/max&gt;&lt;min&gt;10000.00&lt;/min&gt;&lt;/buy&gt;&lt;sell&gt;&lt;volume&gt;6760&lt;/volume&gt;&lt;avg&gt;78612.59&lt;/avg&gt;&lt;stddev&gt;39630.38&lt;/stddev&gt;&lt;median&gt;57000.00&lt;/median&gt;&lt;percentile&gt;43174.68&lt;/percentile&gt;&lt;max&gt;185000.00&lt;/max&gt;&lt;min&gt;38970.00&lt;/min&gt;&lt;/sell&gt;&lt;/type&gt;&lt;type id="35658"&gt;&lt;buy&gt;&lt;volume&gt;18417&lt;/volume&gt;&lt;avg&gt;42469.87&lt;/avg&gt;&lt;stddev&gt;17241.69&lt;/stddev&gt;&lt;median&gt;58250.00&lt;/median&gt;&lt;percentile&gt;58953.39&lt;/percentile&gt;&lt;max&gt;59070.00&lt;/max&gt;&lt;min&gt;11100.00&lt;/min&gt;&lt;/buy&gt;&lt;sell&gt;&lt;volume&gt;2044&lt;/volume&gt;&lt;avg&gt;347303.28&lt;/avg&gt;&lt;stddev&gt;125745.89&lt;/stddev&gt;&lt;median&gt;386450.00&lt;/median&gt;&lt;percentile&gt;293521.31&lt;/percentile&gt;&lt;max&gt;945800.00&lt;/max&gt;&lt;min&gt;289900.00&lt;/min&gt;&lt;/sell&gt;&lt;/type&gt;&lt;type id="5973"&gt;&lt;buy&gt;&lt;volume&gt;6174&lt;/volume&gt;&lt;avg&gt;192243.36&lt;/avg&gt;&lt;stddev&gt;82344.74&lt;/stddev&gt;&lt;median&gt;245000.00&lt;/median&gt;&lt;percentile&gt;290000.00&lt;/percentile&gt;&lt;max&gt;290000.00&lt;/max&gt;&lt;min&gt;65100.00&lt;/min&gt;&lt;/buy&gt;&lt;sell&gt;&lt;volume&gt;13313&lt;/volume&gt;&lt;avg&gt;346718.53&lt;/avg&gt;&lt;stddev&gt;26618.53&lt;/stddev&gt;&lt;median&gt;326900.00&lt;/median&gt;&lt;percentile&gt;318492.45&lt;/percentile&gt;&lt;max&gt;492800.00&lt;/max&gt;&lt;min&gt;318400.00&lt;/min&gt;&lt;/sell&gt;&lt;/type&gt;&lt;type id="440"&gt;&lt;buy&gt;&lt;volume&gt;787&lt;/volume&gt;&lt;avg&gt;3604256.67&lt;/avg&gt;&lt;stddev&gt;625662.72&lt;/stddev&gt;&lt;median&gt;3741000.00&lt;/median&gt;&lt;percentile&gt;3795000.00&lt;/percentile&gt;&lt;max&gt;3795000.00&lt;/max&gt;&lt;min&gt;1500000.00&lt;/min&gt;&lt;/buy&gt;&lt;sell&gt;&lt;volume&gt;1513&lt;/volume&gt;&lt;avg&gt;4316541.31&lt;/avg&gt;&lt;stddev&gt;171272.20&lt;/stddev&gt;&lt;median&gt;4217000.00&lt;/median&gt;&lt;percentile&gt;4152714.29&lt;/percentile&gt;&lt;max&gt;4738000.00&lt;/max&gt;&lt;min&gt;4152000.00&lt;/min&gt;&lt;/sell&gt;&lt;/type&gt;&lt;type id="1405"&gt;&lt;buy&gt;&lt;volume&gt;5027&lt;/volume&gt;&lt;avg&gt;379498.65&lt;/avg&gt;&lt;stddev&gt;40616.47&lt;/stddev&gt;&lt;median&gt;379300.00&lt;/median&gt;&lt;percentile&gt;382525.00&lt;/percentile&gt;&lt;max&gt;382700.00&lt;/max&gt;&lt;min&gt;200000.00&lt;/min&gt;&lt;/buy&gt;&lt;sell&gt;&lt;volume&gt;9699&lt;/volume&gt;&lt;avg&gt;444337.72&lt;/avg&gt;&lt;stddev&gt;66510.33&lt;/stddev&gt;&lt;median&gt;443900.00&lt;/median&gt;&lt;percentile&gt;415595.47&lt;/percentile&gt;&lt;max&gt;889900.00&lt;/max&gt;&lt;min&gt;414500.00&lt;/min&gt;&lt;/sell&gt;&lt;/type&gt;&lt;type id="58919"&gt;&lt;buy&gt;&lt;volume&gt;360&lt;/volume&gt;&lt;avg&gt;12679.44&lt;/avg&gt;&lt;stddev&gt;6799.94&lt;/stddev&gt;&lt;median&gt;15990.00&lt;/median&gt;&lt;percentile&gt;19740.00&lt;/percentile&gt;&lt;max&gt;19740.00&lt;/max&gt;&lt;min&gt;5000.00&lt;/min&gt;&lt;/buy&gt;&lt;sell&gt;&lt;volume&gt;2400&lt;/volume&gt;&lt;avg&gt;31810.00&lt;/avg&gt;&lt;stddev&gt;0.00&lt;/stddev&gt;&lt;median&gt;31810.00&lt;/median&gt;&lt;percentile&gt;31810.00&lt;/percentile&gt;&lt;max&gt;31810.00&lt;/max&gt;&lt;min&gt;31810.00&lt;/min&gt;&lt;/sell&gt;&lt;/type&gt;&lt;type id="58972"&gt;&lt;buy&gt;&lt;volume&gt;479&lt;/volume&gt;&lt;avg&gt;782171.61&lt;/avg&gt;&lt;stddev&gt;120023.02&lt;/stddev&gt;&lt;median&gt;798100.00&lt;/median&gt;&lt;percentile&gt;916285.71&lt;/percentile&gt;&lt;max&gt;917400.00&lt;/max&gt;&lt;min&gt;550700.00&lt;/min&gt;&lt;/buy&gt;&lt;sell&gt;&lt;volume&gt;3089&lt;/volume&gt;&lt;avg&gt;1059943.06&lt;/avg&gt;&lt;stddev&gt;139174.48&lt;/stddev&gt;&lt;median&gt;1025000.00&lt;/median&gt;&lt;percentile&gt;998500.00&lt;/percentile&gt;&lt;max&gt;1500000.00&lt;/max&gt;&lt;min&gt;998500.00&lt;/min&gt;&lt;/sell&gt;&lt;/type&gt;&lt;type id="1236"&gt;&lt;buy&gt;&lt;volume&gt;1976&lt;/volume&gt;&lt;avg&gt;427098.33&lt;/avg&gt;&lt;stddev&gt;129988.24&lt;/stddev&gt;&lt;median&gt;477700.00&lt;/median&gt;&lt;percentile&gt;477700.00&lt;/percentile&gt;&lt;max&gt;477700.00&lt;/max&gt;&lt;min&gt;200000.00&lt;/min&gt;&lt;/buy&gt;&lt;sell&gt;&lt;volume&gt;2641&lt;/volume&gt;&lt;avg&gt;595342.37&lt;/avg&gt;&lt;stddev&gt;58089.68&lt;/stddev&gt;&lt;median&gt;588600.00&lt;/median&gt;&lt;percentile&gt;568386.72&lt;/percentile&gt;&lt;max&gt;849900.00&lt;/max&gt;&lt;min&gt;568200.00&lt;/min&gt;&lt;/sell&gt;&lt;/type&gt;&lt;type id="10998"&gt;&lt;buy&gt;&lt;volume&gt;5540&lt;/volume&gt;&lt;avg&gt;10417.58&lt;/avg&gt;&lt;stddev&gt;1605.74&lt;/stddev&gt;&lt;median&gt;11100.00&lt;/median&gt;&lt;percentile&gt;12707.50&lt;/percentile&gt;&lt;max&gt;12720.00&lt;/max&gt;&lt;min&gt;8008.00&lt;/min&gt;&lt;/buy&gt;&lt;sell&gt;&lt;volume&gt;7932&lt;/volume&gt;&lt;avg&gt;20828.66&lt;/avg&gt;&lt;stddev&gt;2849.16&lt;/stddev&gt;&lt;median&gt;25505.00&lt;/median&gt;&lt;percentile&gt;19779.59&lt;/percentile&gt;&lt;max&gt;30000.00&lt;/max&gt;&lt;min&gt;19770.00&lt;/min&gt;&lt;/sell&gt;&lt;/type&gt;&lt;type id="11640"&gt;&lt;buy&gt;&lt;volume&gt;1415&lt;/volume&gt;&lt;avg&gt;599375.48&lt;/avg&gt;&lt;stddev&gt;131480.33&lt;/stddev&gt;&lt;median&gt;637000.00&lt;/median&gt;&lt;percentile&gt;673714.89&lt;/percentile&gt;&lt;max&gt;674000.00&lt;/max&gt;&lt;min&gt;216000.00&lt;/min&gt;&lt;/buy&gt;&lt;sell&gt;&lt;volume&gt;3910&lt;/volume&gt;&lt;avg&gt;839227.39&lt;/avg&gt;&lt;stddev&gt;132113.94&lt;/stddev&gt;&lt;median&gt;782000.00&lt;/median&gt;&lt;percentile&gt;759369.21&lt;/percentile&gt;&lt;max&gt;1318000.00&lt;/max&gt;&lt;min&gt;758800.00&lt;/min&gt;&lt;/sell&gt;&lt;/type&gt;&lt;type id="22175"&gt;&lt;buy&gt;&lt;volume&gt;2427&lt;/volume&gt;&lt;avg&gt;40213.13&lt;/avg&gt;&lt;stddev&gt;5426.14&lt;/stddev&gt;&lt;median&gt;41000.00&lt;/median&gt;&lt;percentile&gt;41060.00&lt;/percentile&gt;&lt;max&gt;41060.00&lt;/max&gt;&lt;min&gt;26550.00&lt;/min&gt;&lt;/buy&gt;&lt;sell&gt;&lt;volume&gt;13507&lt;/volume&gt;&lt;avg&gt;59437.23&lt;/avg&gt;&lt;stddev&gt;17749.21&lt;/stddev&gt;&lt;median&gt;52990.00&lt;/median&gt;&lt;percentile&gt;49688.18&lt;/percentile&gt;&lt;max&gt;132700.00&lt;/max&gt;&lt;min&gt;49450.00&lt;/min&gt;&lt;/sell&gt;&lt;/type&gt;&lt;type id="17938"&gt;&lt;buy&gt;&lt;volume&gt;10361&lt;/volume&gt;&lt;avg&gt;16450.48&lt;/avg&gt;&lt;stddev&gt;1637.05&lt;/stddev&gt;&lt;median&gt;16670.00&lt;/median&gt;&lt;percentile&gt;16710.03&lt;/percentile&gt;&lt;max&gt;16720.00&lt;/max&gt;&lt;min&gt;13070.00&lt;/min&gt;&lt;/buy&gt;&lt;sell&gt;&lt;volume&gt;14258&lt;/volume&gt;&lt;avg&gt;28738.17&lt;/avg&gt;&lt;stddev&gt;46821.99&lt;/stddev&gt;&lt;median&gt;24500.00&lt;/median&gt;&lt;percentile&gt;23423.67&lt;/percentile&gt;&lt;max&gt;234900.00&lt;/max&gt;&lt;min&gt;23300.00&lt;/min&gt;&lt;/sell&gt;&lt;/type&gt;&lt;type id="18639"&gt;&lt;buy&gt;&lt;volume&gt;2800&lt;/volume&gt;&lt;avg&gt;17127.86&lt;/avg&gt;&lt;stddev&gt;4507.11&lt;/stddev&gt;&lt;median&gt;21065.00&lt;/median&gt;&lt;percentile&gt;21100.00&lt;/percentile&gt;&lt;max&gt;21100.00&lt;/max&gt;&lt;min&gt;10030.00&lt;/min&gt;&lt;/buy&gt;&lt;sell&gt;&lt;volume&gt;10682&lt;/volume&gt;&lt;avg&gt;33027.53&lt;/avg&gt;&lt;stddev&gt;2089.03&lt;/stddev&gt;&lt;median&gt;32050.00&lt;/median&gt;&lt;percentile&gt;30539.74&lt;/percentile&gt;&lt;max&gt;40480.00&lt;/max&gt;&lt;min&gt;30530.00&lt;/min&gt;&lt;/sell&gt;&lt;/type&gt;&lt;type id="28758"&gt;&lt;buy&gt;&lt;volume&gt;404&lt;/volume&gt;&lt;avg&gt;27666881.19&lt;/avg&gt;&lt;stddev&gt;2307060.92&lt;/stddev&gt;&lt;median&gt;27685000.00&lt;/median&gt;&lt;percentile&gt;29464375.00&lt;/percentile&gt;&lt;max&gt;29560000.00&lt;/max&gt;&lt;min&gt;20060000.00&lt;/min&gt;&lt;/buy&gt;&lt;sell&gt;&lt;volume&gt;669&lt;/volume&gt;&lt;avg&gt;34884230.19&lt;/avg&gt;&lt;stddev&gt;1695353.00&lt;/stddev&gt;&lt;median&gt;33950000.00&lt;/median&gt;&lt;percentile&gt;33367058.82&lt;/percentile&gt;&lt;max&gt;38500000.00&lt;/max&gt;&lt;min&gt;33360000.00&lt;/min&gt;&lt;/sell&gt;&lt;/type&gt;&lt;type id="28756"&gt;&lt;buy&gt;&lt;volume&gt;495&lt;/volume&gt;&lt;avg&gt;26157393.94&lt;/avg&gt;&lt;stddev&gt;3264235.80&lt;/stddev&gt;&lt;median&gt;26150000.00&lt;/median&gt;&lt;percentile&gt;28670000.00&lt;/percentile&gt;&lt;max&gt;28670000.00&lt;/max&gt;&lt;min&gt;12000000.00&lt;/min&gt;&lt;/buy&gt;&lt;sell&gt;&lt;volume&gt;160&lt;/volume&gt;&lt;avg&gt;39038750.00&lt;/avg&gt;&lt;stddev&gt;3576204.63&lt;/stddev&gt;&lt;median&gt;34995000.00&lt;/median&gt;&lt;percentile&gt;34365000.00&lt;/percentile&gt;&lt;max&gt;45020000.00&lt;/max&gt;&lt;min&gt;34360000.00&lt;/min&gt;&lt;/sell&gt;&lt;/type&gt;&lt;type id="33180"&gt;&lt;buy&gt;&lt;volume&gt;393&lt;/volume&gt;&lt;avg&gt;29447.63&lt;/avg&gt;&lt;stddev&gt;16522.53&lt;/stddev&gt;&lt;median&gt;30000.00&lt;/median&gt;&lt;percentile&gt;50020.00&lt;/percentile&gt;&lt;max&gt;50020.00&lt;/max&gt;&lt;min&gt;11800.00&lt;/min&gt;&lt;/buy&gt;&lt;sell&gt;&lt;volume&gt;4408&lt;/volume&gt;&lt;avg&gt;230513.63&lt;/avg&gt;&lt;stddev&gt;22620.01&lt;/stddev&gt;&lt;median&gt;229150.00&lt;/median&gt;&lt;percentile&gt;203995.24&lt;/percentile&gt;&lt;max&gt;296000.00&lt;/max&gt;&lt;min&gt;203900.00&lt;/min&gt;&lt;/sell&gt;&lt;/type&gt;&lt;type id="24443"&gt;&lt;buy&gt;&lt;volume&gt;839&lt;/volume&gt;&lt;avg&gt;1481642.43&lt;/avg&gt;&lt;stddev&gt;57625.69&lt;/stddev&gt;&lt;median&gt;1489000.00&lt;/median&gt;&lt;percentile&gt;1549200.00&lt;/percentile&gt;&lt;max&gt;1551000.00&lt;/max&gt;&lt;min&gt;1343000.00&lt;/min&gt;&lt;/buy&gt;&lt;sell&gt;&lt;volume&gt;613&lt;/volume&gt;&lt;avg&gt;2215585.64&lt;/avg&gt;&lt;stddev&gt;188388.78&lt;/stddev&gt;&lt;median&gt;2147000.00&lt;/median&gt;&lt;percentile&gt;2095983.47&lt;/percentile&gt;&lt;max&gt;2700000.00&lt;/max&gt;&lt;min&gt;2095000.00&lt;/min&gt;&lt;/sell&gt;&lt;/type&gt;&lt;type id="32780"&gt;&lt;buy&gt;&lt;volume&gt;185&lt;/volume&gt;&lt;avg&gt;2830864.86&lt;/avg&gt;&lt;stddev&gt;87202.35&lt;/stddev&gt;&lt;median&gt;2800000.00&lt;/median&gt;&lt;percentile&gt;2951000.00&lt;/percentile&gt;&lt;max&gt;2951000.00&lt;/max&gt;&lt;min&gt;2791000.00&lt;/min&gt;&lt;/buy&gt;&lt;sell&gt;&lt;volume&gt;3409&lt;/volume&gt;&lt;avg&gt;4590595.19&lt;/avg&gt;&lt;stddev&gt;816037.29&lt;/stddev&gt;&lt;median&gt;4509000.00&lt;/median&gt;&lt;percentile&gt;3896783.51&lt;/percentile&gt;&lt;max&gt;8493000.00&lt;/max&gt;&lt;min&gt;3890000.00&lt;/min&gt;&lt;/sell&gt;&lt;/type&gt;&lt;type id="10888"&gt;&lt;buy&gt;&lt;volume&gt;7650&lt;/volume&gt;&lt;avg&gt;159957.52&lt;/avg&gt;&lt;stddev&gt;370.14&lt;/stddev&gt;&lt;median&gt;160000.00&lt;/median&gt;&lt;percentile&gt;160423.08&lt;/percentile&gt;&lt;max&gt;160600.00&lt;/max&gt;&lt;min&gt;159700.00&lt;/min&gt;&lt;/buy&gt;&lt;sell&gt;&lt;volume&gt;1748&lt;/volume&gt;&lt;avg&gt;222673.00&lt;/avg&gt;&lt;stddev&gt;35249.05&lt;/stddev&gt;&lt;median&gt;208100.00&lt;/median&gt;&lt;percentile&gt;199471.67&lt;/percentile&gt;&lt;max&gt;300000.00&lt;/max&gt;&lt;min&gt;199300.00&lt;/min&gt;&lt;/sell&gt;&lt;/type&gt;&lt;type id="10858"&gt;&lt;buy&gt;&lt;volume&gt;419&lt;/volume&gt;&lt;avg&gt;918918.85&lt;/avg&gt;&lt;stddev&gt;242291.46&lt;/stddev&gt;&lt;median&gt;954100.00&lt;/median&gt;&lt;percentile&gt;1164607.59&lt;/percentile&gt;&lt;max&gt;1176000.00&lt;/max&gt;&lt;min&gt;500300.00&lt;/min&gt;&lt;/buy&gt;&lt;sell&gt;&lt;volume&gt;4246&lt;/volume&gt;&lt;avg&gt;1703392.13&lt;/avg&gt;&lt;stddev&gt;535974.18&lt;/stddev&gt;&lt;median&gt;1799000.00&lt;/median&gt;&lt;percentile&gt;1249800.00&lt;/percentile&gt;&lt;max&gt;3627000.00&lt;/max&gt;&lt;min&gt;1249000.00&lt;/min&gt;&lt;/sell&gt;&lt;/type&gt;&lt;type id="32772"&gt;&lt;buy&gt;&lt;volume&gt;664&lt;/volume&gt;&lt;avg&gt;941055.12&lt;/avg&gt;&lt;stddev&gt;30401.69&lt;/stddev&gt;&lt;median&gt;951800.00&lt;/median&gt;&lt;percentile&gt;954802.33&lt;/percentile&gt;&lt;max&gt;954900.00&lt;/max&gt;&lt;min&gt;886900.00&lt;/min&gt;&lt;/buy&gt;&lt;sell&gt;&lt;volume&gt;2591&lt;/volume&gt;&lt;avg&gt;1710365.11&lt;/avg&gt;&lt;stddev&gt;402457.79&lt;/stddev&gt;&lt;median&gt;1670000.00&lt;/median&gt;&lt;percentile&gt;1151902.26&lt;/percentile&gt;&lt;max&gt;2900000.00&lt;/max&gt;&lt;min&gt;1139000.00&lt;/min&gt;&lt;/sell&gt;&lt;/type&gt;&lt;type id="8529"&gt;&lt;buy&gt;&lt;volume&gt;5347&lt;/volume&gt;&lt;avg&gt;89530.60&lt;/avg&gt;&lt;stddev&gt;13924.08&lt;/stddev&gt;&lt;median&gt;83610.00&lt;/median&gt;&lt;percentile&gt;107900.00&lt;/percentile&gt;&lt;max&gt;107900.00&lt;/max&gt;&lt;min&gt;73060.00&lt;/min&gt;&lt;/buy&gt;&lt;sell&gt;&lt;volume&gt;3838&lt;/volume&gt;&lt;avg&gt;159969.46&lt;/avg&gt;&lt;stddev&gt;65901.67&lt;/stddev&gt;&lt;median&gt;159300.00&lt;/median&gt;&lt;percentile&gt;139724.20&lt;/percentile&gt;&lt;max&gt;498200.00&lt;/max&gt;&lt;min&gt;139600.00&lt;/min&gt;&lt;/sell&gt;&lt;/type&gt;&lt;type id="3841"&gt;&lt;buy&gt;&lt;volume&gt;4709&lt;/volume&gt;&lt;avg&gt;1101297.30&lt;/avg&gt;&lt;stddev&gt;231597.01&lt;/stddev&gt;&lt;median&gt;1010000.00&lt;/median&gt;&lt;percentile&gt;1258160.84&lt;/percentile&gt;&lt;max&gt;1263000.00&lt;/max&gt;&lt;min&gt;719800.00&lt;/min&gt;&lt;/buy&gt;&lt;sell&gt;&lt;volume&gt;4033&lt;/volume&gt;&lt;avg&gt;1425306.22&lt;/avg&gt;&lt;stddev&gt;161932.23&lt;/stddev&gt;&lt;median&gt;1364500.00&lt;/median&gt;&lt;percentile&gt;1356666.67&lt;/percentile&gt;&lt;max&gt;2242000.00&lt;/max&gt;&lt;min&gt;1356000.00&lt;/min&gt;&lt;/sell&gt;&lt;/type&gt;&lt;type id="31930"&gt;&lt;buy&gt;&lt;volume&gt;358&lt;/volume&gt;&lt;avg&gt;22869608.94&lt;/avg&gt;&lt;stddev&gt;1234745.71&lt;/stddev&gt;&lt;median&gt;22535000.00&lt;/median&gt;&lt;percentile&gt;24522238.81&lt;/percentile&gt;&lt;max&gt;24600000.00&lt;/max&gt;&lt;min&gt;20510000.00&lt;/min&gt;&lt;/buy&gt;&lt;sell&gt;&lt;volume&gt;1467&lt;/volume&gt;&lt;avg&gt;31374458.08&lt;/avg&gt;&lt;stddev&gt;3398679.88&lt;/stddev&gt;&lt;median&gt;30620000.00&lt;/median&gt;&lt;percentile&gt;26796629.21&lt;/percentile&gt;&lt;max&gt;41350000.00&lt;/max&gt;&lt;min&gt;26780000.00&lt;/min&gt;&lt;/sell&gt;&lt;/type&gt;&lt;type id="31932"&gt;&lt;buy&gt;&lt;volume&gt;138&lt;/volume&gt;&lt;avg&gt;25257536.23&lt;/avg&gt;&lt;stddev&gt;2725417.40&lt;/stddev&gt;&lt;median&gt;26360000.00&lt;/median&gt;&lt;percentile&gt;26738571.43&lt;/percentile&gt;&lt;max&gt;27660000.00&lt;/max&gt;&lt;min&gt;20360000.00&lt;/min&gt;&lt;/buy&gt;&lt;sell&gt;&lt;volume&gt;798&lt;/volume&gt;&lt;avg&gt;37667694.24&lt;/avg&gt;&lt;stddev&gt;6116157.95&lt;/stddev&gt;&lt;median&gt;36265000.00&lt;/median&gt;&lt;percentile&gt;32675348.84&lt;/percentile&gt;&lt;max&gt;49990000.00&lt;/max&gt;&lt;min&gt;32660000.00&lt;/min&gt;&lt;/sell&gt;&lt;/type&gt;&lt;type id="3829"&gt;&lt;buy&gt;&lt;volume&gt;7138&lt;/volume&gt;&lt;avg&gt;19525.51&lt;/avg&gt;&lt;stddev&gt;7105.41&lt;/stddev&gt;&lt;median&gt;22305.00&lt;/median&gt;&lt;percentile&gt;22580.64&lt;/percentile&gt;&lt;max&gt;32530.00&lt;/max&gt;&lt;min&gt;7777.00&lt;/min&gt;&lt;/buy&gt;&lt;sell&gt;&lt;volume&gt;11166&lt;/volume&gt;&lt;avg&gt;38054.35&lt;/avg&gt;&lt;stddev&gt;4022.61&lt;/stddev&gt;&lt;median&gt;37590.00&lt;/median&gt;&lt;percentile&gt;35921.00&lt;/percentile&gt;&lt;max&gt;50000.00&lt;/max&gt;&lt;min&gt;34790.00&lt;/min&gt;&lt;/sell&gt;&lt;/type&gt;&lt;type id="8517"&gt;&lt;buy&gt;&lt;volume&gt;946&lt;/volume&gt;&lt;avg&gt;2991472.52&lt;/avg&gt;&lt;stddev&gt;378718.16&lt;/stddev&gt;&lt;median&gt;3061000.00&lt;/median&gt;&lt;percentile&gt;3400000.00&lt;/percentile&gt;&lt;max&gt;3400000.00&lt;/max&gt;&lt;min&gt;2515000.00&lt;/min&gt;&lt;/buy&gt;&lt;sell&gt;&lt;volume&gt;3644&lt;/volume&gt;&lt;avg&gt;4110610.04&lt;/avg&gt;&lt;stddev&gt;1017684.19&lt;/stddev&gt;&lt;median&gt;3900000.00&lt;/median&gt;&lt;percentile&gt;3746000.00&lt;/percentile&gt;&lt;max&gt;7497000.00&lt;/max&gt;&lt;min&gt;3746000.00&lt;/min&gt;&lt;/sell&gt;&lt;/type&gt;&lt;type id="3831"&gt;&lt;buy&gt;&lt;volume&gt;2318&lt;/volume&gt;&lt;avg&gt;765395.43&lt;/avg&gt;&lt;stddev&gt;116439.93&lt;/stddev&gt;&lt;median&gt;805350.00&lt;/median&gt;&lt;percentile&gt;853267.33&lt;/percentile&gt;&lt;max&gt;860000.00&lt;/max&gt;&lt;min&gt;464300.00&lt;/min&gt;&lt;/buy&gt;&lt;sell&gt;&lt;volume&gt;5574&lt;/volume&gt;&lt;avg&gt;969571.53&lt;/avg&gt;&lt;stddev&gt;61760.01&lt;/stddev&gt;&lt;median&gt;959900.00&lt;/median&gt;&lt;percentile&gt;919526.95&lt;/percentile&gt;&lt;max&gt;1266000.00&lt;/max&gt;&lt;min&gt;919300.00&lt;/min&gt;&lt;/sell&gt;&lt;/type&gt;&lt;type id="31926"&gt;&lt;buy&gt;&lt;volume&gt;243&lt;/volume&gt;&lt;avg&gt;10573382.72&lt;/avg&gt;&lt;stddev&gt;1931649.18&lt;/stddev&gt;&lt;median&gt;11000000.00&lt;/median&gt;&lt;percentile&gt;11364705.88&lt;/percentile&gt;&lt;max&gt;11370000.00&lt;/max&gt;&lt;min&gt;5013000.00&lt;/min&gt;&lt;/buy&gt;&lt;sell&gt;&lt;volume&gt;513&lt;/volume&gt;&lt;avg&gt;23063001.95&lt;/avg&gt;&lt;stddev&gt;6698126.31&lt;/stddev&gt;&lt;median&gt;15420000.00&lt;/median&gt;&lt;percentile&gt;13418571.43&lt;/percentile&gt;&lt;max&gt;48040000.00&lt;/max&gt;&lt;min&gt;13410000.00&lt;/min&gt;&lt;/sell&gt;&lt;/type&gt;&lt;type id="31928"&gt;&lt;buy&gt;&lt;volume&gt;1024&lt;/volume&gt;&lt;avg&gt;10317719.73&lt;/avg&gt;&lt;stddev&gt;857986.49&lt;/stddev&gt;&lt;median&gt;9225000.00&lt;/median&gt;&lt;percentile&gt;11741272.73&lt;/percentile&gt;&lt;max&gt;11800000.00&lt;/max&gt;&lt;min&gt;9200000.00&lt;/min&gt;&lt;/buy&gt;&lt;sell&gt;&lt;volume&gt;1295&lt;/volume&gt;&lt;avg&gt;14475467.18&lt;/avg&gt;&lt;stddev&gt;1316649.25&lt;/stddev&gt;&lt;median&gt;14200000.00&lt;/median&gt;&lt;percentile&gt;13357837.84&lt;/percentile&gt;&lt;max&gt;18600000.00&lt;/max&gt;&lt;min&gt;13330000.00&lt;/min&gt;&lt;/sell&gt;&lt;/type&gt;&lt;type id="8521"&gt;&lt;buy&gt;&lt;volume&gt;4341&lt;/volume&gt;&lt;avg&gt;427699.72&lt;/avg&gt;&lt;stddev&gt;109368.66&lt;/stddev&gt;&lt;median&gt;455650.00&lt;/median&gt;&lt;percentile&gt;464117.50&lt;/percentile&gt;&lt;max&gt;464200.00&lt;/max&gt;&lt;min&gt;178000.00&lt;/min&gt;&lt;/buy&gt;&lt;sell&gt;&lt;volume&gt;2308&lt;/volume&gt;&lt;avg&gt;754956.50&lt;/avg&gt;&lt;stddev&gt;190309.65&lt;/stddev&gt;&lt;median&gt;637150.00&lt;/median&gt;&lt;percentile&gt;509700.00&lt;/percentile&gt;&lt;max&gt;1499000.00&lt;/max&gt;&lt;min&gt;509700.00&lt;/min&gt;&lt;/sell&gt;&lt;/type&gt;&lt;type id="380"&gt;&lt;buy&gt;&lt;volume&gt;925&lt;/volume&gt;&lt;avg&gt;320930.81&lt;/avg&gt;&lt;stddev&gt;82728.47&lt;/stddev&gt;&lt;median&gt;296100.00&lt;/median&gt;&lt;percentile&gt;381900.00&lt;/percentile&gt;&lt;max&gt;381900.00&lt;/max&gt;&lt;min&gt;165400.00&lt;/min&gt;&lt;/buy&gt;&lt;sell&gt;&lt;volume&gt;11732&lt;/volume&gt;&lt;avg&gt;460500.78&lt;/avg&gt;&lt;stddev&gt;110840.27&lt;/stddev&gt;&lt;median&gt;436850.00&lt;/median&gt;&lt;percentile&gt;406573.68&lt;/percentile&gt;&lt;max&gt;749900.00&lt;/max&gt;&lt;min&gt;406400.00&lt;/min&gt;&lt;/sell&gt;&lt;/type&gt;&lt;type id="31922"&gt;&lt;buy&gt;&lt;volume&gt;431&lt;/volume&gt;&lt;avg&gt;1989468.68&lt;/avg&gt;&lt;stddev&gt;315951.35&lt;/stddev&gt;&lt;median&gt;2061000.00&lt;/median&gt;&lt;percentile&gt;2087785.71&lt;/percentile&gt;&lt;max&gt;2092000.00&lt;/max&gt;&lt;min&gt;1000000.00&lt;/min&gt;&lt;/buy&gt;&lt;sell&gt;&lt;volume&gt;900&lt;/volume&gt;&lt;avg&gt;4451514.44&lt;/avg&gt;&lt;stddev&gt;619869.41&lt;/stddev&gt;&lt;median&gt;4412000.00&lt;/median&gt;&lt;percentile&gt;3229000.00&lt;/percentile&gt;&lt;max&gt;5074000.00&lt;/max&gt;&lt;min&gt;3229000.00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>
        <v>804.7</v>
      </c>
      <c r="D48" s="39">
        <f t="shared" si="0"/>
        <v>851.75915000000009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>
        <f t="shared" si="4"/>
        <v>37931.305</v>
      </c>
      <c r="J48" s="20">
        <f t="shared" si="5"/>
        <v>84000</v>
      </c>
      <c r="K48" s="19">
        <f t="shared" si="2"/>
        <v>1050</v>
      </c>
      <c r="L48" s="8">
        <f t="shared" si="8"/>
        <v>0.75923152689348838</v>
      </c>
      <c r="M48" s="9">
        <f t="shared" si="9"/>
        <v>71547768.600000009</v>
      </c>
      <c r="N48" s="10">
        <f t="shared" si="6"/>
        <v>-17226447.000000015</v>
      </c>
      <c r="O48" s="11">
        <f t="shared" si="7"/>
        <v>-16406.140000000014</v>
      </c>
      <c r="P48" s="23">
        <f t="shared" si="3"/>
        <v>54321321.599999994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str">
        <f t="shared" si="10"/>
        <v>&lt;?xml version="1.0" encoding="UTF-8"?&gt;
&lt;exec_api version="2.0" method="marketstat_xml"&gt;&lt;marketstat&gt;&lt;type id="31924"&gt;&lt;buy&gt;&lt;volume&gt;179&lt;/volume&gt;&lt;avg&gt;2365960.89&lt;/avg&gt;&lt;stddev&gt;68938.38&lt;/stddev&gt;&lt;median&gt;2405000.00&lt;/median&gt;&lt;percentile&gt;2420333.33&lt;/percentile&gt;&lt;max&gt;2421000.00&lt;/max&gt;&lt;min&gt;2206000.00&lt;/min&gt;&lt;/buy&gt;&lt;sell&gt;&lt;volume&gt;1351&lt;/volume&gt;&lt;avg&gt;3355373.06&lt;/avg&gt;&lt;stddev&gt;848575.51&lt;/stddev&gt;&lt;median&gt;2839000.00&lt;/median&gt;&lt;percentile&gt;2681318.84&lt;/percentile&gt;&lt;max&gt;5999000.00&lt;/max&gt;&lt;min&gt;2670000.00&lt;/min&gt;&lt;/sell&gt;&lt;/type&gt;&lt;type id="2301"&gt;&lt;buy&gt;&lt;volume&gt;1555&lt;/volume&gt;&lt;avg&gt;1820218.65&lt;/avg&gt;&lt;stddev&gt;314097.50&lt;/stddev&gt;&lt;median&gt;1975000.00&lt;/median&gt;&lt;percentile&gt;2034000.00&lt;/percentile&gt;&lt;max&gt;2034000.00&lt;/max&gt;&lt;min&gt;1000000.00&lt;/min&gt;&lt;/buy&gt;&lt;sell&gt;&lt;volume&gt;1252&lt;/volume&gt;&lt;avg&gt;2565682.91&lt;/avg&gt;&lt;stddev&gt;498289.46&lt;/stddev&gt;&lt;median&gt;2358500.00&lt;/median&gt;&lt;percentile&gt;2358000.00&lt;/percentile&gt;&lt;max&gt;4496000.00&lt;/max&gt;&lt;min&gt;2358000.00&lt;/min&gt;&lt;/sell&gt;&lt;/type&gt;&lt;type id="578"&gt;&lt;buy&gt;&lt;volume&gt;5850&lt;/volume&gt;&lt;avg&gt;147223.59&lt;/avg&gt;&lt;stddev&gt;37892.43&lt;/stddev&gt;&lt;median&gt;145000.00&lt;/median&gt;&lt;percentile&gt;154015.38&lt;/percentile&gt;&lt;max&gt;154400.00&lt;/max&gt;&lt;min&gt;77770.00&lt;/min&gt;&lt;/buy&gt;&lt;sell&gt;&lt;volume&gt;2940&lt;/volume&gt;&lt;avg&gt;194340.51&lt;/avg&gt;&lt;stddev&gt;67231.60&lt;/stddev&gt;&lt;median&gt;184000.00&lt;/median&gt;&lt;percentile&gt;181705.11&lt;/percentile&gt;&lt;max&gt;565900.00&lt;/max&gt;&lt;min&gt;178000.00&lt;/min&gt;&lt;/sell&gt;&lt;/type&gt;&lt;type id="9632"&gt;&lt;buy&gt;&lt;volume&gt;7205&lt;/volume&gt;&lt;avg&gt;117838.88&lt;/avg&gt;&lt;stddev&gt;33994.47&lt;/stddev&gt;&lt;median&gt;100000.00&lt;/median&gt;&lt;percentile&gt;154057.33&lt;/percentile&gt;&lt;max&gt;154300.00&lt;/max&gt;&lt;min&gt;50810.00&lt;/min&gt;&lt;/buy&gt;&lt;sell&gt;&lt;volume&gt;1719&lt;/volume&gt;&lt;avg&gt;350786.79&lt;/avg&gt;&lt;stddev&gt;210643.47&lt;/stddev&gt;&lt;median&gt;345000.00&lt;/median&gt;&lt;percentile&gt;278622.86&lt;/percentile&gt;&lt;max&gt;979900.00&lt;/max&gt;&lt;min&gt;278400.00&lt;/min&gt;&lt;/sell&gt;&lt;/type&gt;&lt;type id="54291"&gt;&lt;buy&gt;&lt;volume&gt;5389&lt;/volume&gt;&lt;avg&gt;86643.44&lt;/avg&gt;&lt;stddev&gt;13061.85&lt;/stddev&gt;&lt;median&gt;86380.00&lt;/median&gt;&lt;percentile&gt;98240.00&lt;/percentile&gt;&lt;max&gt;98240.00&lt;/max&gt;&lt;min&gt;55300.00&lt;/min&gt;&lt;/buy&gt;&lt;sell&gt;&lt;volume&gt;3805&lt;/volume&gt;&lt;avg&gt;143677.32&lt;/avg&gt;&lt;stddev&gt;42548.64&lt;/stddev&gt;&lt;median&gt;141300.00&lt;/median&gt;&lt;percentile&gt;128095.24&lt;/percentile&gt;&lt;max&gt;398400.00&lt;/max&gt;&lt;min&gt;128000.00&lt;/min&gt;&lt;/sell&gt;&lt;/type&gt;&lt;type id="2281"&gt;&lt;buy&gt;&lt;volume&gt;2788&lt;/volume&gt;&lt;avg&gt;2216431.13&lt;/avg&gt;&lt;stddev&gt;466174.47&lt;/stddev&gt;&lt;median&gt;2300000.00&lt;/median&gt;&lt;percentile&gt;2408010.58&lt;/percentile&gt;&lt;max&gt;2410000.00&lt;/max&gt;&lt;min&gt;1000000.00&lt;/min&gt;&lt;/buy&gt;&lt;sell&gt;&lt;volume&gt;16310&lt;/volume&gt;&lt;avg&gt;2978843.04&lt;/avg&gt;&lt;stddev&gt;219038.44&lt;/stddev&gt;&lt;median&gt;2790000.00&lt;/median&gt;&lt;percentile&gt;2599000.00&lt;/percentile&gt;&lt;max&gt;4136000.00&lt;/max&gt;&lt;min&gt;2599000.00&lt;/min&gt;&lt;/sell&gt;&lt;/type&gt;&lt;type id="4349"&gt;&lt;buy&gt;&lt;volume&gt;45&lt;/volume&gt;&lt;avg&gt;136991333.33&lt;/avg&gt;&lt;stddev&gt;59340491.38&lt;/stddev&gt;&lt;median&gt;166800000.00&lt;/median&gt;&lt;percentile&gt;204933333.33&lt;/percentile&gt;&lt;max&gt;205200000.00&lt;/max&gt;&lt;min&gt;50600000.00&lt;/min&gt;&lt;/buy&gt;&lt;sell&gt;&lt;volume&gt;65&lt;/volume&gt;&lt;avg&gt;254275384.62&lt;/avg&gt;&lt;stddev&gt;20257271.95&lt;/stddev&gt;&lt;median&gt;242300000.00&lt;/median&gt;&lt;percentile&gt;240350000.00&lt;/percentile&gt;&lt;max&gt;330800000.00&lt;/max&gt;&lt;min&gt;240300000.00&lt;/min&gt;&lt;/sell&gt;&lt;/type&gt;&lt;type id="9580"&gt;&lt;buy&gt;&lt;volume&gt;21818&lt;/volume&gt;&lt;avg&gt;64129.82&lt;/avg&gt;&lt;stddev&gt;32352.92&lt;/stddev&gt;&lt;median&gt;95000.00&lt;/median&gt;&lt;percentile&gt;95030.00&lt;/percentile&gt;&lt;max&gt;95030.00&lt;/max&gt;&lt;min&gt;23040.00&lt;/min&gt;&lt;/buy&gt;&lt;sell&gt;&lt;volume&gt;1470&lt;/volume&gt;&lt;avg&gt;239468.84&lt;/avg&gt;&lt;stddev&gt;72123.53&lt;/stddev&gt;&lt;median&gt;241000.00&lt;/median&gt;&lt;percentile&gt;197360.34&lt;/percentile&gt;&lt;max&gt;500000.00&lt;/max&gt;&lt;min&gt;174500.00&lt;/min&gt;&lt;/sell&gt;&lt;/type&gt;&lt;type id="2553"&gt;&lt;buy&gt;&lt;volume&gt;1466&lt;/volume&gt;&lt;avg&gt;962781.58&lt;/avg&gt;&lt;stddev&gt;6101.28&lt;/stddev&gt;&lt;median&gt;964800.00&lt;/median&gt;&lt;percentile&gt;964815.38&lt;/percentile&gt;&lt;max&gt;964900.00&lt;/max&gt;&lt;min&gt;944000.00&lt;/min&gt;&lt;/buy&gt;&lt;sell&gt;&lt;volume&gt;1755&lt;/volume&gt;&lt;avg&gt;1660470.09&lt;/avg&gt;&lt;stddev&gt;388402.13&lt;/stddev&gt;&lt;median&gt;1224000.00&lt;/median&gt;&lt;percentile&gt;1149000.00&lt;/percentile&gt;&lt;max&gt;2500000.00&lt;/max&gt;&lt;min&gt;1149000.00&lt;/min&gt;&lt;/sell&gt;&lt;/type&gt;&lt;type id="2539"&gt;&lt;buy&gt;&lt;volume&gt;469&lt;/volume&gt;&lt;avg&gt;761720.47&lt;/avg&gt;&lt;stddev&gt;22893.84&lt;/stddev&gt;&lt;median&gt;746800.00&lt;/median&gt;&lt;percentile&gt;785011.24&lt;/percentile&gt;&lt;max&gt;785100.00&lt;/max&gt;&lt;min&gt;740000.00&lt;/min&gt;&lt;/buy&gt;&lt;sell&gt;&lt;volume&gt;4582&lt;/volume&gt;&lt;avg&gt;1075403.75&lt;/avg&gt;&lt;stddev&gt;135159.48&lt;/stddev&gt;&lt;median&gt;1085000.00&lt;/median&gt;&lt;percentile&gt;944576.06&lt;/percentile&gt;&lt;max&gt;1401000.00&lt;/max&gt;&lt;min&gt;944400.00&lt;/min&gt;&lt;/sell&gt;&lt;/type&gt;&lt;type id="3130"&gt;&lt;buy&gt;&lt;volume&gt;1915&lt;/volume&gt;&lt;avg&gt;1601372.32&lt;/avg&gt;&lt;stddev&gt;194545.83&lt;/stddev&gt;&lt;median&gt;1632500.00&lt;/median&gt;&lt;percentile&gt;1702049.18&lt;/percentile&gt;&lt;max&gt;1705000.00&lt;/max&gt;&lt;min&gt;1010000.00&lt;/min&gt;&lt;/buy&gt;&lt;sell&gt;&lt;volume&gt;1882&lt;/volume&gt;&lt;avg&gt;2785875.13&lt;/avg&gt;&lt;stddev&gt;740063.98&lt;/stddev&gt;&lt;median&gt;2450000.00&lt;/median&gt;&lt;percentile&gt;2308666.67&lt;/percentile&gt;&lt;max&gt;6500000.00&lt;/max&gt;&lt;min&gt;2307000.00&lt;/min&gt;&lt;/sell&gt;&lt;/type&gt;&lt;type id="3138"&gt;&lt;buy&gt;&lt;volume&gt;670&lt;/volume&gt;&lt;avg&gt;2160907.46&lt;/avg&gt;&lt;stddev&gt;239819.10&lt;/stddev&gt;&lt;median&gt;2325000.00&lt;/median&gt;&lt;percentile&gt;2330000.00&lt;/percentile&gt;&lt;max&gt;2330000.00&lt;/max&gt;&lt;min&gt;1603000.00&lt;/min&gt;&lt;/buy&gt;&lt;sell&gt;&lt;volume&gt;1349&lt;/volume&gt;&lt;avg&gt;3717719.79&lt;/avg&gt;&lt;stddev&gt;1853432.23&lt;/stddev&gt;&lt;median&gt;2743000.00&lt;/median&gt;&lt;percentile&gt;2733000.00&lt;/percentile&gt;&lt;max&gt;9800000.00&lt;/max&gt;&lt;min&gt;2733000.00&lt;/min&gt;&lt;/sell&gt;&lt;/type&gt;&lt;type id="3146"&gt;&lt;buy&gt;&lt;volume&gt;607&lt;/volume&gt;&lt;avg&gt;2390144.98&lt;/avg&gt;&lt;stddev&gt;119374.62&lt;/stddev&gt;&lt;median&gt;2408000.00&lt;/median&gt;&lt;percentile&gt;2408000.00&lt;/percentile&gt;&lt;max&gt;2408000.00&lt;/max&gt;&lt;min&gt;2126000.00&lt;/min&gt;&lt;/buy&gt;&lt;sell&gt;&lt;volume&gt;3338&lt;/volume&gt;&lt;avg&gt;3468260.64&lt;/avg&gt;&lt;stddev&gt;658895.80&lt;/stddev&gt;&lt;median&gt;3389000.00&lt;/median&gt;&lt;percentile&gt;2707459.92&lt;/percentile&gt;&lt;max&gt;6740000.00&lt;/max&gt;&lt;min&gt;2699000.00&lt;/min&gt;&lt;/sell&gt;&lt;/type&gt;&lt;type id="3162"&gt;&lt;buy&gt;&lt;volume&gt;1731&lt;/volume&gt;&lt;avg&gt;598605.03&lt;/avg&gt;&lt;stddev&gt;29186.00&lt;/stddev&gt;&lt;median&gt;604400.00&lt;/median&gt;&lt;percentile&gt;625848.53&lt;/percentile&gt;&lt;max&gt;625900.00&lt;/max&gt;&lt;min&gt;523100.00&lt;/min&gt;&lt;/buy&gt;&lt;sell&gt;&lt;volume&gt;846&lt;/volume&gt;&lt;avg&gt;893118.44&lt;/avg&gt;&lt;stddev&gt;34383.52&lt;/stddev&gt;&lt;median&gt;869300.00&lt;/median&gt;&lt;percentile&gt;867484.38&lt;/percentile&gt;&lt;max&gt;1000000.00&lt;/max&gt;&lt;min&gt;867000.00&lt;/min&gt;&lt;/sell&gt;&lt;/type&gt;&lt;type id="3178"&gt;&lt;buy&gt;&lt;volume&gt;550&lt;/volume&gt;&lt;avg&gt;883401.09&lt;/avg&gt;&lt;stddev&gt;39502.36&lt;/stddev&gt;&lt;median&gt;898700.00&lt;/median&gt;&lt;percentile&gt;899200.00&lt;/percentile&gt;&lt;max&gt;899200.00&lt;/max&gt;&lt;min&gt;813100.00&lt;/min&gt;&lt;/buy&gt;&lt;sell&gt;&lt;volume&gt;11334&lt;/volume&gt;&lt;avg&gt;1081234.68&lt;/avg&gt;&lt;stddev&gt;77844.88&lt;/stddev&gt;&lt;median&gt;1060000.00&lt;/median&gt;&lt;percentile&gt;998563.15&lt;/percentile&gt;&lt;max&gt;1320000.00&lt;/max&gt;&lt;min&gt;998500.00&lt;/min&gt;&lt;/sell&gt;&lt;/type&gt;&lt;type id="3082"&gt;&lt;buy&gt;&lt;volume&gt;770&lt;/volume&gt;&lt;avg&gt;2756272.73&lt;/avg&gt;&lt;stddev&gt;99453.96&lt;/stddev&gt;&lt;median&gt;2780500.00&lt;/median&gt;&lt;percentile&gt;2792500.00&lt;/percentile&gt;&lt;max&gt;2794000.00&lt;/max&gt;&lt;min&gt;2444000.00&lt;/min&gt;&lt;/buy&gt;&lt;sell&gt;&lt;volume&gt;1590&lt;/volume&gt;&lt;avg&gt;3382334.59&lt;/avg&gt;&lt;stddev&gt;467480.80&lt;/stddev&gt;&lt;median&gt;3273500.00&lt;/median&gt;&lt;percentile&gt;3140314.61&lt;/percentile&gt;&lt;max&gt;4988000.00&lt;/max&gt;&lt;min&gt;3139000.00&lt;/min&gt;&lt;/sell&gt;&lt;/type&gt;&lt;type id="19739"&gt;&lt;buy&gt;&lt;volume&gt;998&lt;/volume&gt;&lt;avg&gt;2443374.75&lt;/avg&gt;&lt;stddev&gt;557480.44&lt;/stddev&gt;&lt;median&gt;2559000.00&lt;/median&gt;&lt;percentile&gt;2631000.00&lt;/percentile&gt;&lt;max&gt;2631000.00&lt;/max&gt;&lt;min&gt;1000000.00&lt;/min&gt;&lt;/buy&gt;&lt;sell&gt;&lt;volume&gt;3511&lt;/volume&gt;&lt;avg&gt;3055926.80&lt;/avg&gt;&lt;stddev&gt;179222.42&lt;/stddev&gt;&lt;median&gt;3074500.00&lt;/median&gt;&lt;percentile&gt;2940454.55&lt;/percentile&gt;&lt;max&gt;3522000.00&lt;/max&gt;&lt;min&gt;2940000.00&lt;/min&gt;&lt;/sell&gt;&lt;/type&gt;&lt;type id="25715"&gt;&lt;buy&gt;&lt;volume&gt;2206&lt;/volume&gt;&lt;avg&gt;1225096.55&lt;/avg&gt;&lt;stddev&gt;304429.75&lt;/stddev&gt;&lt;median&gt;1307000.00&lt;/median&gt;&lt;percentile&gt;1386000.00&lt;/percentile&gt;&lt;max&gt;1390000.00&lt;/max&gt;&lt;min&gt;520500.00&lt;/min&gt;&lt;/buy&gt;&lt;sell&gt;&lt;volume&gt;3044&lt;/volume&gt;&lt;avg&gt;1816242.12&lt;/avg&gt;&lt;stddev&gt;461270.94&lt;/stddev&gt;&lt;median&gt;2056500.00&lt;/median&gt;&lt;percentile&gt;1591812.69&lt;/percentile&gt;&lt;max&gt;3300000.00&lt;/max&gt;&lt;min&gt;1590000.00&lt;/min&gt;&lt;/sell&gt;&lt;/type&gt;&lt;type id="8105"&gt;&lt;buy&gt;&lt;volume&gt;1693&lt;/volume&gt;&lt;avg&gt;1754191.38&lt;/avg&gt;&lt;stddev&gt;463106.64&lt;/stddev&gt;&lt;median&gt;1721500.00&lt;/median&gt;&lt;percentile&gt;2270000.00&lt;/percentile&gt;&lt;max&gt;2270000.00&lt;/max&gt;&lt;min&gt;500000.00&lt;/min&gt;&lt;/buy&gt;&lt;sell&gt;&lt;volume&gt;2450&lt;/volume&gt;&lt;avg&gt;3085276.73&lt;/avg&gt;&lt;stddev&gt;512333.32&lt;/stddev&gt;&lt;median&gt;2887000.00&lt;/median&gt;&lt;percentile&gt;2548956.77&lt;/percentile&gt;&lt;max&gt;4841000.00&lt;/max&gt;&lt;min&gt;2537000.00&lt;/min&gt;&lt;/sell&gt;&lt;/type&gt;&lt;type id="2410"&gt;&lt;buy&gt;&lt;volume&gt;2255&lt;/volume&gt;&lt;avg&gt;1258400.44&lt;/avg&gt;&lt;stddev&gt;324005.10&lt;/stddev&gt;&lt;median&gt;1304500.00&lt;/median&gt;&lt;percentile&gt;1340000.00&lt;/percentile&gt;&lt;max&gt;1340000.00&lt;/max&gt;&lt;min&gt;500200.00&lt;/min&gt;&lt;/buy&gt;&lt;sell&gt;&lt;volume&gt;2611&lt;/volume&gt;&lt;avg&gt;1599917.27&lt;/avg&gt;&lt;stddev&gt;65874.60&lt;/stddev&gt;&lt;median&gt;1588500.00&lt;/median&gt;&lt;percentile&gt;1495384.62&lt;/percentile&gt;&lt;max&gt;1691000.00&lt;/max&gt;&lt;min&gt;1494000.00&lt;/min&gt;&lt;/sell&gt;&lt;/type&gt;&lt;type id="2404"&gt;&lt;buy&gt;&lt;volume&gt;3127&lt;/volume&gt;&lt;avg&gt;901518.68&lt;/avg&gt;&lt;stddev&gt;19082.65&lt;/stddev&gt;&lt;median&gt;907350.00&lt;/median&gt;&lt;percentile&gt;909617.24&lt;/percentile&gt;&lt;max&gt;909700.00&lt;/max&gt;&lt;min&gt;840700.00&lt;/min&gt;&lt;/buy&gt;&lt;sell&gt;&lt;volume&gt;2650&lt;/volume&gt;&lt;avg&gt;1350161.13&lt;/avg&gt;&lt;stddev&gt;246677.68&lt;/stddev&gt;&lt;median&gt;1197000.00&lt;/median&gt;&lt;percentile&gt;1140000.00&lt;/percentile&gt;&lt;max&gt;2138000.00&lt;/max&gt;&lt;min&gt;1140000.00&lt;/min&gt;&lt;/sell&gt;&lt;/type&gt;&lt;type id="33450"&gt;&lt;buy&gt;&lt;volume&gt;1370&lt;/volume&gt;&lt;avg&gt;2822752.55&lt;/avg&gt;&lt;stddev&gt;609104.02&lt;/stddev&gt;&lt;median&gt;2920000.00&lt;/median&gt;&lt;percentile&gt;3808650.79&lt;/percentile&gt;&lt;max&gt;3900000.00&lt;/max&gt;&lt;min&gt;2015000.00&lt;/min&gt;&lt;/buy&gt;&lt;sell&gt;&lt;volume&gt;3212&lt;/volume&gt;&lt;avg&gt;4836338.11&lt;/avg&gt;&lt;stddev&gt;454470.54&lt;/stddev&gt;&lt;median&gt;5189000.00&lt;/median&gt;&lt;percentile&gt;4138943.82&lt;/percentile&gt;&lt;max&gt;5395000.00&lt;/max&gt;&lt;min&gt;4138000.00&lt;/min&gt;&lt;/sell&gt;&lt;/type&gt;&lt;type id="1877"&gt;&lt;buy&gt;&lt;volume&gt;1136&lt;/volume&gt;&lt;avg&gt;869662.68&lt;/avg&gt;&lt;stddev&gt;64879.80&lt;/stddev&gt;&lt;median&gt;895300.00&lt;/median&gt;&lt;percentile&gt;895300.00&lt;/percentile&gt;&lt;max&gt;895300.00&lt;/max&gt;&lt;min&gt;750000.00&lt;/min&gt;&lt;/buy&gt;&lt;sell&gt;&lt;volume&gt;9526&lt;/volume&gt;&lt;avg&gt;1092429.09&lt;/avg&gt;&lt;stddev&gt;82602.26&lt;/stddev&gt;&lt;median&gt;1084000.00&lt;/median&gt;&lt;percentile&gt;996180.21&lt;/percentile&gt;&lt;max&gt;1500000.00&lt;/max&gt;&lt;min&gt;996100.00&lt;/min&gt;&lt;/sell&gt;&lt;/type&gt;&lt;type id="10631"&gt;&lt;buy&gt;&lt;volume&gt;4825&lt;/volume&gt;&lt;avg&gt;324468.29&lt;/avg&gt;&lt;stddev&gt;40360.00&lt;/stddev&gt;&lt;median&gt;329900.00&lt;/median&gt;&lt;percentile&gt;332002.04&lt;/percentile&gt;&lt;max&gt;332100.00&lt;/max&gt;&lt;min&gt;163900.00&lt;/min&gt;&lt;/buy&gt;&lt;sell&gt;&lt;volume&gt;6489&lt;/volume&gt;&lt;avg&gt;446271.24&lt;/avg&gt;&lt;stddev&gt;23352.99&lt;/stddev&gt;&lt;median&gt;444100.00&lt;/median&gt;&lt;percentile&gt;427900.00&lt;/percentile&gt;&lt;max&gt;510100.00&lt;/max&gt;&lt;min&gt;427900.00&lt;/min&gt;&lt;/sell&gt;&lt;/type&gt;&lt;type id="8117"&gt;&lt;buy&gt;&lt;volume&gt;12950&lt;/volume&gt;&lt;avg&gt;32840.50&lt;/avg&gt;&lt;stddev&gt;17830.96&lt;/stddev&gt;&lt;median&gt;35050.00&lt;/median&gt;&lt;percentile&gt;61383.53&lt;/percentile&gt;&lt;max&gt;61440.00&lt;/max&gt;&lt;min&gt;12100.00&lt;/min&gt;&lt;/buy&gt;&lt;sell&gt;&lt;volume&gt;8032&lt;/volume&gt;&lt;avg&gt;178466.85&lt;/avg&gt;&lt;stddev&gt;140504.68&lt;/stddev&gt;&lt;median&gt;160000.00&lt;/median&gt;&lt;percentile&gt;97226.07&lt;/percentile&gt;&lt;max&gt;1050000.00&lt;/max&gt;&lt;min&gt;95000.00&lt;/min&gt;&lt;/sell&gt;&lt;/type&gt;&lt;type id="2420"&gt;&lt;buy&gt;&lt;volume&gt;920&lt;/volume&gt;&lt;avg&gt;4660336.96&lt;/avg&gt;&lt;stddev&gt;569869.50&lt;/stddev&gt;&lt;median&gt;4875500.00&lt;/median&gt;&lt;percentile&gt;4902260.87&lt;/percentile&gt;&lt;max&gt;4903000.00&lt;/max&gt;&lt;min&gt;3112000.00&lt;/min&gt;&lt;/buy&gt;&lt;sell&gt;&lt;volume&gt;2039&lt;/volume&gt;&lt;avg&gt;5774318.78&lt;/avg&gt;&lt;stddev&gt;561224.40&lt;/stddev&gt;&lt;median&gt;5847000.00&lt;/median&gt;&lt;percentile&gt;5592183.49&lt;/percentile&gt;&lt;max&gt;7990000.00&lt;/max&gt;&lt;min&gt;5591000.00&lt;/min&gt;&lt;/sell&gt;&lt;/type&gt;&lt;type id="47914"&gt;&lt;buy&gt;&lt;volume&gt;105&lt;/volume&gt;&lt;avg&gt;19087619.05&lt;/avg&gt;&lt;stddev&gt;1371650.19&lt;/stddev&gt;&lt;median&gt;19215000.00&lt;/median&gt;&lt;percentile&gt;20206666.67&lt;/percentile&gt;&lt;max&gt;20260000.00&lt;/max&gt;&lt;min&gt;16400000.00&lt;/min&gt;&lt;/buy&gt;&lt;sell&gt;&lt;volume&gt;894&lt;/volume&gt;&lt;avg&gt;27087069.35&lt;/avg&gt;&lt;stddev&gt;7939402.60&lt;/stddev&gt;&lt;median&gt;24115000.00&lt;/median&gt;&lt;percentile&gt;22934260.87&lt;/percentile&gt;&lt;max&gt;60600000.00&lt;/max&gt;&lt;min&gt;22710000.00&lt;/min&gt;&lt;/sell&gt;&lt;/type&gt;&lt;type id="2969"&gt;&lt;buy&gt;&lt;volume&gt;3226&lt;/volume&gt;&lt;avg&gt;2325747.37&lt;/avg&gt;&lt;stddev&gt;242592.76&lt;/stddev&gt;&lt;median&gt;2300000.00&lt;/median&gt;&lt;percentile&gt;2400526.32&lt;/percentile&gt;&lt;max&gt;2401000.00&lt;/max&gt;&lt;min&gt;1600000.00&lt;/min&gt;&lt;/buy&gt;&lt;sell&gt;&lt;volume&gt;1047&lt;/volume&gt;&lt;avg&gt;2829144.22&lt;/avg&gt;&lt;stddev&gt;249483.62&lt;/stddev&gt;&lt;median&gt;2590000.00&lt;/median&gt;&lt;percentile&gt;2564913.04&lt;/percentile&gt;&lt;max&gt;3599000.00&lt;/max&gt;&lt;min&gt;2564000.00&lt;/min&gt;&lt;/sell&gt;&lt;/type&gt;&lt;type id="2977"&gt;&lt;buy&gt;&lt;volume&gt;2291&lt;/volume&gt;&lt;avg&gt;895561.33&lt;/avg&gt;&lt;stddev&gt;81780.08&lt;/stddev&gt;&lt;median&gt;916150.00&lt;/median&gt;&lt;percentile&gt;917400.00&lt;/percentile&gt;&lt;max&gt;917400.00&lt;/max&gt;&lt;min&gt;700300.00&lt;/min&gt;&lt;/buy&gt;&lt;sell&gt;&lt;volume&gt;2017&lt;/volume&gt;&lt;avg&gt;1260926.13&lt;/avg&gt;&lt;stddev&gt;154872.87&lt;/stddev&gt;&lt;median&gt;1274000.00&lt;/median&gt;&lt;percentile&gt;1218539.33&lt;/percentile&gt;&lt;max&gt;1698000.00&lt;/max&gt;&lt;min&gt;1200000.00&lt;/min&gt;&lt;/sell&gt;&lt;/type&gt;&lt;type id="2897"&gt;&lt;buy&gt;&lt;volume&gt;1121&lt;/volume&gt;&lt;avg&gt;2086710.08&lt;/avg&gt;&lt;stddev&gt;117522.63&lt;/stddev&gt;&lt;median&gt;2136500.00&lt;/median&gt;&lt;percentile&gt;2148000.00&lt;/percentile&gt;&lt;max&gt;2148000.00&lt;/max&gt;&lt;min&gt;1737000.00&lt;/min&gt;&lt;/buy&gt;&lt;sell&gt;&lt;volume&gt;2073&lt;/volume&gt;&lt;avg&gt;2932060.78&lt;/avg&gt;&lt;stddev&gt;283248.12&lt;/stddev&gt;&lt;median&gt;2907500.00&lt;/median&gt;&lt;percentile&gt;2657829.93&lt;/percentile&gt;&lt;max&gt;3850000.00&lt;/max&gt;&lt;min&gt;2657000.00&lt;/min&gt;&lt;/sell&gt;&lt;/type&gt;&lt;type id="2913"&gt;&lt;buy&gt;&lt;volume&gt;1035&lt;/volume&gt;&lt;avg&gt;2298642.51&lt;/avg&gt;&lt;stddev&gt;290355.41&lt;/stddev&gt;&lt;median&gt;2359000.00&lt;/median&gt;&lt;percentile&gt;2376000.00&lt;/percentile&gt;&lt;max&gt;2376000.00&lt;/max&gt;&lt;min&gt;1250000.00&lt;/min&gt;&lt;/buy&gt;&lt;sell&gt;&lt;volume&gt;1691&lt;/volume&gt;&lt;avg&gt;2863256.65&lt;/avg&gt;&lt;stddev&gt;293968.01&lt;/stddev&gt;&lt;median&gt;2739500.00&lt;/median&gt;&lt;percentile&gt;2673298.97&lt;/percentile&gt;&lt;max&gt;3500000.00&lt;/max&gt;&lt;min&gt;2670000.00&lt;/min&gt;&lt;/sell&gt;&lt;/type&gt;&lt;type id="8863"&gt;&lt;buy&gt;&lt;volume&gt;800&lt;/volume&gt;&lt;avg&gt;389510.00&lt;/avg&gt;&lt;stddev&gt;6970.61&lt;/stddev&gt;&lt;median&gt;390200.00&lt;/median&gt;&lt;percentile&gt;398750.00&lt;/percentile&gt;&lt;max&gt;399500.00&lt;/max&gt;&lt;min&gt;380000.00&lt;/min&gt;&lt;/buy&gt;&lt;sell&gt;&lt;volume&gt;1486&lt;/volume&gt;&lt;avg&gt;888983.18&lt;/avg&gt;&lt;stddev&gt;413047.09&lt;/stddev&gt;&lt;median&gt;710000.00&lt;/median&gt;&lt;percentile&gt;539792.08&lt;/percentile&gt;&lt;max&gt;1990000.00&lt;/max&gt;&lt;min&gt;539000.00&lt;/min&gt;&lt;/sell&gt;&lt;/type&gt;&lt;type id="2873"&gt;&lt;buy&gt;&lt;volume&gt;2011&lt;/volume&gt;&lt;avg&gt;395056.74&lt;/avg&gt;&lt;stddev&gt;76919.31&lt;/stddev&gt;&lt;median&gt;412600.00&lt;/median&gt;&lt;percentile&gt;415205.00&lt;/percentile&gt;&lt;max&gt;415300.00&lt;/max&gt;&lt;min&gt;200000.00&lt;/min&gt;&lt;/buy&gt;&lt;sell&gt;&lt;volume&gt;7917&lt;/volume&gt;&lt;avg&gt;507322.07&lt;/avg&gt;&lt;stddev&gt;12033.46&lt;/stddev&gt;&lt;median&gt;503050.00&lt;/median&gt;&lt;percentile&gt;497934.05&lt;/percentile&gt;&lt;max&gt;532300.00&lt;/max&gt;&lt;min&gt;497800.00&lt;/min&gt;&lt;/sell&gt;&lt;/type&gt;&lt;type id="2881"&gt;&lt;buy&gt;&lt;volume&gt;1182&lt;/volume&gt;&lt;avg&gt;477357.11&lt;/avg&gt;&lt;stddev&gt;13536.39&lt;/stddev&gt;&lt;median&gt;486700.00&lt;/median&gt;&lt;percentile&gt;488585.71&lt;/percentile&gt;&lt;max&gt;488700.00&lt;/max&gt;&lt;min&gt;456200.00&lt;/min&gt;&lt;/buy&gt;&lt;sell&gt;&lt;volume&gt;6931&lt;/volume&gt;&lt;avg&gt;805703.82&lt;/avg&gt;&lt;stddev&gt;203577.79&lt;/stddev&gt;&lt;median&gt;620000.00&lt;/median&gt;&lt;percentile&gt;617728.77&lt;/percentile&gt;&lt;max&gt;1300000.00&lt;/max&gt;&lt;min&gt;617700.00&lt;/min&gt;&lt;/sell&gt;&lt;/type&gt;&lt;type id="2889"&gt;&lt;buy&gt;&lt;volume&gt;2469&lt;/volume&gt;&lt;avg&gt;520506.28&lt;/avg&gt;&lt;stddev&gt;73120.97&lt;/stddev&gt;&lt;median&gt;502850.00&lt;/median&gt;&lt;percentile&gt;552346.15&lt;/percentile&gt;&lt;max&gt;553000.00&lt;/max&gt;&lt;min&gt;251000.00&lt;/min&gt;&lt;/buy&gt;&lt;sell&gt;&lt;volume&gt;12590&lt;/volume&gt;&lt;avg&gt;925028.58&lt;/avg&gt;&lt;stddev&gt;63195.40&lt;/stddev&gt;&lt;median&gt;892700.00&lt;/median&gt;&lt;percentile&gt;869289.54&lt;/percentile&gt;&lt;max&gt;1098000.00&lt;/max&gt;&lt;min&gt;860000.00&lt;/min&gt;&lt;/sell&gt;&lt;/type&gt;&lt;type id="22291"&gt;&lt;buy&gt;&lt;volume&gt;1832&lt;/volume&gt;&lt;avg&gt;1047080.24&lt;/avg&gt;&lt;stddev&gt;225184.77&lt;/stddev&gt;&lt;median&gt;1111500.00&lt;/median&gt;&lt;percentile&gt;1184229.01&lt;/percentile&gt;&lt;max&gt;1185000.00&lt;/max&gt;&lt;min&gt;502300.00&lt;/min&gt;&lt;/buy&gt;&lt;sell&gt;&lt;volume&gt;10587&lt;/volume&gt;&lt;avg&gt;1586350.71&lt;/avg&gt;&lt;stddev&gt;412066.90&lt;/stddev&gt;&lt;median&gt;1496000.00&lt;/median&gt;&lt;percentile&gt;1306288.89&lt;/percentile&gt;&lt;max&gt;3200000.00&lt;/max&gt;&lt;min&gt;1302000.00&lt;/min&gt;&lt;/sell&gt;&lt;/type&gt;&lt;type id="15681"&gt;&lt;buy&gt;&lt;volume&gt;41&lt;/volume&gt;&lt;avg&gt;79763414.63&lt;/avg&gt;&lt;stddev&gt;7329749.20&lt;/stddev&gt;&lt;median&gt;83375000.00&lt;/median&gt;&lt;percentile&gt;87061428.57&lt;/percentile&gt;&lt;max&gt;87070000.00&lt;/max&gt;&lt;min&gt;70000000.00&lt;/min&gt;&lt;/buy&gt;&lt;sell&gt;&lt;volume&gt;728&lt;/volume&gt;&lt;avg&gt;129971085.16&lt;/avg&gt;&lt;stddev&gt;22052584.52&lt;/stddev&gt;&lt;median&gt;110200000.00&lt;/median&gt;&lt;percentile&gt;99714500.00&lt;/percentile&gt;&lt;max&gt;186900000.00&lt;/max&gt;&lt;min&gt;98000000.00&lt;/min&gt;&lt;/sell&gt;&lt;/type&gt;&lt;type id="47911"&gt;&lt;buy&gt;&lt;volume&gt;1385&lt;/volume&gt;&lt;avg&gt;2704896.75&lt;/avg&gt;&lt;stddev&gt;491516.29&lt;/stddev&gt;&lt;median&gt;2813000.00&lt;/median&gt;&lt;percentile&gt;2845652.17&lt;/percentile&gt;&lt;max&gt;2848000.00&lt;/max&gt;&lt;min&gt;1104000.00&lt;/min&gt;&lt;/buy&gt;&lt;sell&gt;&lt;volume&gt;2188&lt;/volume&gt;&lt;avg&gt;3630893.51&lt;/avg&gt;&lt;stddev&gt;247978.69&lt;/stddev&gt;&lt;median&gt;3476500.00&lt;/median&gt;&lt;percentile&gt;3394393.70&lt;/percentile&gt;&lt;max&gt;4664000.00&lt;/max&gt;&lt;min&gt;3394000.00&lt;/min&gt;&lt;/sell&gt;&lt;/type&gt;&lt;type id="519"&gt;&lt;buy&gt;&lt;volume&gt;2356&lt;/volume&gt;&lt;avg&gt;1069497.71&lt;/avg&gt;&lt;stddev&gt;197040.58&lt;/stddev&gt;&lt;median&gt;1110000.00&lt;/median&gt;&lt;percentile&gt;1230000.00&lt;/percentile&gt;&lt;max&gt;1230000.00&lt;/max&gt;&lt;min&gt;607300.00&lt;/min&gt;&lt;/buy&gt;&lt;sell&gt;&lt;volume&gt;3855&lt;/volume&gt;&lt;avg&gt;1476507.91&lt;/avg&gt;&lt;stddev&gt;243233.42&lt;/stddev&gt;&lt;median&gt;1339000.00&lt;/median&gt;&lt;percentile&gt;1330507.61&lt;/percentile&gt;&lt;max&gt;2134000.00&lt;/max&gt;&lt;min&gt;1330000.00&lt;/min&gt;&lt;/sell&gt;&lt;/type&gt;&lt;type id="15806"&gt;&lt;buy&gt;&lt;volume&gt;30&lt;/volume&gt;&lt;avg&gt;87412666.67&lt;/avg&gt;&lt;stddev&gt;3505181.77&lt;/stddev&gt;&lt;median&gt;87940000.00&lt;/median&gt;&lt;percentile&gt;91000000.00&lt;/percentile&gt;&lt;max&gt;91000000.00&lt;/max&gt;&lt;min&gt;80360000.00&lt;/min&gt;&lt;/buy&gt;&lt;sell&gt;&lt;volume&gt;242&lt;/volume&gt;&lt;avg&gt;101837809.92&lt;/avg&gt;&lt;stddev&gt;6897721.86&lt;/stddev&gt;&lt;median&gt;99275000.00&lt;/median&gt;&lt;percentile&gt;97937500.00&lt;/percentile&gt;&lt;max&gt;130000000.00&lt;/max&gt;&lt;min&gt;97930000.00&lt;/min&gt;&lt;/sell&gt;&lt;/type&gt;&lt;type id="2364"&gt;&lt;buy&gt;&lt;volume&gt;1550&lt;/volume&gt;&lt;avg&gt;971648.39&lt;/avg&gt;&lt;stddev&gt;252176.35&lt;/stddev&gt;&lt;median&gt;1038000.00&lt;/median&gt;&lt;percentile&gt;1091000.00&lt;/percentile&gt;&lt;max&gt;1091000.00&lt;/max&gt;&lt;min&gt;504000.00&lt;/min&gt;&lt;/buy&gt;&lt;sell&gt;&lt;volume&gt;7121&lt;/volume&gt;&lt;avg&gt;1267825.02&lt;/avg&gt;&lt;stddev&gt;124309.33&lt;/stddev&gt;&lt;median&gt;1187000.00&lt;/median&gt;&lt;percentile&gt;1160271.00&lt;/percentile&gt;&lt;max&gt;1496000.00&lt;/max&gt;&lt;min&gt;1160000.00&lt;/min&gt;&lt;/sell&gt;&lt;/type&gt;&lt;type id="10190"&gt;&lt;buy&gt;&lt;volume&gt;1401&lt;/volume&gt;&lt;avg&gt;1034159.81&lt;/avg&gt;&lt;stddev&gt;211913.36&lt;/stddev&gt;&lt;median&gt;1096000.00&lt;/median&gt;&lt;percentile&gt;1096000.00&lt;/percentile&gt;&lt;max&gt;1096000.00&lt;/max&gt;&lt;min&gt;551400.00&lt;/min&gt;&lt;/buy&gt;&lt;sell&gt;&lt;volume&gt;7135&lt;/volume&gt;&lt;avg&gt;1249045.69&lt;/avg&gt;&lt;stddev&gt;71575.75&lt;/stddev&gt;&lt;median&gt;1218000.00&lt;/median&gt;&lt;percentile&gt;1200189.80&lt;/percentile&gt;&lt;max&gt;1410000.00&lt;/max&gt;&lt;min&gt;1199000.00&lt;/min&gt;&lt;/sell&gt;&lt;/type&gt;&lt;type id="35790"&gt;&lt;buy&gt;&lt;volume&gt;226&lt;/volume&gt;&lt;avg&gt;1396039.82&lt;/avg&gt;&lt;stddev&gt;167003.85&lt;/stddev&gt;&lt;median&gt;1367000.00&lt;/median&gt;&lt;percentile&gt;1560636.36&lt;/percentile&gt;&lt;max&gt;1607000.00&lt;/max&gt;&lt;min&gt;1100000.00&lt;/min&gt;&lt;/buy&gt;&lt;sell&gt;&lt;volume&gt;2400&lt;/volume&gt;&lt;avg&gt;2145771.25&lt;/avg&gt;&lt;stddev&gt;404851.99&lt;/stddev&gt;&lt;median&gt;2046000.00&lt;/median&gt;&lt;percentile&gt;1972218.75&lt;/percentile&gt;&lt;max&gt;3492000.00&lt;/max&gt;&lt;min&gt;1970000.00&lt;/min&gt;&lt;/sell&gt;&lt;/type&gt;&lt;type id="1978"&gt;&lt;buy&gt;&lt;volume&gt;289&lt;/volume&gt;&lt;avg&gt;1503826.99&lt;/avg&gt;&lt;stddev&gt;13744.70&lt;/stddev&gt;&lt;median&gt;1509500.00&lt;/median&gt;&lt;percentile&gt;1515000.00&lt;/percentile&gt;&lt;max&gt;1515000.00&lt;/max&gt;&lt;min&gt;1487000.00&lt;/min&gt;&lt;/buy&gt;&lt;sell&gt;&lt;volume&gt;3448&lt;/volume&gt;&lt;avg&gt;1819512.76&lt;/avg&gt;&lt;stddev&gt;242883.04&lt;/stddev&gt;&lt;median&gt;1731500.00&lt;/median&gt;&lt;percentile&gt;1711358.97&lt;/percentile&gt;&lt;max&gt;2474000.00&lt;/max&gt;&lt;min&gt;1709000.00&lt;/min&gt;&lt;/sell&gt;&lt;/type&gt;&lt;type id="1999"&gt;&lt;buy&gt;&lt;volume&gt;830&lt;/volume&gt;&lt;avg&gt;870383.13&lt;/avg&gt;&lt;stddev&gt;167241.52&lt;/stddev&gt;&lt;median&gt;903500.00&lt;/median&gt;&lt;percentile&gt;903800.00&lt;/percentile&gt;&lt;max&gt;903800.00&lt;/max&gt;&lt;min&gt;379900.00&lt;/min&gt;&lt;/buy&gt;&lt;sell&gt;&lt;volume&gt;1195&lt;/volume&gt;&lt;avg&gt;1064108.79&lt;/avg&gt;&lt;stddev&gt;339707.83&lt;/stddev&gt;&lt;median&gt;1031000.00&lt;/median&gt;&lt;percentile&gt;1006000.00&lt;/percentile&gt;&lt;max&gt;3000000.00&lt;/max&gt;&lt;min&gt;1006000.00&lt;/min&gt;&lt;/sell&gt;&lt;/type&gt;&lt;type id="9950"&gt;&lt;buy&gt;&lt;volume&gt;880&lt;/volume&gt;&lt;avg&gt;1637988.64&lt;/avg&gt;&lt;stddev&gt;429217.96&lt;/stddev&gt;&lt;median&gt;1900000.00&lt;/median&gt;&lt;percentile&gt;2051000.00&lt;/percentile&gt;&lt;max&gt;2051000.00&lt;/max&gt;&lt;min&gt;1000000.00&lt;/min&gt;&lt;/buy&gt;&lt;sell&gt;&lt;volume&gt;5534&lt;/volume&gt;&lt;avg&gt;2540575.89&lt;/avg&gt;&lt;stddev&gt;181742.69&lt;/stddev&gt;&lt;median&gt;2580000.00&lt;/median&gt;&lt;percentile&gt;2190000.00&lt;/percentile&gt;&lt;max&gt;2850000.00&lt;/max&gt;&lt;min&gt;2190000.00&lt;/min&gt;&lt;/sell&gt;&lt;/type&gt;&lt;type id="15479"&gt;&lt;buy&gt;&lt;volume&gt;734&lt;/volume&gt;&lt;avg&gt;1685437.33&lt;/avg&gt;&lt;stddev&gt;70935.03&lt;/stddev&gt;&lt;median&gt;1662000.00&lt;/median&gt;&lt;percentile&gt;1802769.23&lt;/percentile&gt;&lt;max&gt;1806000.00&lt;/max&gt;&lt;min&gt;1657000.00&lt;/min&gt;&lt;/buy&gt;&lt;sell&gt;&lt;volume&gt;1853&lt;/volume&gt;&lt;avg&gt;2774981.65&lt;/avg&gt;&lt;stddev&gt;541298.12&lt;/stddev&gt;&lt;median&gt;2578500.00&lt;/median&gt;&lt;percentile&gt;2319000.00&lt;/percentile&gt;&lt;max&gt;4165000.00&lt;/max&gt;&lt;min&gt;2319000.00&lt;/min&gt;&lt;/sell&gt;&lt;/type&gt;&lt;type id="15463"&gt;&lt;buy&gt;&lt;volume&gt;424&lt;/volume&gt;&lt;avg&gt;1859353.77&lt;/avg&gt;&lt;stddev&gt;112374.37&lt;/stddev&gt;&lt;median&gt;1946500.00&lt;/median&gt;&lt;percentile&gt;1949000.00&lt;/percentile&gt;&lt;max&gt;1949000.00&lt;/max&gt;&lt;min&gt;1657000.00&lt;/min&gt;&lt;/buy&gt;&lt;sell&gt;&lt;volume&gt;1634&lt;/volume&gt;&lt;avg&gt;2875070.99&lt;/avg&gt;&lt;stddev&gt;553301.49&lt;/stddev&gt;&lt;median&gt;2809000.00&lt;/median&gt;&lt;percentile&gt;2390000.00&lt;/percentile&gt;&lt;max&gt;4300000.00&lt;/max&gt;&lt;min&gt;2390000.00&lt;/min&gt;&lt;/sell&gt;&lt;/type&gt;&lt;type id="3898"&gt;&lt;buy&gt;&lt;volume&gt;415&lt;/volume&gt;&lt;avg&gt;14243445.78&lt;/avg&gt;&lt;stddev&gt;2787584.49&lt;/stddev&gt;&lt;median&gt;15340000.00&lt;/median&gt;&lt;percentile&gt;16010000.00&lt;/percentile&gt;&lt;max&gt;16010000.00&lt;/max&gt;&lt;min&gt;7010000.00&lt;/min&gt;&lt;/buy&gt;&lt;sell&gt;&lt;volume&gt;1833&lt;/volume&gt;&lt;avg&gt;19937288.60&lt;/avg&gt;&lt;stddev&gt;2101327.68&lt;/stddev&gt;&lt;median&gt;19110000.00&lt;/median&gt;&lt;percentile&gt;17772500.00&lt;/percentile&gt;&lt;max&gt;22990000.00&lt;/max&gt;&lt;min&gt;17640000.00&lt;/min&gt;&lt;/sell&gt;&lt;/type&gt;&lt;type id="15466"&gt;&lt;buy&gt;&lt;volume&gt;890&lt;/volume&gt;&lt;avg&gt;2491112.36&lt;/avg&gt;&lt;stddev&gt;611431.75&lt;/stddev&gt;&lt;median&gt;2054000.00&lt;/median&gt;&lt;percentile&gt;3262363.64&lt;/percentile&gt;&lt;max&gt;3266000.00&lt;/max&gt;&lt;min&gt;1636000.00&lt;/min&gt;&lt;/buy&gt;&lt;sell&gt;&lt;volume&gt;1039&lt;/volume&gt;&lt;avg&gt;3929812.32&lt;/avg&gt;&lt;stddev&gt;77965.38&lt;/stddev&gt;&lt;median&gt;3979000.00&lt;/median&gt;&lt;percentile&gt;3817956.79&lt;/percentile&gt;&lt;max&gt;4058000.00&lt;/max&gt;&lt;min&gt;3815000.00&lt;/min&gt;&lt;/sell&gt;&lt;/type&gt;&lt;type id="15460"&gt;&lt;buy&gt;&lt;volume&gt;412&lt;/volume&gt;&lt;avg&gt;2248660.19&lt;/avg&gt;&lt;stddev&gt;748153.89&lt;/stddev&gt;&lt;median&gt;1915000.00&lt;/median&gt;&lt;percentile&gt;2905000.00&lt;/percentile&gt;&lt;max&gt;2905000.00&lt;/max&gt;&lt;min&gt;1386000.00&lt;/min&gt;&lt;/buy&gt;&lt;sell&gt;&lt;volume&gt;407&lt;/volume&gt;&lt;avg&gt;3076972.97&lt;/avg&gt;&lt;stddev&gt;328279.57&lt;/stddev&gt;&lt;median&gt;3000000.00&lt;/median&gt;&lt;percentile&gt;2995000.00&lt;/percentile&gt;&lt;max&gt;3900000.00&lt;/max&gt;&lt;min&gt;2995000.00&lt;/min&gt;&lt;/sell&gt;&lt;/type&gt;&lt;type id="46002"&gt;&lt;buy&gt;&lt;volume&gt;93&lt;/volume&gt;&lt;avg&gt;2935440.86&lt;/avg&gt;&lt;stddev&gt;468489.49&lt;/stddev&gt;&lt;median&gt;2605500.00&lt;/median&gt;&lt;percentile&gt;3481230.77&lt;/percentile&gt;&lt;max&gt;3482000.00&lt;/max&gt;&lt;min&gt;2521000.00&lt;/min&gt;&lt;/buy&gt;&lt;sell&gt;&lt;volume&gt;4046&lt;/volume&gt;&lt;avg&gt;5879540.78&lt;/avg&gt;&lt;stddev&gt;1074837.99&lt;/stddev&gt;&lt;median&gt;5886000.00&lt;/median&gt;&lt;percentile&gt;4129598.04&lt;/percentile&gt;&lt;max&gt;14000000.00&lt;/max&gt;&lt;min&gt;4123000.00&lt;/min&gt;&lt;/sell&gt;&lt;/type&gt;&lt;type id="46004"&gt;&lt;buy&gt;&lt;volume&gt;2700&lt;/volume&gt;&lt;avg&gt;172685.19&lt;/avg&gt;&lt;stddev&gt;2628.12&lt;/stddev&gt;&lt;median&gt;173500.00&lt;/median&gt;&lt;percentile&gt;175300.00&lt;/percentile&gt;&lt;max&gt;175300.00&lt;/max&gt;&lt;min&gt;170000.00&lt;/min&gt;&lt;/buy&gt;&lt;sell&gt;&lt;volume&gt;8164&lt;/volume&gt;&lt;avg&gt;323134.66&lt;/avg&gt;&lt;stddev&gt;91951.47&lt;/stddev&gt;&lt;median&gt;324300.00&lt;/median&gt;&lt;percentile&gt;208281.30&lt;/percentile&gt;&lt;max&gt;750000.00&lt;/max&gt;&lt;min&gt;205000.00&lt;/min&gt;&lt;/sell&gt;&lt;/type&gt;&lt;type id="46005"&gt;&lt;buy&gt;&lt;volume&gt;290&lt;/volume&gt;&lt;avg&gt;2779206.90&lt;/avg&gt;&lt;stddev&gt;869746.21&lt;/stddev&gt;&lt;median&gt;2927000.00&lt;/median&gt;&lt;percentile&gt;3020000.00&lt;/percentile&gt;&lt;max&gt;3020000.00&lt;/max&gt;&lt;min&gt;651000.00&lt;/min&gt;&lt;/buy&gt;&lt;sell&gt;&lt;volume&gt;2632&lt;/volume&gt;&lt;avg&gt;5345409.57&lt;/avg&gt;&lt;stddev&gt;1224038.33&lt;/stddev&gt;&lt;median&gt;5613500.00&lt;/median&gt;&lt;percentile&gt;3797075.68&lt;/percentile&gt;&lt;max&gt;10880000.00&lt;/max&gt;&lt;min&gt;3720000.00&lt;/min&gt;&lt;/sell&gt;&lt;/type&gt;&lt;/marketstat&gt;&lt;/exec_api&gt;</v>
      </c>
      <c r="BF48" s="3"/>
    </row>
    <row r="49" spans="1:58">
      <c r="A49" s="36" t="s">
        <v>11251</v>
      </c>
      <c r="B49" s="73">
        <f>VLOOKUP(A49,TypeIDs!B:C,2,FALSE)</f>
        <v>23035</v>
      </c>
      <c r="C49" s="39">
        <v>710</v>
      </c>
      <c r="D49" s="39">
        <f t="shared" si="0"/>
        <v>752.84500000000003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>
        <f t="shared" si="4"/>
        <v>1256.825</v>
      </c>
      <c r="J49" s="20">
        <f t="shared" si="5"/>
        <v>2800</v>
      </c>
      <c r="K49" s="19">
        <f t="shared" si="2"/>
        <v>35</v>
      </c>
      <c r="L49" s="8">
        <f t="shared" si="8"/>
        <v>1.0153484448990164</v>
      </c>
      <c r="M49" s="9">
        <f t="shared" si="9"/>
        <v>2107966</v>
      </c>
      <c r="N49" s="10">
        <f t="shared" si="6"/>
        <v>32353.999999999862</v>
      </c>
      <c r="O49" s="11">
        <f t="shared" si="7"/>
        <v>924.399999999996</v>
      </c>
      <c r="P49" s="23">
        <f t="shared" si="3"/>
        <v>2140320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>
        <v>818.9</v>
      </c>
      <c r="D50" s="39">
        <f t="shared" si="0"/>
        <v>866.59105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>
        <f t="shared" si="4"/>
        <v>6327.585</v>
      </c>
      <c r="J50" s="20">
        <f t="shared" si="5"/>
        <v>14000</v>
      </c>
      <c r="K50" s="19">
        <f t="shared" si="2"/>
        <v>175</v>
      </c>
      <c r="L50" s="8">
        <f t="shared" si="8"/>
        <v>0.98241321555305705</v>
      </c>
      <c r="M50" s="9">
        <f t="shared" si="9"/>
        <v>12132274.699999999</v>
      </c>
      <c r="N50" s="10">
        <f t="shared" si="6"/>
        <v>-213367.69999999978</v>
      </c>
      <c r="O50" s="11">
        <f t="shared" si="7"/>
        <v>-1219.2439999999988</v>
      </c>
      <c r="P50" s="23">
        <f t="shared" si="3"/>
        <v>11918907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>
        <v>746.7</v>
      </c>
      <c r="D51" s="39">
        <f t="shared" si="0"/>
        <v>791.17815000000007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>
        <f t="shared" si="4"/>
        <v>3149.3649999999998</v>
      </c>
      <c r="J51" s="20">
        <f t="shared" si="5"/>
        <v>7000</v>
      </c>
      <c r="K51" s="19">
        <f t="shared" si="2"/>
        <v>87.5</v>
      </c>
      <c r="L51" s="8">
        <f t="shared" si="8"/>
        <v>0.86953867469671653</v>
      </c>
      <c r="M51" s="9">
        <f t="shared" si="9"/>
        <v>5538247.0500000007</v>
      </c>
      <c r="N51" s="10">
        <f t="shared" si="6"/>
        <v>-722527.05000000028</v>
      </c>
      <c r="O51" s="11">
        <f t="shared" si="7"/>
        <v>-8257.452000000003</v>
      </c>
      <c r="P51" s="23">
        <f t="shared" si="3"/>
        <v>4815720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>
        <v>797.4</v>
      </c>
      <c r="D52" s="39">
        <f t="shared" si="0"/>
        <v>844.13429999999994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>
        <f t="shared" si="4"/>
        <v>9478.4650000000001</v>
      </c>
      <c r="J52" s="20">
        <f t="shared" si="5"/>
        <v>21000</v>
      </c>
      <c r="K52" s="19">
        <f t="shared" si="2"/>
        <v>262.5</v>
      </c>
      <c r="L52" s="8">
        <f t="shared" si="8"/>
        <v>1.0748796725829055</v>
      </c>
      <c r="M52" s="9">
        <f t="shared" si="9"/>
        <v>17726820.299999997</v>
      </c>
      <c r="N52" s="10">
        <f t="shared" si="6"/>
        <v>1327378.5000000014</v>
      </c>
      <c r="O52" s="11">
        <f t="shared" si="7"/>
        <v>5056.6800000000057</v>
      </c>
      <c r="P52" s="23">
        <f t="shared" si="3"/>
        <v>19054198.799999997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>
        <v>739</v>
      </c>
      <c r="D53" s="39">
        <f t="shared" si="0"/>
        <v>783.13549999999998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>
        <f t="shared" si="4"/>
        <v>4721.7250000000004</v>
      </c>
      <c r="J53" s="20">
        <f t="shared" si="5"/>
        <v>10500</v>
      </c>
      <c r="K53" s="19">
        <f t="shared" si="2"/>
        <v>131.25</v>
      </c>
      <c r="L53" s="8">
        <f t="shared" si="8"/>
        <v>1.1468896506415556</v>
      </c>
      <c r="M53" s="9">
        <f t="shared" si="9"/>
        <v>8222922.75</v>
      </c>
      <c r="N53" s="10">
        <f t="shared" si="6"/>
        <v>1207862.2499999998</v>
      </c>
      <c r="O53" s="11">
        <f t="shared" si="7"/>
        <v>9202.7599999999984</v>
      </c>
      <c r="P53" s="23">
        <f t="shared" si="3"/>
        <v>9430785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>
        <v>716.7</v>
      </c>
      <c r="D54" s="39">
        <f t="shared" si="0"/>
        <v>759.84315000000004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>
        <f t="shared" si="4"/>
        <v>943.02700000000004</v>
      </c>
      <c r="J54" s="20">
        <f t="shared" si="5"/>
        <v>2100</v>
      </c>
      <c r="K54" s="19">
        <f t="shared" si="2"/>
        <v>26.25</v>
      </c>
      <c r="L54" s="8">
        <f t="shared" si="8"/>
        <v>1.0625844294312583</v>
      </c>
      <c r="M54" s="9">
        <f t="shared" si="9"/>
        <v>1595670.615</v>
      </c>
      <c r="N54" s="10">
        <f t="shared" si="6"/>
        <v>99864.134999999995</v>
      </c>
      <c r="O54" s="11">
        <f t="shared" si="7"/>
        <v>3804.348</v>
      </c>
      <c r="P54" s="23">
        <f t="shared" si="3"/>
        <v>1695534.75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>
        <v>480.5</v>
      </c>
      <c r="D55" s="39">
        <f t="shared" si="0"/>
        <v>504.13225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>
        <f t="shared" si="4"/>
        <v>15480.504999999999</v>
      </c>
      <c r="J55" s="20">
        <f t="shared" si="5"/>
        <v>35000</v>
      </c>
      <c r="K55" s="19">
        <f t="shared" si="2"/>
        <v>87.5</v>
      </c>
      <c r="L55" s="8">
        <f t="shared" si="8"/>
        <v>0.96662135778855651</v>
      </c>
      <c r="M55" s="9">
        <f t="shared" si="9"/>
        <v>17644628.75</v>
      </c>
      <c r="N55" s="10">
        <f t="shared" si="6"/>
        <v>-588953.74999999977</v>
      </c>
      <c r="O55" s="11">
        <f t="shared" si="7"/>
        <v>-6730.8999999999969</v>
      </c>
      <c r="P55" s="23">
        <f t="shared" si="3"/>
        <v>17055675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>
        <v>630.9</v>
      </c>
      <c r="D56" s="39">
        <f t="shared" si="0"/>
        <v>703.97505000000001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>
        <f t="shared" si="4"/>
        <v>56271.34</v>
      </c>
      <c r="J56" s="20">
        <f t="shared" si="5"/>
        <v>126000</v>
      </c>
      <c r="K56" s="19">
        <f t="shared" si="2"/>
        <v>6300</v>
      </c>
      <c r="L56" s="8">
        <f t="shared" si="8"/>
        <v>1.3310966773609376</v>
      </c>
      <c r="M56" s="9">
        <f t="shared" si="9"/>
        <v>88700856.299999997</v>
      </c>
      <c r="N56" s="10">
        <f t="shared" si="6"/>
        <v>29368558.800000001</v>
      </c>
      <c r="O56" s="11">
        <f t="shared" si="7"/>
        <v>4661.6759999999995</v>
      </c>
      <c r="P56" s="23">
        <f t="shared" si="3"/>
        <v>118069415.09999999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>
        <v>769.5</v>
      </c>
      <c r="D57" s="39">
        <f t="shared" si="0"/>
        <v>848.74275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>
        <f t="shared" si="4"/>
        <v>2207.83</v>
      </c>
      <c r="J57" s="20">
        <f t="shared" si="5"/>
        <v>4900</v>
      </c>
      <c r="K57" s="19">
        <f t="shared" si="2"/>
        <v>245</v>
      </c>
      <c r="L57" s="8">
        <f t="shared" si="8"/>
        <v>1.0041982685566386</v>
      </c>
      <c r="M57" s="9">
        <f t="shared" si="9"/>
        <v>4158839.4750000001</v>
      </c>
      <c r="N57" s="10">
        <f t="shared" si="6"/>
        <v>17459.925000000192</v>
      </c>
      <c r="O57" s="11">
        <f t="shared" si="7"/>
        <v>71.265000000000782</v>
      </c>
      <c r="P57" s="23">
        <f t="shared" si="3"/>
        <v>4176299.4000000004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>
        <v>1894</v>
      </c>
      <c r="D58" s="39">
        <f t="shared" si="0"/>
        <v>2023.2829999999999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>
        <f t="shared" si="4"/>
        <v>11825.9</v>
      </c>
      <c r="J58" s="20">
        <f t="shared" si="5"/>
        <v>24500</v>
      </c>
      <c r="K58" s="19">
        <f t="shared" si="2"/>
        <v>1225</v>
      </c>
      <c r="L58" s="8">
        <f t="shared" si="8"/>
        <v>1.0309267166283709</v>
      </c>
      <c r="M58" s="9">
        <f t="shared" si="9"/>
        <v>49570433.5</v>
      </c>
      <c r="N58" s="10">
        <f t="shared" si="6"/>
        <v>1533050.7499999993</v>
      </c>
      <c r="O58" s="11">
        <f t="shared" si="7"/>
        <v>1251.4699999999993</v>
      </c>
      <c r="P58" s="23">
        <f t="shared" si="3"/>
        <v>51103484.25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>
        <v>155</v>
      </c>
      <c r="D59" s="39">
        <f t="shared" si="0"/>
        <v>175.39750000000001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>
        <f t="shared" si="4"/>
        <v>7577.53</v>
      </c>
      <c r="J59" s="20">
        <f t="shared" si="5"/>
        <v>17500</v>
      </c>
      <c r="K59" s="19">
        <f t="shared" si="2"/>
        <v>262.5</v>
      </c>
      <c r="L59" s="8">
        <f t="shared" si="8"/>
        <v>1.0350489602189312</v>
      </c>
      <c r="M59" s="9">
        <f t="shared" si="9"/>
        <v>3069456.25</v>
      </c>
      <c r="N59" s="10">
        <f t="shared" si="6"/>
        <v>107581.24999999964</v>
      </c>
      <c r="O59" s="11">
        <f t="shared" si="7"/>
        <v>409.83333333333201</v>
      </c>
      <c r="P59" s="23">
        <f t="shared" si="3"/>
        <v>3177037.4999999995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>
        <v>175</v>
      </c>
      <c r="D60" s="39">
        <f t="shared" si="0"/>
        <v>196.28749999999999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>
        <f t="shared" si="4"/>
        <v>81945.03</v>
      </c>
      <c r="J60" s="20">
        <f t="shared" si="5"/>
        <v>189000</v>
      </c>
      <c r="K60" s="19">
        <f t="shared" si="2"/>
        <v>2835</v>
      </c>
      <c r="L60" s="8">
        <f t="shared" si="8"/>
        <v>0.77885754314462208</v>
      </c>
      <c r="M60" s="9">
        <f t="shared" si="9"/>
        <v>37098337.5</v>
      </c>
      <c r="N60" s="10">
        <f t="shared" si="6"/>
        <v>-8204017.5</v>
      </c>
      <c r="O60" s="11">
        <f t="shared" si="7"/>
        <v>-2893.8333333333335</v>
      </c>
      <c r="P60" s="23">
        <f t="shared" si="3"/>
        <v>28894320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>
        <v>152.9</v>
      </c>
      <c r="D61" s="39">
        <f t="shared" si="0"/>
        <v>173.20405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>
        <f t="shared" si="4"/>
        <v>3636.7260000000001</v>
      </c>
      <c r="J61" s="20">
        <f t="shared" si="5"/>
        <v>8400</v>
      </c>
      <c r="K61" s="19">
        <f t="shared" si="2"/>
        <v>126</v>
      </c>
      <c r="L61" s="8">
        <f t="shared" si="8"/>
        <v>3.8445287509154662</v>
      </c>
      <c r="M61" s="9">
        <f t="shared" si="9"/>
        <v>1454914.02</v>
      </c>
      <c r="N61" s="10">
        <f t="shared" si="6"/>
        <v>4138544.7599999993</v>
      </c>
      <c r="O61" s="11">
        <f t="shared" si="7"/>
        <v>32845.593333333331</v>
      </c>
      <c r="P61" s="23">
        <f t="shared" si="3"/>
        <v>5593458.7799999993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>
        <v>101</v>
      </c>
      <c r="D62" s="39">
        <f t="shared" si="0"/>
        <v>118.9945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>
        <f t="shared" si="4"/>
        <v>48323.23</v>
      </c>
      <c r="J62" s="20">
        <f t="shared" si="5"/>
        <v>112000</v>
      </c>
      <c r="K62" s="19">
        <f t="shared" si="2"/>
        <v>1680</v>
      </c>
      <c r="L62" s="8">
        <f t="shared" si="8"/>
        <v>6.0223371668438457</v>
      </c>
      <c r="M62" s="9">
        <f t="shared" si="9"/>
        <v>13327384</v>
      </c>
      <c r="N62" s="10">
        <f t="shared" si="6"/>
        <v>66934616</v>
      </c>
      <c r="O62" s="11">
        <f t="shared" si="7"/>
        <v>39842.033333333333</v>
      </c>
      <c r="P62" s="23">
        <f t="shared" si="3"/>
        <v>80262000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>
        <v>123</v>
      </c>
      <c r="D63" s="39">
        <f t="shared" si="0"/>
        <v>141.9735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>
        <f t="shared" si="4"/>
        <v>39319.83</v>
      </c>
      <c r="J63" s="20">
        <f t="shared" si="5"/>
        <v>91000</v>
      </c>
      <c r="K63" s="19">
        <f t="shared" si="2"/>
        <v>1365</v>
      </c>
      <c r="L63" s="8">
        <f t="shared" si="8"/>
        <v>1.2114232585658591</v>
      </c>
      <c r="M63" s="9">
        <f t="shared" si="9"/>
        <v>12919588.5</v>
      </c>
      <c r="N63" s="10">
        <f t="shared" si="6"/>
        <v>2731501.5000000009</v>
      </c>
      <c r="O63" s="11">
        <f t="shared" si="7"/>
        <v>2001.1000000000006</v>
      </c>
      <c r="P63" s="23">
        <f t="shared" si="3"/>
        <v>15651090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>
        <v>117.9</v>
      </c>
      <c r="D64" s="39">
        <f t="shared" si="0"/>
        <v>136.64654999999999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>
        <f t="shared" si="4"/>
        <v>11489.634</v>
      </c>
      <c r="J64" s="20">
        <f t="shared" si="5"/>
        <v>26600</v>
      </c>
      <c r="K64" s="19">
        <f t="shared" si="2"/>
        <v>399</v>
      </c>
      <c r="L64" s="8">
        <f t="shared" si="8"/>
        <v>2.5732373045642212</v>
      </c>
      <c r="M64" s="9">
        <f t="shared" si="9"/>
        <v>3634798.23</v>
      </c>
      <c r="N64" s="10">
        <f t="shared" si="6"/>
        <v>5718400.1700000009</v>
      </c>
      <c r="O64" s="11">
        <f t="shared" si="7"/>
        <v>14331.830000000004</v>
      </c>
      <c r="P64" s="23">
        <f t="shared" si="3"/>
        <v>9353198.4000000004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>
        <v>1300</v>
      </c>
      <c r="D65" s="39">
        <f t="shared" si="0"/>
        <v>1371.35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>
        <f t="shared" si="4"/>
        <v>1630.03</v>
      </c>
      <c r="J65" s="20">
        <f t="shared" si="5"/>
        <v>3500</v>
      </c>
      <c r="K65" s="19">
        <f t="shared" si="2"/>
        <v>52.5</v>
      </c>
      <c r="L65" s="8">
        <f t="shared" si="8"/>
        <v>0.9831264812046524</v>
      </c>
      <c r="M65" s="9">
        <f t="shared" si="9"/>
        <v>4799725</v>
      </c>
      <c r="N65" s="10">
        <f t="shared" si="6"/>
        <v>-80988.25</v>
      </c>
      <c r="O65" s="11">
        <f t="shared" si="7"/>
        <v>-1542.6333333333332</v>
      </c>
      <c r="P65" s="23">
        <f t="shared" si="3"/>
        <v>4718736.75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>
        <v>1510</v>
      </c>
      <c r="D66" s="39">
        <f t="shared" ref="D66:D129" si="11">(C66+(C66*TaxRate))+(G66*ShippingCost)</f>
        <v>1590.6949999999999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>
        <f t="shared" si="4"/>
        <v>3302.0299999999997</v>
      </c>
      <c r="J66" s="20">
        <f t="shared" si="5"/>
        <v>7000</v>
      </c>
      <c r="K66" s="19">
        <f t="shared" ref="K66:K129" si="13">(G66*H66)*7</f>
        <v>105</v>
      </c>
      <c r="L66" s="8">
        <f t="shared" si="8"/>
        <v>1.0475873753296516</v>
      </c>
      <c r="M66" s="9">
        <f t="shared" si="9"/>
        <v>11134865</v>
      </c>
      <c r="N66" s="10">
        <f t="shared" si="6"/>
        <v>529879.00000000081</v>
      </c>
      <c r="O66" s="11">
        <f t="shared" si="7"/>
        <v>5046.4666666666744</v>
      </c>
      <c r="P66" s="23">
        <f t="shared" ref="P66:P129" si="14">M66+N66</f>
        <v>11664744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>
        <v>1207</v>
      </c>
      <c r="D67" s="39">
        <f t="shared" si="11"/>
        <v>1274.2114999999999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>
        <f t="shared" ref="I67:I130" si="15">((C67/(5000/H67))+(G67*2)+(H67*3))</f>
        <v>2431.08</v>
      </c>
      <c r="J67" s="20">
        <f t="shared" ref="J67:J130" si="16">H67*7</f>
        <v>5250</v>
      </c>
      <c r="K67" s="19">
        <f t="shared" si="13"/>
        <v>78.75</v>
      </c>
      <c r="L67" s="8">
        <f t="shared" si="8"/>
        <v>1.0490758402353142</v>
      </c>
      <c r="M67" s="9">
        <f t="shared" si="9"/>
        <v>6689610.3749999991</v>
      </c>
      <c r="N67" s="10">
        <f t="shared" ref="N67:N130" si="17">(F67-D67)*J67</f>
        <v>328298.2500000007</v>
      </c>
      <c r="O67" s="11">
        <f t="shared" ref="O67:O130" si="18">(F67-D67)/G67</f>
        <v>4168.8666666666759</v>
      </c>
      <c r="P67" s="23">
        <f t="shared" si="14"/>
        <v>7017908.625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>
        <v>1442</v>
      </c>
      <c r="D68" s="39">
        <f t="shared" si="11"/>
        <v>1519.6690000000001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>
        <f t="shared" si="15"/>
        <v>11509.43</v>
      </c>
      <c r="J68" s="20">
        <f t="shared" si="16"/>
        <v>24500</v>
      </c>
      <c r="K68" s="19">
        <f t="shared" si="13"/>
        <v>367.5</v>
      </c>
      <c r="L68" s="8">
        <f t="shared" ref="L68:L131" si="19">F68/D68</f>
        <v>0.73627250407819067</v>
      </c>
      <c r="M68" s="9">
        <f t="shared" ref="M68:M131" si="20">D68*J68</f>
        <v>37231890.5</v>
      </c>
      <c r="N68" s="10">
        <f t="shared" si="17"/>
        <v>-9819073.2500000037</v>
      </c>
      <c r="O68" s="11">
        <f t="shared" si="18"/>
        <v>-26718.566666666677</v>
      </c>
      <c r="P68" s="23">
        <f t="shared" si="14"/>
        <v>27412817.249999996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>
        <v>479.5</v>
      </c>
      <c r="D69" s="39">
        <f t="shared" si="11"/>
        <v>527.83775000000003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>
        <f t="shared" si="15"/>
        <v>2167.19</v>
      </c>
      <c r="J69" s="20">
        <f t="shared" si="16"/>
        <v>4900</v>
      </c>
      <c r="K69" s="19">
        <f t="shared" si="13"/>
        <v>147</v>
      </c>
      <c r="L69" s="8">
        <f t="shared" si="19"/>
        <v>1.4208380321415055</v>
      </c>
      <c r="M69" s="9">
        <f t="shared" si="20"/>
        <v>2586404.9750000001</v>
      </c>
      <c r="N69" s="10">
        <f t="shared" si="17"/>
        <v>1088457.5799999998</v>
      </c>
      <c r="O69" s="11">
        <f t="shared" si="18"/>
        <v>7404.4733333333324</v>
      </c>
      <c r="P69" s="23">
        <f t="shared" si="14"/>
        <v>3674862.5549999997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>
        <v>749.4</v>
      </c>
      <c r="D70" s="39">
        <f t="shared" si="11"/>
        <v>809.74829999999997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>
        <f t="shared" si="15"/>
        <v>50398.14</v>
      </c>
      <c r="J70" s="20">
        <f t="shared" si="16"/>
        <v>112000</v>
      </c>
      <c r="K70" s="19">
        <f t="shared" si="13"/>
        <v>3360</v>
      </c>
      <c r="L70" s="8">
        <f t="shared" si="19"/>
        <v>1.1060105343845736</v>
      </c>
      <c r="M70" s="9">
        <f t="shared" si="20"/>
        <v>90691809.599999994</v>
      </c>
      <c r="N70" s="10">
        <f t="shared" si="17"/>
        <v>9614287.200000003</v>
      </c>
      <c r="O70" s="11">
        <f t="shared" si="18"/>
        <v>2861.3950000000009</v>
      </c>
      <c r="P70" s="23">
        <f t="shared" si="14"/>
        <v>100306096.8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>
        <v>481</v>
      </c>
      <c r="D71" s="39">
        <f t="shared" si="11"/>
        <v>529.40449999999998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>
        <f t="shared" si="15"/>
        <v>2167.4</v>
      </c>
      <c r="J71" s="20">
        <f t="shared" si="16"/>
        <v>4900</v>
      </c>
      <c r="K71" s="19">
        <f t="shared" si="13"/>
        <v>147</v>
      </c>
      <c r="L71" s="8">
        <f t="shared" si="19"/>
        <v>1.1107096747383145</v>
      </c>
      <c r="M71" s="9">
        <f t="shared" si="20"/>
        <v>2594082.0499999998</v>
      </c>
      <c r="N71" s="10">
        <f t="shared" si="17"/>
        <v>287189.97999999981</v>
      </c>
      <c r="O71" s="11">
        <f t="shared" si="18"/>
        <v>1953.6733333333323</v>
      </c>
      <c r="P71" s="23">
        <f t="shared" si="14"/>
        <v>2881272.03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>
        <v>1847</v>
      </c>
      <c r="D72" s="39">
        <f t="shared" si="11"/>
        <v>1956.1914999999999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>
        <f t="shared" si="15"/>
        <v>5054.16</v>
      </c>
      <c r="J72" s="20">
        <f t="shared" si="16"/>
        <v>10500</v>
      </c>
      <c r="K72" s="19">
        <f t="shared" si="13"/>
        <v>315</v>
      </c>
      <c r="L72" s="8">
        <f t="shared" si="19"/>
        <v>0.28701269788770684</v>
      </c>
      <c r="M72" s="9">
        <f t="shared" si="20"/>
        <v>20540010.75</v>
      </c>
      <c r="N72" s="10">
        <f t="shared" si="17"/>
        <v>-14644766.849999998</v>
      </c>
      <c r="O72" s="11">
        <f t="shared" si="18"/>
        <v>-46491.323333333334</v>
      </c>
      <c r="P72" s="23">
        <f t="shared" si="14"/>
        <v>5895243.9000000022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>
        <v>1501</v>
      </c>
      <c r="D73" s="39">
        <f t="shared" si="11"/>
        <v>1594.7945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>
        <f t="shared" si="15"/>
        <v>9900.66</v>
      </c>
      <c r="J73" s="20">
        <f t="shared" si="16"/>
        <v>21000</v>
      </c>
      <c r="K73" s="19">
        <f t="shared" si="13"/>
        <v>630</v>
      </c>
      <c r="L73" s="8">
        <f t="shared" si="19"/>
        <v>0.93285592595158817</v>
      </c>
      <c r="M73" s="9">
        <f t="shared" si="20"/>
        <v>33490684.5</v>
      </c>
      <c r="N73" s="10">
        <f t="shared" si="17"/>
        <v>-2248700.9999999981</v>
      </c>
      <c r="O73" s="11">
        <f t="shared" si="18"/>
        <v>-3569.3666666666636</v>
      </c>
      <c r="P73" s="23">
        <f t="shared" si="14"/>
        <v>31241983.5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>
        <v>1774</v>
      </c>
      <c r="D74" s="39">
        <f t="shared" si="11"/>
        <v>1879.943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>
        <f t="shared" si="15"/>
        <v>20128.86</v>
      </c>
      <c r="J74" s="20">
        <f t="shared" si="16"/>
        <v>42000</v>
      </c>
      <c r="K74" s="19">
        <f t="shared" si="13"/>
        <v>1260</v>
      </c>
      <c r="L74" s="8">
        <f t="shared" si="19"/>
        <v>0.95552897082517929</v>
      </c>
      <c r="M74" s="9">
        <f t="shared" si="20"/>
        <v>78957606</v>
      </c>
      <c r="N74" s="10">
        <f t="shared" si="17"/>
        <v>-3511326.0000000028</v>
      </c>
      <c r="O74" s="11">
        <f t="shared" si="18"/>
        <v>-2786.7666666666692</v>
      </c>
      <c r="P74" s="23">
        <f t="shared" si="14"/>
        <v>75446280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>
        <v>1533</v>
      </c>
      <c r="D75" s="39">
        <f t="shared" si="11"/>
        <v>1628.2184999999999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>
        <f t="shared" si="15"/>
        <v>8266.56</v>
      </c>
      <c r="J75" s="20">
        <f t="shared" si="16"/>
        <v>17500</v>
      </c>
      <c r="K75" s="19">
        <f t="shared" si="13"/>
        <v>525</v>
      </c>
      <c r="L75" s="8">
        <f t="shared" si="19"/>
        <v>0.82744115731396006</v>
      </c>
      <c r="M75" s="9">
        <f t="shared" si="20"/>
        <v>28493823.75</v>
      </c>
      <c r="N75" s="10">
        <f t="shared" si="17"/>
        <v>-4916861.2499999972</v>
      </c>
      <c r="O75" s="11">
        <f t="shared" si="18"/>
        <v>-9365.4499999999953</v>
      </c>
      <c r="P75" s="23">
        <f t="shared" si="14"/>
        <v>23576962.500000004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>
        <v>1200</v>
      </c>
      <c r="D76" s="39">
        <f t="shared" si="11"/>
        <v>1280.4000000000001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>
        <f t="shared" si="15"/>
        <v>16200.06</v>
      </c>
      <c r="J76" s="20">
        <f t="shared" si="16"/>
        <v>35000</v>
      </c>
      <c r="K76" s="19">
        <f t="shared" si="13"/>
        <v>1050</v>
      </c>
      <c r="L76" s="8">
        <f t="shared" si="19"/>
        <v>0.96266401124648537</v>
      </c>
      <c r="M76" s="9">
        <f t="shared" si="20"/>
        <v>44814000</v>
      </c>
      <c r="N76" s="10">
        <f t="shared" si="17"/>
        <v>-1673175.0000000023</v>
      </c>
      <c r="O76" s="11">
        <f t="shared" si="18"/>
        <v>-1593.5000000000023</v>
      </c>
      <c r="P76" s="23">
        <f t="shared" si="14"/>
        <v>43140825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>
        <v>262.5</v>
      </c>
      <c r="D77" s="39">
        <f t="shared" si="11"/>
        <v>301.18124999999998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>
        <f t="shared" si="15"/>
        <v>30525.06</v>
      </c>
      <c r="J77" s="20">
        <f t="shared" si="16"/>
        <v>70000</v>
      </c>
      <c r="K77" s="19">
        <f t="shared" si="13"/>
        <v>2100</v>
      </c>
      <c r="L77" s="8">
        <f t="shared" si="19"/>
        <v>1.1960356097864659</v>
      </c>
      <c r="M77" s="9">
        <f t="shared" si="20"/>
        <v>21082687.5</v>
      </c>
      <c r="N77" s="10">
        <f t="shared" si="17"/>
        <v>4132957.5000000019</v>
      </c>
      <c r="O77" s="11">
        <f t="shared" si="18"/>
        <v>1968.075000000001</v>
      </c>
      <c r="P77" s="23">
        <f t="shared" si="14"/>
        <v>25215645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>
        <v>99.82</v>
      </c>
      <c r="D78" s="39">
        <f t="shared" si="11"/>
        <v>117.76199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>
        <f t="shared" si="15"/>
        <v>21139.777999999998</v>
      </c>
      <c r="J78" s="20">
        <f t="shared" si="16"/>
        <v>49000</v>
      </c>
      <c r="K78" s="19">
        <f t="shared" si="13"/>
        <v>735</v>
      </c>
      <c r="L78" s="8">
        <f t="shared" si="19"/>
        <v>1.4604882271435802</v>
      </c>
      <c r="M78" s="9">
        <f t="shared" si="20"/>
        <v>5770337.5099999998</v>
      </c>
      <c r="N78" s="10">
        <f t="shared" si="17"/>
        <v>2657172.4900000007</v>
      </c>
      <c r="O78" s="11">
        <f t="shared" si="18"/>
        <v>3615.2006666666675</v>
      </c>
      <c r="P78" s="23">
        <f t="shared" si="14"/>
        <v>8427510</v>
      </c>
      <c r="Q78">
        <f>VLOOKUP(B78,Buylist!B:B,1,FALSE)</f>
        <v>24499</v>
      </c>
      <c r="R78">
        <f>VLOOKUP(B78,Buylist!B:M,12,FALSE)</f>
        <v>0</v>
      </c>
    </row>
    <row r="79" spans="1:18">
      <c r="A79" s="28" t="s">
        <v>1371</v>
      </c>
      <c r="B79" s="73">
        <f>VLOOKUP(A79,TypeIDs!B:C,2,FALSE)</f>
        <v>2613</v>
      </c>
      <c r="C79" s="39">
        <v>94.99</v>
      </c>
      <c r="D79" s="39">
        <f t="shared" si="11"/>
        <v>112.71705499999999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>
        <f t="shared" si="15"/>
        <v>16604.519</v>
      </c>
      <c r="J79" s="20">
        <f t="shared" si="16"/>
        <v>38500</v>
      </c>
      <c r="K79" s="19">
        <f t="shared" si="13"/>
        <v>577.5</v>
      </c>
      <c r="L79" s="8">
        <f t="shared" si="19"/>
        <v>1.1011594474323341</v>
      </c>
      <c r="M79" s="9">
        <f t="shared" si="20"/>
        <v>4339606.6174999997</v>
      </c>
      <c r="N79" s="10">
        <f t="shared" si="17"/>
        <v>438992.20750000048</v>
      </c>
      <c r="O79" s="11">
        <f t="shared" si="18"/>
        <v>760.15966666666759</v>
      </c>
      <c r="P79" s="23">
        <f t="shared" si="14"/>
        <v>4778598.8250000002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>
        <v>82.94</v>
      </c>
      <c r="D80" s="39">
        <f t="shared" si="11"/>
        <v>100.13083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>
        <f t="shared" si="15"/>
        <v>5429.8883999999998</v>
      </c>
      <c r="J80" s="20">
        <f t="shared" si="16"/>
        <v>12600</v>
      </c>
      <c r="K80" s="19">
        <f t="shared" si="13"/>
        <v>189</v>
      </c>
      <c r="L80" s="8">
        <f t="shared" si="19"/>
        <v>1.216670729684354</v>
      </c>
      <c r="M80" s="9">
        <f t="shared" si="20"/>
        <v>1261648.4580000001</v>
      </c>
      <c r="N80" s="10">
        <f t="shared" si="17"/>
        <v>273362.29199999996</v>
      </c>
      <c r="O80" s="11">
        <f t="shared" si="18"/>
        <v>1446.3613333333333</v>
      </c>
      <c r="P80" s="23">
        <f t="shared" si="14"/>
        <v>1535010.75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>
        <v>87.29</v>
      </c>
      <c r="D81" s="39">
        <f t="shared" si="11"/>
        <v>104.67440500000001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>
        <f t="shared" si="15"/>
        <v>11466.3704</v>
      </c>
      <c r="J81" s="20">
        <f t="shared" si="16"/>
        <v>26600</v>
      </c>
      <c r="K81" s="19">
        <f t="shared" si="13"/>
        <v>399</v>
      </c>
      <c r="L81" s="8">
        <f t="shared" si="19"/>
        <v>0.67540336149988145</v>
      </c>
      <c r="M81" s="9">
        <f t="shared" si="20"/>
        <v>2784339.1730000004</v>
      </c>
      <c r="N81" s="10">
        <f t="shared" si="17"/>
        <v>-903787.13600000017</v>
      </c>
      <c r="O81" s="11">
        <f t="shared" si="18"/>
        <v>-2265.1306666666669</v>
      </c>
      <c r="P81" s="23">
        <f t="shared" si="14"/>
        <v>1880552.0370000002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>
        <v>913.6</v>
      </c>
      <c r="D82" s="39">
        <f t="shared" si="11"/>
        <v>967.75520000000006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>
        <f t="shared" si="15"/>
        <v>20687.71</v>
      </c>
      <c r="J82" s="20">
        <f t="shared" si="16"/>
        <v>45500</v>
      </c>
      <c r="K82" s="19">
        <f t="shared" si="13"/>
        <v>682.5</v>
      </c>
      <c r="L82" s="8">
        <f t="shared" si="19"/>
        <v>1.0682980571946294</v>
      </c>
      <c r="M82" s="9">
        <f t="shared" si="20"/>
        <v>44032861.600000001</v>
      </c>
      <c r="N82" s="10">
        <f t="shared" si="17"/>
        <v>3007358.9000000022</v>
      </c>
      <c r="O82" s="11">
        <f t="shared" si="18"/>
        <v>4406.3866666666709</v>
      </c>
      <c r="P82" s="23">
        <f t="shared" si="14"/>
        <v>47040220.5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>
        <v>894.7</v>
      </c>
      <c r="D83" s="39">
        <f t="shared" si="11"/>
        <v>948.01415000000009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>
        <f t="shared" si="15"/>
        <v>17484.2</v>
      </c>
      <c r="J83" s="20">
        <f t="shared" si="16"/>
        <v>38500</v>
      </c>
      <c r="K83" s="19">
        <f t="shared" si="13"/>
        <v>577.5</v>
      </c>
      <c r="L83" s="8">
        <f t="shared" si="19"/>
        <v>1.101630708782142</v>
      </c>
      <c r="M83" s="9">
        <f t="shared" si="20"/>
        <v>36498544.775000006</v>
      </c>
      <c r="N83" s="10">
        <f t="shared" si="17"/>
        <v>3709372.9749999959</v>
      </c>
      <c r="O83" s="11">
        <f t="shared" si="18"/>
        <v>6423.1566666666595</v>
      </c>
      <c r="P83" s="23">
        <f t="shared" si="14"/>
        <v>40207917.75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>
        <v>899.7</v>
      </c>
      <c r="D84" s="39">
        <f t="shared" si="11"/>
        <v>953.23665000000005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>
        <f t="shared" si="15"/>
        <v>5087.9340000000002</v>
      </c>
      <c r="J84" s="20">
        <f t="shared" si="16"/>
        <v>11200</v>
      </c>
      <c r="K84" s="19">
        <f t="shared" si="13"/>
        <v>168</v>
      </c>
      <c r="L84" s="8">
        <f t="shared" si="19"/>
        <v>1.0444741082919964</v>
      </c>
      <c r="M84" s="9">
        <f t="shared" si="20"/>
        <v>10676250.48</v>
      </c>
      <c r="N84" s="10">
        <f t="shared" si="17"/>
        <v>474816.7199999991</v>
      </c>
      <c r="O84" s="11">
        <f t="shared" si="18"/>
        <v>2826.2899999999945</v>
      </c>
      <c r="P84" s="23">
        <f t="shared" si="14"/>
        <v>11151067.199999999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>
        <v>909.8</v>
      </c>
      <c r="D85" s="39">
        <f t="shared" si="11"/>
        <v>963.78609999999992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>
        <f t="shared" si="15"/>
        <v>14955.242</v>
      </c>
      <c r="J85" s="20">
        <f t="shared" si="16"/>
        <v>32900</v>
      </c>
      <c r="K85" s="19">
        <f t="shared" si="13"/>
        <v>493.5</v>
      </c>
      <c r="L85" s="8">
        <f t="shared" si="19"/>
        <v>1.0181704218394518</v>
      </c>
      <c r="M85" s="9">
        <f t="shared" si="20"/>
        <v>31708562.689999998</v>
      </c>
      <c r="N85" s="10">
        <f t="shared" si="17"/>
        <v>576157.96000000229</v>
      </c>
      <c r="O85" s="11">
        <f t="shared" si="18"/>
        <v>1167.4933333333381</v>
      </c>
      <c r="P85" s="23">
        <f t="shared" si="14"/>
        <v>32284720.649999999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>
        <v>88.98</v>
      </c>
      <c r="D86" s="39">
        <f t="shared" si="11"/>
        <v>97.439610000000002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>
        <f t="shared" si="15"/>
        <v>2112.4672</v>
      </c>
      <c r="J86" s="20">
        <f t="shared" si="16"/>
        <v>4900</v>
      </c>
      <c r="K86" s="19">
        <f t="shared" si="13"/>
        <v>24.5</v>
      </c>
      <c r="L86" s="8">
        <f t="shared" si="19"/>
        <v>27.417782152453196</v>
      </c>
      <c r="M86" s="9">
        <f t="shared" si="20"/>
        <v>477454.08900000004</v>
      </c>
      <c r="N86" s="10">
        <f t="shared" si="17"/>
        <v>12613278.111</v>
      </c>
      <c r="O86" s="11">
        <f t="shared" si="18"/>
        <v>514827.67800000001</v>
      </c>
      <c r="P86" s="23">
        <f t="shared" si="14"/>
        <v>13090732.199999999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>
        <v>64.75</v>
      </c>
      <c r="D87" s="39">
        <f t="shared" si="11"/>
        <v>72.131375000000006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>
        <f t="shared" si="15"/>
        <v>2410.37</v>
      </c>
      <c r="J87" s="20">
        <f t="shared" si="16"/>
        <v>5600</v>
      </c>
      <c r="K87" s="19">
        <f t="shared" si="13"/>
        <v>28</v>
      </c>
      <c r="L87" s="8">
        <f t="shared" si="19"/>
        <v>1.4584575713411811</v>
      </c>
      <c r="M87" s="9">
        <f t="shared" si="20"/>
        <v>403935.7</v>
      </c>
      <c r="N87" s="10">
        <f t="shared" si="17"/>
        <v>185187.37999999992</v>
      </c>
      <c r="O87" s="11">
        <f t="shared" si="18"/>
        <v>6613.8349999999973</v>
      </c>
      <c r="P87" s="23">
        <f t="shared" si="14"/>
        <v>589123.07999999996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>
        <v>82.96</v>
      </c>
      <c r="D88" s="39">
        <f t="shared" si="11"/>
        <v>91.151719999999997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>
        <f t="shared" si="15"/>
        <v>3318.2611999999999</v>
      </c>
      <c r="J88" s="20">
        <f t="shared" si="16"/>
        <v>7700</v>
      </c>
      <c r="K88" s="19">
        <f t="shared" si="13"/>
        <v>38.5</v>
      </c>
      <c r="L88" s="8">
        <f t="shared" si="19"/>
        <v>1.25161324437981</v>
      </c>
      <c r="M88" s="9">
        <f t="shared" si="20"/>
        <v>701868.24399999995</v>
      </c>
      <c r="N88" s="10">
        <f t="shared" si="17"/>
        <v>176599.34600000008</v>
      </c>
      <c r="O88" s="11">
        <f t="shared" si="18"/>
        <v>4586.9960000000019</v>
      </c>
      <c r="P88" s="23">
        <f t="shared" si="14"/>
        <v>878467.59000000008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>
        <v>824.2</v>
      </c>
      <c r="D89" s="39">
        <f t="shared" si="11"/>
        <v>865.37690000000009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>
        <f t="shared" si="15"/>
        <v>3164.85</v>
      </c>
      <c r="J89" s="20">
        <f t="shared" si="16"/>
        <v>7000</v>
      </c>
      <c r="K89" s="19">
        <f t="shared" si="13"/>
        <v>35</v>
      </c>
      <c r="L89" s="8">
        <f t="shared" si="19"/>
        <v>0.85902339200410816</v>
      </c>
      <c r="M89" s="9">
        <f t="shared" si="20"/>
        <v>6057638.3000000007</v>
      </c>
      <c r="N89" s="10">
        <f t="shared" si="17"/>
        <v>-853985.30000000051</v>
      </c>
      <c r="O89" s="11">
        <f t="shared" si="18"/>
        <v>-24399.580000000013</v>
      </c>
      <c r="P89" s="23">
        <f t="shared" si="14"/>
        <v>5203653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>
        <v>686</v>
      </c>
      <c r="D90" s="39">
        <f t="shared" si="11"/>
        <v>721.02700000000004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>
        <f t="shared" si="15"/>
        <v>3137.21</v>
      </c>
      <c r="J90" s="20">
        <f t="shared" si="16"/>
        <v>7000</v>
      </c>
      <c r="K90" s="19">
        <f t="shared" si="13"/>
        <v>35</v>
      </c>
      <c r="L90" s="8">
        <f t="shared" si="19"/>
        <v>0.92750264553199813</v>
      </c>
      <c r="M90" s="9">
        <f t="shared" si="20"/>
        <v>5047189</v>
      </c>
      <c r="N90" s="10">
        <f t="shared" si="17"/>
        <v>-365907.85000000015</v>
      </c>
      <c r="O90" s="11">
        <f t="shared" si="18"/>
        <v>-10454.510000000004</v>
      </c>
      <c r="P90" s="23">
        <f t="shared" si="14"/>
        <v>4681281.1499999994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>
        <v>1706</v>
      </c>
      <c r="D91" s="39">
        <f t="shared" si="11"/>
        <v>1826.9169999999999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>
        <f t="shared" si="15"/>
        <v>40094.5</v>
      </c>
      <c r="J91" s="20">
        <f t="shared" si="16"/>
        <v>84000</v>
      </c>
      <c r="K91" s="19">
        <f t="shared" si="13"/>
        <v>4200</v>
      </c>
      <c r="L91" s="8">
        <f t="shared" si="19"/>
        <v>1.3572168303212462</v>
      </c>
      <c r="M91" s="9">
        <f t="shared" si="20"/>
        <v>153461028</v>
      </c>
      <c r="N91" s="10">
        <f t="shared" si="17"/>
        <v>54818862.000000007</v>
      </c>
      <c r="O91" s="11">
        <f t="shared" si="18"/>
        <v>13052.110000000002</v>
      </c>
      <c r="P91" s="23">
        <f t="shared" si="14"/>
        <v>208279890</v>
      </c>
      <c r="Q91">
        <f>VLOOKUP(B91,Buylist!B:B,1,FALSE)</f>
        <v>24523</v>
      </c>
      <c r="R91">
        <f>VLOOKUP(B91,Buylist!B:M,12,FALSE)</f>
        <v>0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1650</v>
      </c>
      <c r="D92" s="79">
        <f t="shared" si="11"/>
        <v>1768.425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2997.1</v>
      </c>
      <c r="J92" s="20">
        <f t="shared" si="16"/>
        <v>6300</v>
      </c>
      <c r="K92" s="19">
        <f t="shared" si="13"/>
        <v>315</v>
      </c>
      <c r="L92" s="8">
        <f t="shared" si="19"/>
        <v>1.6393044658382461</v>
      </c>
      <c r="M92" s="9">
        <f t="shared" si="20"/>
        <v>11141077.5</v>
      </c>
      <c r="N92" s="10">
        <f t="shared" si="17"/>
        <v>7122540.6000000006</v>
      </c>
      <c r="O92" s="11">
        <f t="shared" si="18"/>
        <v>22611.24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1637</v>
      </c>
      <c r="D93" s="79">
        <f t="shared" si="11"/>
        <v>1754.8465000000001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6654.9</v>
      </c>
      <c r="J93" s="20">
        <f t="shared" si="16"/>
        <v>14000</v>
      </c>
      <c r="K93" s="19">
        <f t="shared" si="13"/>
        <v>700</v>
      </c>
      <c r="L93" s="8">
        <f t="shared" si="19"/>
        <v>1.2523317566522201</v>
      </c>
      <c r="M93" s="9">
        <f t="shared" si="20"/>
        <v>24567851</v>
      </c>
      <c r="N93" s="10">
        <f t="shared" si="17"/>
        <v>6199249</v>
      </c>
      <c r="O93" s="11">
        <f t="shared" si="18"/>
        <v>8856.07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2528</v>
      </c>
      <c r="D94" s="79">
        <f t="shared" si="11"/>
        <v>2685.4960000000001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4907.9399999999996</v>
      </c>
      <c r="J94" s="20">
        <f t="shared" si="16"/>
        <v>9800</v>
      </c>
      <c r="K94" s="19">
        <f t="shared" si="13"/>
        <v>490</v>
      </c>
      <c r="L94" s="8">
        <f t="shared" si="19"/>
        <v>1.0919507979159158</v>
      </c>
      <c r="M94" s="9">
        <f t="shared" si="20"/>
        <v>26317860.800000001</v>
      </c>
      <c r="N94" s="10">
        <f t="shared" si="17"/>
        <v>2419948.3000000007</v>
      </c>
      <c r="O94" s="11">
        <f t="shared" si="18"/>
        <v>4938.6700000000019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2849</v>
      </c>
      <c r="D95" s="79">
        <f t="shared" si="11"/>
        <v>3020.7804999999998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4997.82</v>
      </c>
      <c r="J95" s="20">
        <f t="shared" si="16"/>
        <v>9800</v>
      </c>
      <c r="K95" s="19">
        <f t="shared" si="13"/>
        <v>490</v>
      </c>
      <c r="L95" s="8">
        <f t="shared" si="19"/>
        <v>0.96157930044900641</v>
      </c>
      <c r="M95" s="9">
        <f t="shared" si="20"/>
        <v>29603648.899999999</v>
      </c>
      <c r="N95" s="10">
        <f t="shared" si="17"/>
        <v>-1137392.9000000004</v>
      </c>
      <c r="O95" s="11">
        <f t="shared" si="18"/>
        <v>-2321.2100000000009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2392</v>
      </c>
      <c r="D96" s="79">
        <f t="shared" si="11"/>
        <v>2543.444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3478.5</v>
      </c>
      <c r="J96" s="20">
        <f t="shared" si="16"/>
        <v>7000</v>
      </c>
      <c r="K96" s="19">
        <f t="shared" si="13"/>
        <v>350</v>
      </c>
      <c r="L96" s="8">
        <f t="shared" si="19"/>
        <v>0.95195215621024099</v>
      </c>
      <c r="M96" s="9">
        <f t="shared" si="20"/>
        <v>17804108</v>
      </c>
      <c r="N96" s="10">
        <f t="shared" si="17"/>
        <v>-855448.99999999919</v>
      </c>
      <c r="O96" s="11">
        <f t="shared" si="18"/>
        <v>-2444.1399999999976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63000</v>
      </c>
      <c r="D97" s="79">
        <f t="shared" si="11"/>
        <v>68503.5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162</v>
      </c>
      <c r="J97" s="20">
        <f t="shared" si="16"/>
        <v>70</v>
      </c>
      <c r="K97" s="19">
        <f t="shared" si="13"/>
        <v>210</v>
      </c>
      <c r="L97" s="8">
        <f t="shared" si="19"/>
        <v>2.2177625960717338</v>
      </c>
      <c r="M97" s="9">
        <f t="shared" si="20"/>
        <v>4795245</v>
      </c>
      <c r="N97" s="10">
        <f t="shared" si="17"/>
        <v>5839470</v>
      </c>
      <c r="O97" s="11">
        <f t="shared" si="18"/>
        <v>27807</v>
      </c>
      <c r="P97" s="23">
        <f t="shared" si="14"/>
        <v>10634715</v>
      </c>
      <c r="Q97">
        <f>VLOOKUP(B97,Buylist!B:B,1,FALSE)</f>
        <v>56748</v>
      </c>
      <c r="R97" t="str">
        <f>VLOOKUP(B97,Buylist!B:M,12,FALSE)</f>
        <v>x</v>
      </c>
    </row>
    <row r="98" spans="1:18">
      <c r="A98" s="13" t="s">
        <v>11055</v>
      </c>
      <c r="B98" s="73">
        <f>VLOOKUP(A98,TypeIDs!B:C,2,FALSE)</f>
        <v>22778</v>
      </c>
      <c r="C98" s="39">
        <v>73980</v>
      </c>
      <c r="D98" s="79">
        <f t="shared" si="11"/>
        <v>81772.11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935.39199999999994</v>
      </c>
      <c r="J98" s="20">
        <f t="shared" si="16"/>
        <v>364</v>
      </c>
      <c r="K98" s="19">
        <f t="shared" si="13"/>
        <v>1820</v>
      </c>
      <c r="L98" s="8">
        <f t="shared" si="19"/>
        <v>0.75951935201378562</v>
      </c>
      <c r="M98" s="9">
        <f t="shared" si="20"/>
        <v>29765048.039999999</v>
      </c>
      <c r="N98" s="10">
        <f t="shared" si="17"/>
        <v>-7157918.04</v>
      </c>
      <c r="O98" s="11">
        <f t="shared" si="18"/>
        <v>-3932.922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30930</v>
      </c>
      <c r="D99" s="79">
        <f t="shared" si="11"/>
        <v>33206.384999999995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148.976</v>
      </c>
      <c r="J99" s="20">
        <f t="shared" si="16"/>
        <v>112</v>
      </c>
      <c r="K99" s="19">
        <f t="shared" si="13"/>
        <v>112</v>
      </c>
      <c r="L99" s="8">
        <f t="shared" si="19"/>
        <v>2.0283206076180837</v>
      </c>
      <c r="M99" s="9">
        <f t="shared" si="20"/>
        <v>3719115.1199999992</v>
      </c>
      <c r="N99" s="10">
        <f t="shared" si="17"/>
        <v>3824442.7200000016</v>
      </c>
      <c r="O99" s="11">
        <f t="shared" si="18"/>
        <v>34146.810000000012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9393</v>
      </c>
      <c r="D100" s="79">
        <f t="shared" si="11"/>
        <v>9900.9884999999995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117.2864</v>
      </c>
      <c r="J100" s="20">
        <f t="shared" si="16"/>
        <v>168</v>
      </c>
      <c r="K100" s="19">
        <f t="shared" si="13"/>
        <v>16.800000000000004</v>
      </c>
      <c r="L100" s="8">
        <f t="shared" si="19"/>
        <v>4.004013841648236</v>
      </c>
      <c r="M100" s="9">
        <f t="shared" si="20"/>
        <v>1663366.068</v>
      </c>
      <c r="N100" s="10">
        <f t="shared" si="17"/>
        <v>4996774.6919999998</v>
      </c>
      <c r="O100" s="11">
        <f t="shared" si="18"/>
        <v>297427.065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417900</v>
      </c>
      <c r="D101" s="79">
        <f t="shared" si="11"/>
        <v>437396.55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2079.92</v>
      </c>
      <c r="J101" s="20">
        <f t="shared" si="16"/>
        <v>168</v>
      </c>
      <c r="K101" s="19">
        <f t="shared" si="13"/>
        <v>168</v>
      </c>
      <c r="L101" s="8">
        <f t="shared" si="19"/>
        <v>1.1709008678737864</v>
      </c>
      <c r="M101" s="9">
        <f t="shared" si="20"/>
        <v>73482620.399999991</v>
      </c>
      <c r="N101" s="10">
        <f t="shared" si="17"/>
        <v>12558243.600000001</v>
      </c>
      <c r="O101" s="11">
        <f t="shared" si="18"/>
        <v>74751.450000000012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407800</v>
      </c>
      <c r="D102" s="79">
        <f t="shared" si="11"/>
        <v>426037.1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4059.0799999999995</v>
      </c>
      <c r="J102" s="20">
        <f t="shared" si="16"/>
        <v>336</v>
      </c>
      <c r="K102" s="19">
        <f t="shared" si="13"/>
        <v>33.600000000000009</v>
      </c>
      <c r="L102" s="8">
        <f t="shared" si="19"/>
        <v>1.0538740640193074</v>
      </c>
      <c r="M102" s="9">
        <f t="shared" si="20"/>
        <v>143148465.59999999</v>
      </c>
      <c r="N102" s="10">
        <f t="shared" si="17"/>
        <v>7711989.6000000117</v>
      </c>
      <c r="O102" s="11">
        <f t="shared" si="18"/>
        <v>229523.50000000035</v>
      </c>
      <c r="P102" s="23">
        <f t="shared" si="14"/>
        <v>150860455.20000002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477.4</v>
      </c>
      <c r="D103" s="79">
        <f t="shared" si="11"/>
        <v>509.89429999999999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15477.424999999999</v>
      </c>
      <c r="J103" s="20">
        <f t="shared" si="16"/>
        <v>35000</v>
      </c>
      <c r="K103" s="19">
        <f t="shared" si="13"/>
        <v>437.5</v>
      </c>
      <c r="L103" s="8">
        <f t="shared" si="19"/>
        <v>1.3866991649053539</v>
      </c>
      <c r="M103" s="9">
        <f t="shared" si="20"/>
        <v>17846300.5</v>
      </c>
      <c r="N103" s="10">
        <f t="shared" si="17"/>
        <v>6901149.5000000019</v>
      </c>
      <c r="O103" s="11">
        <f t="shared" si="18"/>
        <v>15774.056000000004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397</v>
      </c>
      <c r="D104" s="79">
        <f t="shared" si="11"/>
        <v>425.91649999999998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13857.325000000001</v>
      </c>
      <c r="J104" s="20">
        <f t="shared" si="16"/>
        <v>31500</v>
      </c>
      <c r="K104" s="19">
        <f t="shared" si="13"/>
        <v>393.75</v>
      </c>
      <c r="L104" s="8">
        <f t="shared" si="19"/>
        <v>0.96084713787796439</v>
      </c>
      <c r="M104" s="9">
        <f t="shared" si="20"/>
        <v>13416369.75</v>
      </c>
      <c r="N104" s="10">
        <f t="shared" si="17"/>
        <v>-525289.27499999898</v>
      </c>
      <c r="O104" s="11">
        <f t="shared" si="18"/>
        <v>-1334.0679999999975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689.7</v>
      </c>
      <c r="D105" s="79">
        <f t="shared" si="11"/>
        <v>742.89165000000003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2196.6080000000002</v>
      </c>
      <c r="J105" s="20">
        <f t="shared" si="16"/>
        <v>4900</v>
      </c>
      <c r="K105" s="19">
        <f t="shared" si="13"/>
        <v>122.5</v>
      </c>
      <c r="L105" s="8">
        <f t="shared" si="19"/>
        <v>1.1571853715141367</v>
      </c>
      <c r="M105" s="9">
        <f t="shared" si="20"/>
        <v>3640169.085</v>
      </c>
      <c r="N105" s="10">
        <f t="shared" si="17"/>
        <v>572181.33000000007</v>
      </c>
      <c r="O105" s="11">
        <f t="shared" si="18"/>
        <v>4670.8680000000004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302.39999999999998</v>
      </c>
      <c r="D106" s="79">
        <f t="shared" si="11"/>
        <v>327.10679999999996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16832.665000000001</v>
      </c>
      <c r="J106" s="20">
        <f t="shared" si="16"/>
        <v>38500</v>
      </c>
      <c r="K106" s="19">
        <f t="shared" si="13"/>
        <v>481.25</v>
      </c>
      <c r="L106" s="8">
        <f t="shared" si="19"/>
        <v>1.8986918034109963</v>
      </c>
      <c r="M106" s="9">
        <f t="shared" si="20"/>
        <v>12593611.799999999</v>
      </c>
      <c r="N106" s="10">
        <f t="shared" si="17"/>
        <v>11317775.700000003</v>
      </c>
      <c r="O106" s="11">
        <f t="shared" si="18"/>
        <v>23517.456000000006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272.39999999999998</v>
      </c>
      <c r="D107" s="79">
        <f t="shared" si="11"/>
        <v>295.77179999999998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15272.424999999999</v>
      </c>
      <c r="J107" s="20">
        <f t="shared" si="16"/>
        <v>35000</v>
      </c>
      <c r="K107" s="19">
        <f t="shared" si="13"/>
        <v>437.5</v>
      </c>
      <c r="L107" s="8">
        <f t="shared" si="19"/>
        <v>1.0302163695119007</v>
      </c>
      <c r="M107" s="9">
        <f t="shared" si="20"/>
        <v>10352013</v>
      </c>
      <c r="N107" s="10">
        <f t="shared" si="17"/>
        <v>312800.24999999907</v>
      </c>
      <c r="O107" s="11">
        <f t="shared" si="18"/>
        <v>714.97199999999793</v>
      </c>
      <c r="P107" s="23">
        <f t="shared" si="14"/>
        <v>10664813.25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73.959999999999994</v>
      </c>
      <c r="D108" s="79">
        <f t="shared" si="11"/>
        <v>79.501219999999989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1507.4010000000001</v>
      </c>
      <c r="J108" s="20">
        <f t="shared" si="16"/>
        <v>3500</v>
      </c>
      <c r="K108" s="19">
        <f t="shared" si="13"/>
        <v>8.75</v>
      </c>
      <c r="L108" s="8">
        <f t="shared" si="19"/>
        <v>6.0093417434348817</v>
      </c>
      <c r="M108" s="9">
        <f t="shared" si="20"/>
        <v>278254.26999999996</v>
      </c>
      <c r="N108" s="10">
        <f t="shared" si="17"/>
        <v>1393870.73</v>
      </c>
      <c r="O108" s="11">
        <f t="shared" si="18"/>
        <v>159299.51199999999</v>
      </c>
      <c r="P108" s="23">
        <f t="shared" si="14"/>
        <v>1672125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82.86</v>
      </c>
      <c r="D109" s="79">
        <f t="shared" si="11"/>
        <v>88.797269999999997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3016.5770000000002</v>
      </c>
      <c r="J109" s="20">
        <f t="shared" si="16"/>
        <v>7000</v>
      </c>
      <c r="K109" s="19">
        <f t="shared" si="13"/>
        <v>17.5</v>
      </c>
      <c r="L109" s="8">
        <f t="shared" si="19"/>
        <v>4.8314492100939592</v>
      </c>
      <c r="M109" s="9">
        <f t="shared" si="20"/>
        <v>621580.89</v>
      </c>
      <c r="N109" s="10">
        <f t="shared" si="17"/>
        <v>2381555.61</v>
      </c>
      <c r="O109" s="11">
        <f t="shared" si="18"/>
        <v>136088.89199999999</v>
      </c>
      <c r="P109" s="23">
        <f t="shared" si="14"/>
        <v>3003136.5</v>
      </c>
      <c r="Q109">
        <f>VLOOKUP(B109,Buylist!B:B,1,FALSE)</f>
        <v>12608</v>
      </c>
      <c r="R109" t="str">
        <f>VLOOKUP(B109,Buylist!B:M,12,FALSE)</f>
        <v>x</v>
      </c>
    </row>
    <row r="110" spans="1:18">
      <c r="A110" s="29" t="s">
        <v>10476</v>
      </c>
      <c r="B110" s="73">
        <f>VLOOKUP(A110,TypeIDs!B:C,2,FALSE)</f>
        <v>21894</v>
      </c>
      <c r="C110" s="39">
        <v>1248</v>
      </c>
      <c r="D110" s="79">
        <f t="shared" si="11"/>
        <v>1326.0360000000001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10073.81</v>
      </c>
      <c r="J110" s="20">
        <f t="shared" si="16"/>
        <v>21700</v>
      </c>
      <c r="K110" s="19">
        <f t="shared" si="13"/>
        <v>542.5</v>
      </c>
      <c r="L110" s="8">
        <f t="shared" si="19"/>
        <v>1.0758090278091996</v>
      </c>
      <c r="M110" s="9">
        <f t="shared" si="20"/>
        <v>28774981.200000003</v>
      </c>
      <c r="N110" s="10">
        <f t="shared" si="17"/>
        <v>2181403.3499999992</v>
      </c>
      <c r="O110" s="11">
        <f t="shared" si="18"/>
        <v>4021.0199999999986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1220</v>
      </c>
      <c r="D111" s="79">
        <f t="shared" si="11"/>
        <v>1296.79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2433.0500000000002</v>
      </c>
      <c r="J111" s="20">
        <f t="shared" si="16"/>
        <v>5250</v>
      </c>
      <c r="K111" s="19">
        <f t="shared" si="13"/>
        <v>131.25</v>
      </c>
      <c r="L111" s="8">
        <f t="shared" si="19"/>
        <v>1.105229065615867</v>
      </c>
      <c r="M111" s="9">
        <f t="shared" si="20"/>
        <v>6808147.5</v>
      </c>
      <c r="N111" s="10">
        <f t="shared" si="17"/>
        <v>716415.00000000023</v>
      </c>
      <c r="O111" s="11">
        <f t="shared" si="18"/>
        <v>5458.4000000000015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412.2</v>
      </c>
      <c r="D112" s="79">
        <f t="shared" si="11"/>
        <v>441.79289999999997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3082.4650000000001</v>
      </c>
      <c r="J112" s="20">
        <f t="shared" si="16"/>
        <v>7000</v>
      </c>
      <c r="K112" s="19">
        <f t="shared" si="13"/>
        <v>87.5</v>
      </c>
      <c r="L112" s="8">
        <f t="shared" si="19"/>
        <v>1.4879913190094274</v>
      </c>
      <c r="M112" s="9">
        <f t="shared" si="20"/>
        <v>3092550.3</v>
      </c>
      <c r="N112" s="10">
        <f t="shared" si="17"/>
        <v>1509137.7000000002</v>
      </c>
      <c r="O112" s="11">
        <f t="shared" si="18"/>
        <v>17247.288</v>
      </c>
      <c r="P112" s="23">
        <f t="shared" si="14"/>
        <v>4601688</v>
      </c>
      <c r="Q112">
        <f>VLOOKUP(B112,Buylist!B:B,1,FALSE)</f>
        <v>28326</v>
      </c>
      <c r="R112" t="str">
        <f>VLOOKUP(B112,Buylist!B:M,12,FALSE)</f>
        <v>x</v>
      </c>
    </row>
    <row r="113" spans="1:18">
      <c r="A113" s="29" t="s">
        <v>15375</v>
      </c>
      <c r="B113" s="73">
        <f>VLOOKUP(A113,TypeIDs!B:C,2,FALSE)</f>
        <v>28334</v>
      </c>
      <c r="C113" s="39">
        <v>692.1</v>
      </c>
      <c r="D113" s="79">
        <f t="shared" si="11"/>
        <v>734.14845000000003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18830.544999999998</v>
      </c>
      <c r="J113" s="20">
        <f t="shared" si="16"/>
        <v>42000</v>
      </c>
      <c r="K113" s="19">
        <f t="shared" si="13"/>
        <v>525</v>
      </c>
      <c r="L113" s="8">
        <f t="shared" si="19"/>
        <v>1.5995531966320982</v>
      </c>
      <c r="M113" s="9">
        <f t="shared" si="20"/>
        <v>30834234.900000002</v>
      </c>
      <c r="N113" s="10">
        <f t="shared" si="17"/>
        <v>18486764.100000001</v>
      </c>
      <c r="O113" s="11">
        <f t="shared" si="18"/>
        <v>35212.883999999998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1060</v>
      </c>
      <c r="D114" s="79">
        <f t="shared" si="11"/>
        <v>1118.42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54604.025000000001</v>
      </c>
      <c r="J114" s="20">
        <f t="shared" si="16"/>
        <v>119000</v>
      </c>
      <c r="K114" s="19">
        <f t="shared" si="13"/>
        <v>1487.5</v>
      </c>
      <c r="L114" s="8">
        <f t="shared" si="19"/>
        <v>0.78598379857298684</v>
      </c>
      <c r="M114" s="9">
        <f t="shared" si="20"/>
        <v>133091980.00000001</v>
      </c>
      <c r="N114" s="10">
        <f t="shared" si="17"/>
        <v>-28483840.000000015</v>
      </c>
      <c r="O114" s="11">
        <f t="shared" si="18"/>
        <v>-19148.80000000001</v>
      </c>
      <c r="P114" s="23">
        <f t="shared" si="14"/>
        <v>104608140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909.1</v>
      </c>
      <c r="D115" s="79">
        <f t="shared" si="11"/>
        <v>960.80494999999996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15909.125</v>
      </c>
      <c r="J115" s="20">
        <f t="shared" si="16"/>
        <v>35000</v>
      </c>
      <c r="K115" s="19">
        <f t="shared" si="13"/>
        <v>437.5</v>
      </c>
      <c r="L115" s="8">
        <f t="shared" si="19"/>
        <v>0.91501979668193856</v>
      </c>
      <c r="M115" s="9">
        <f t="shared" si="20"/>
        <v>33628173.25</v>
      </c>
      <c r="N115" s="10">
        <f t="shared" si="17"/>
        <v>-2857728.9999999967</v>
      </c>
      <c r="O115" s="11">
        <f t="shared" si="18"/>
        <v>-6531.951999999992</v>
      </c>
      <c r="P115" s="23">
        <f t="shared" si="14"/>
        <v>30770444.250000004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809</v>
      </c>
      <c r="D116" s="79">
        <f t="shared" si="11"/>
        <v>856.25049999999999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6323.625</v>
      </c>
      <c r="J116" s="20">
        <f t="shared" si="16"/>
        <v>14000</v>
      </c>
      <c r="K116" s="19">
        <f t="shared" si="13"/>
        <v>175</v>
      </c>
      <c r="L116" s="8">
        <f t="shared" si="19"/>
        <v>0.87041117056282002</v>
      </c>
      <c r="M116" s="9">
        <f t="shared" si="20"/>
        <v>11987507</v>
      </c>
      <c r="N116" s="10">
        <f t="shared" si="17"/>
        <v>-1553447.0000000002</v>
      </c>
      <c r="O116" s="11">
        <f t="shared" si="18"/>
        <v>-8876.840000000002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999</v>
      </c>
      <c r="D117" s="79">
        <f t="shared" si="11"/>
        <v>1054.7055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27198.325000000001</v>
      </c>
      <c r="J117" s="20">
        <f t="shared" si="16"/>
        <v>59500</v>
      </c>
      <c r="K117" s="19">
        <f t="shared" si="13"/>
        <v>743.75</v>
      </c>
      <c r="L117" s="8">
        <f t="shared" si="19"/>
        <v>0.76098967910947657</v>
      </c>
      <c r="M117" s="9">
        <f t="shared" si="20"/>
        <v>62754977.25</v>
      </c>
      <c r="N117" s="10">
        <f t="shared" si="17"/>
        <v>-14999087.250000002</v>
      </c>
      <c r="O117" s="11">
        <f t="shared" si="18"/>
        <v>-20166.84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669.5</v>
      </c>
      <c r="D118" s="79">
        <f t="shared" si="11"/>
        <v>710.54274999999996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12535.625</v>
      </c>
      <c r="J118" s="20">
        <f t="shared" si="16"/>
        <v>28000</v>
      </c>
      <c r="K118" s="19">
        <f t="shared" si="13"/>
        <v>350</v>
      </c>
      <c r="L118" s="8">
        <f t="shared" si="19"/>
        <v>1.5962143023765989</v>
      </c>
      <c r="M118" s="9">
        <f t="shared" si="20"/>
        <v>19895197</v>
      </c>
      <c r="N118" s="10">
        <f t="shared" si="17"/>
        <v>11861801</v>
      </c>
      <c r="O118" s="11">
        <f t="shared" si="18"/>
        <v>33890.86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714.9</v>
      </c>
      <c r="D119" s="79">
        <f t="shared" si="11"/>
        <v>757.96304999999995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12886.243</v>
      </c>
      <c r="J119" s="20">
        <f t="shared" si="16"/>
        <v>28700</v>
      </c>
      <c r="K119" s="19">
        <f t="shared" si="13"/>
        <v>358.75</v>
      </c>
      <c r="L119" s="8">
        <f t="shared" si="19"/>
        <v>1.0464369602185755</v>
      </c>
      <c r="M119" s="9">
        <f t="shared" si="20"/>
        <v>21753539.535</v>
      </c>
      <c r="N119" s="10">
        <f t="shared" si="17"/>
        <v>1010168.250000003</v>
      </c>
      <c r="O119" s="11">
        <f t="shared" si="18"/>
        <v>2815.8000000000084</v>
      </c>
      <c r="P119" s="23">
        <f t="shared" si="14"/>
        <v>22763707.785000004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79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549.70000000000005</v>
      </c>
      <c r="D121" s="79">
        <f t="shared" si="11"/>
        <v>576.41165000000001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21769.584999999999</v>
      </c>
      <c r="J121" s="20">
        <f t="shared" si="16"/>
        <v>49000</v>
      </c>
      <c r="K121" s="19">
        <f t="shared" si="13"/>
        <v>122.5</v>
      </c>
      <c r="L121" s="8">
        <f t="shared" si="19"/>
        <v>1.1056655430194722</v>
      </c>
      <c r="M121" s="9">
        <f t="shared" si="20"/>
        <v>28244170.850000001</v>
      </c>
      <c r="N121" s="10">
        <f t="shared" si="17"/>
        <v>2984435.649999998</v>
      </c>
      <c r="O121" s="11">
        <f t="shared" si="18"/>
        <v>24362.739999999983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700</v>
      </c>
      <c r="D122" s="79">
        <f t="shared" si="11"/>
        <v>733.4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5024.0050000000001</v>
      </c>
      <c r="J122" s="20">
        <f t="shared" si="16"/>
        <v>11200</v>
      </c>
      <c r="K122" s="19">
        <f t="shared" si="13"/>
        <v>28</v>
      </c>
      <c r="L122" s="8">
        <f t="shared" si="19"/>
        <v>0.7817016634851377</v>
      </c>
      <c r="M122" s="9">
        <f t="shared" si="20"/>
        <v>8214080</v>
      </c>
      <c r="N122" s="10">
        <f t="shared" si="17"/>
        <v>-1793120.0000000002</v>
      </c>
      <c r="O122" s="11">
        <f t="shared" si="18"/>
        <v>-64040.000000000007</v>
      </c>
      <c r="P122" s="23">
        <f t="shared" si="14"/>
        <v>6420960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1000</v>
      </c>
      <c r="D123" s="79">
        <f t="shared" si="11"/>
        <v>1046.75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4160.0050000000001</v>
      </c>
      <c r="J123" s="20">
        <f t="shared" si="16"/>
        <v>9100</v>
      </c>
      <c r="K123" s="19">
        <f t="shared" si="13"/>
        <v>22.75</v>
      </c>
      <c r="L123" s="8">
        <f t="shared" si="19"/>
        <v>0.73674139001671846</v>
      </c>
      <c r="M123" s="9">
        <f t="shared" si="20"/>
        <v>9525425</v>
      </c>
      <c r="N123" s="10">
        <f t="shared" si="17"/>
        <v>-2507650.1449999996</v>
      </c>
      <c r="O123" s="11">
        <f t="shared" si="18"/>
        <v>-110226.37999999998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500</v>
      </c>
      <c r="D124" s="79">
        <f t="shared" si="11"/>
        <v>533.5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24800.025000000001</v>
      </c>
      <c r="J124" s="20">
        <f t="shared" si="16"/>
        <v>56000</v>
      </c>
      <c r="K124" s="19">
        <f t="shared" si="13"/>
        <v>700</v>
      </c>
      <c r="L124" s="8">
        <f t="shared" si="19"/>
        <v>0.42984067478912841</v>
      </c>
      <c r="M124" s="9">
        <f t="shared" si="20"/>
        <v>29876000</v>
      </c>
      <c r="N124" s="10">
        <f t="shared" si="17"/>
        <v>-17034080</v>
      </c>
      <c r="O124" s="11">
        <f t="shared" si="18"/>
        <v>-24334.399999999998</v>
      </c>
      <c r="P124" s="23">
        <f t="shared" si="14"/>
        <v>12841920</v>
      </c>
      <c r="Q124">
        <f>VLOOKUP(B124,Buylist!B:B,1,FALSE)</f>
        <v>193</v>
      </c>
      <c r="R124" t="str">
        <f>VLOOKUP(B124,Buylist!B:M,12,FALSE)</f>
        <v>x</v>
      </c>
    </row>
    <row r="125" spans="1:18">
      <c r="A125" s="42" t="s">
        <v>25849</v>
      </c>
      <c r="B125" s="73">
        <f>VLOOKUP(A125,TypeIDs!B:C,2,FALSE)</f>
        <v>41155</v>
      </c>
      <c r="C125" s="39">
        <v>19800</v>
      </c>
      <c r="D125" s="79">
        <f t="shared" si="11"/>
        <v>21581.1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22.88</v>
      </c>
      <c r="J125" s="20">
        <f t="shared" si="16"/>
        <v>21</v>
      </c>
      <c r="K125" s="19">
        <f t="shared" si="13"/>
        <v>21</v>
      </c>
      <c r="L125" s="8">
        <f t="shared" si="19"/>
        <v>1.4942762417114976</v>
      </c>
      <c r="M125" s="9">
        <f t="shared" si="20"/>
        <v>453203.1</v>
      </c>
      <c r="N125" s="10">
        <f t="shared" si="17"/>
        <v>224007.52500000002</v>
      </c>
      <c r="O125" s="11">
        <f t="shared" si="18"/>
        <v>10667.025000000001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8786</v>
      </c>
      <c r="D126" s="79">
        <f t="shared" si="11"/>
        <v>10076.977000000001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21.0288</v>
      </c>
      <c r="J126" s="20">
        <f t="shared" si="16"/>
        <v>28</v>
      </c>
      <c r="K126" s="19">
        <f t="shared" si="13"/>
        <v>28</v>
      </c>
      <c r="L126" s="8">
        <f t="shared" si="19"/>
        <v>12.800713944271182</v>
      </c>
      <c r="M126" s="9">
        <f t="shared" si="20"/>
        <v>282155.35600000003</v>
      </c>
      <c r="N126" s="10">
        <f t="shared" si="17"/>
        <v>3329634.6439999999</v>
      </c>
      <c r="O126" s="11">
        <f t="shared" si="18"/>
        <v>118915.523</v>
      </c>
      <c r="P126" s="23">
        <f t="shared" si="14"/>
        <v>3611790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11430</v>
      </c>
      <c r="D127" s="79">
        <f t="shared" si="11"/>
        <v>12838.635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39.001999999999995</v>
      </c>
      <c r="J127" s="20">
        <f t="shared" si="16"/>
        <v>49</v>
      </c>
      <c r="K127" s="19">
        <f t="shared" si="13"/>
        <v>49</v>
      </c>
      <c r="L127" s="8">
        <f t="shared" si="19"/>
        <v>2.5266880007103558</v>
      </c>
      <c r="M127" s="9">
        <f t="shared" si="20"/>
        <v>629093.11499999999</v>
      </c>
      <c r="N127" s="10">
        <f t="shared" si="17"/>
        <v>960428.9099999998</v>
      </c>
      <c r="O127" s="11">
        <f t="shared" si="18"/>
        <v>19600.589999999997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18280</v>
      </c>
      <c r="D128" s="79">
        <f t="shared" si="11"/>
        <v>19993.46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15.312000000000001</v>
      </c>
      <c r="J128" s="20">
        <f t="shared" si="16"/>
        <v>14</v>
      </c>
      <c r="K128" s="19">
        <f t="shared" si="13"/>
        <v>14</v>
      </c>
      <c r="L128" s="8">
        <f t="shared" si="19"/>
        <v>0.90754401689352415</v>
      </c>
      <c r="M128" s="9">
        <f t="shared" si="20"/>
        <v>279908.44</v>
      </c>
      <c r="N128" s="10">
        <f t="shared" si="17"/>
        <v>-25879.209999999992</v>
      </c>
      <c r="O128" s="11">
        <f t="shared" si="18"/>
        <v>-1848.5149999999994</v>
      </c>
      <c r="P128" s="23">
        <f t="shared" si="14"/>
        <v>254029.23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11580</v>
      </c>
      <c r="D129" s="79">
        <f t="shared" si="11"/>
        <v>12995.31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129.584</v>
      </c>
      <c r="J129" s="20">
        <f t="shared" si="16"/>
        <v>168</v>
      </c>
      <c r="K129" s="19">
        <f t="shared" si="13"/>
        <v>168</v>
      </c>
      <c r="L129" s="8">
        <f t="shared" si="19"/>
        <v>0.7712932588757021</v>
      </c>
      <c r="M129" s="9">
        <f t="shared" si="20"/>
        <v>2183212.08</v>
      </c>
      <c r="N129" s="10">
        <f t="shared" si="17"/>
        <v>-499315.31999999995</v>
      </c>
      <c r="O129" s="11">
        <f t="shared" si="18"/>
        <v>-2972.1149999999998</v>
      </c>
      <c r="P129" s="23">
        <f t="shared" si="14"/>
        <v>1683896.7600000002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14960</v>
      </c>
      <c r="D130" s="79">
        <f t="shared" ref="D130:D193" si="21">(C130+(C130*TaxRate))+(G130*ShippingCost)</f>
        <v>16525.72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43.944000000000003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34.685596149517231</v>
      </c>
      <c r="M130" s="9">
        <f t="shared" si="20"/>
        <v>809760.28</v>
      </c>
      <c r="N130" s="10">
        <f t="shared" si="17"/>
        <v>27277257.77</v>
      </c>
      <c r="O130" s="11">
        <f t="shared" si="18"/>
        <v>556678.73</v>
      </c>
      <c r="P130" s="23">
        <f t="shared" ref="P130:P193" si="24">M130+N130</f>
        <v>28087018.050000001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8676</v>
      </c>
      <c r="D131" s="79">
        <f t="shared" si="21"/>
        <v>9962.0820000000003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49.352000000000004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0.85363180106327174</v>
      </c>
      <c r="M131" s="9">
        <f t="shared" si="20"/>
        <v>697345.74</v>
      </c>
      <c r="N131" s="10">
        <f t="shared" ref="N131:N194" si="27">(F131-D131)*J131</f>
        <v>-102069.23999999998</v>
      </c>
      <c r="O131" s="11">
        <f t="shared" ref="O131:O194" si="28">(F131-D131)/G131</f>
        <v>-1458.1319999999996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9401</v>
      </c>
      <c r="D132" s="79">
        <f t="shared" si="21"/>
        <v>10719.344499999999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16.640599999999999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1.6936203515056356</v>
      </c>
      <c r="M132" s="9">
        <f t="shared" ref="M132:M195" si="30">D132*J132</f>
        <v>225106.23449999999</v>
      </c>
      <c r="N132" s="10">
        <f t="shared" si="27"/>
        <v>156138.26550000001</v>
      </c>
      <c r="O132" s="11">
        <f t="shared" si="28"/>
        <v>7435.1555000000008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9564</v>
      </c>
      <c r="D133" s="79">
        <f t="shared" si="21"/>
        <v>10889.598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36.389600000000002</v>
      </c>
      <c r="J133" s="20">
        <f t="shared" si="26"/>
        <v>49</v>
      </c>
      <c r="K133" s="19">
        <f t="shared" si="23"/>
        <v>49</v>
      </c>
      <c r="L133" s="8">
        <f t="shared" si="29"/>
        <v>0.15355250028513448</v>
      </c>
      <c r="M133" s="9">
        <f t="shared" si="30"/>
        <v>533590.30200000003</v>
      </c>
      <c r="N133" s="10">
        <f t="shared" si="27"/>
        <v>-451656.17700000003</v>
      </c>
      <c r="O133" s="11">
        <f t="shared" si="28"/>
        <v>-9217.473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104700000</v>
      </c>
      <c r="D134" s="79">
        <f t="shared" si="21"/>
        <v>109404150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29420.2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1.039307009834636</v>
      </c>
      <c r="M134" s="9">
        <f t="shared" si="30"/>
        <v>1072160669.9999999</v>
      </c>
      <c r="N134" s="10">
        <f t="shared" si="27"/>
        <v>42143429.999999993</v>
      </c>
      <c r="O134" s="11">
        <f t="shared" si="28"/>
        <v>86007</v>
      </c>
      <c r="P134" s="23">
        <f t="shared" si="24"/>
        <v>1114304099.9999998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98400</v>
      </c>
      <c r="D135" s="79">
        <f t="shared" si="21"/>
        <v>125278.8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276.8</v>
      </c>
      <c r="J135" s="20">
        <f t="shared" si="26"/>
        <v>70</v>
      </c>
      <c r="K135" s="19">
        <f t="shared" si="23"/>
        <v>1750</v>
      </c>
      <c r="L135" s="8">
        <f t="shared" si="29"/>
        <v>0.80007112137089431</v>
      </c>
      <c r="M135" s="9">
        <f t="shared" si="30"/>
        <v>8769516</v>
      </c>
      <c r="N135" s="10">
        <f t="shared" si="27"/>
        <v>-1753279.5000000005</v>
      </c>
      <c r="O135" s="11">
        <f t="shared" si="28"/>
        <v>-1001.8740000000003</v>
      </c>
      <c r="P135" s="23">
        <f t="shared" si="24"/>
        <v>7016236.5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1687000</v>
      </c>
      <c r="D136" s="79">
        <f t="shared" si="21"/>
        <v>1784571.5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1752</v>
      </c>
      <c r="J136" s="20">
        <f t="shared" si="26"/>
        <v>35</v>
      </c>
      <c r="K136" s="19">
        <f t="shared" si="23"/>
        <v>875</v>
      </c>
      <c r="L136" s="8">
        <f t="shared" si="29"/>
        <v>0.96215450039407224</v>
      </c>
      <c r="M136" s="9">
        <f t="shared" si="30"/>
        <v>62460002.5</v>
      </c>
      <c r="N136" s="10">
        <f t="shared" si="27"/>
        <v>-2363830</v>
      </c>
      <c r="O136" s="11">
        <f t="shared" si="28"/>
        <v>-2701.52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1365000</v>
      </c>
      <c r="D137" s="79">
        <f t="shared" si="21"/>
        <v>1448242.5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2810</v>
      </c>
      <c r="J137" s="20">
        <f t="shared" si="26"/>
        <v>70</v>
      </c>
      <c r="K137" s="19">
        <f t="shared" si="23"/>
        <v>1750</v>
      </c>
      <c r="L137" s="8">
        <f t="shared" si="29"/>
        <v>1.578818119203103</v>
      </c>
      <c r="M137" s="9">
        <f t="shared" si="30"/>
        <v>101376975</v>
      </c>
      <c r="N137" s="10">
        <f t="shared" si="27"/>
        <v>58678830</v>
      </c>
      <c r="O137" s="11">
        <f t="shared" si="28"/>
        <v>33530.76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1579000</v>
      </c>
      <c r="D138" s="79">
        <f t="shared" si="21"/>
        <v>1671765.5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19178</v>
      </c>
      <c r="J138" s="20">
        <f t="shared" si="26"/>
        <v>420</v>
      </c>
      <c r="K138" s="19">
        <f t="shared" si="23"/>
        <v>10500</v>
      </c>
      <c r="L138" s="8">
        <f t="shared" si="29"/>
        <v>1.1368158393028209</v>
      </c>
      <c r="M138" s="9">
        <f t="shared" si="30"/>
        <v>702141510</v>
      </c>
      <c r="N138" s="10">
        <f t="shared" si="27"/>
        <v>96064080</v>
      </c>
      <c r="O138" s="11">
        <f t="shared" si="28"/>
        <v>9148.9599999999991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1648000</v>
      </c>
      <c r="D139" s="79">
        <f t="shared" si="21"/>
        <v>1743836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1713</v>
      </c>
      <c r="J139" s="20">
        <f t="shared" si="26"/>
        <v>35</v>
      </c>
      <c r="K139" s="19">
        <f t="shared" si="23"/>
        <v>875</v>
      </c>
      <c r="L139" s="8">
        <f t="shared" si="29"/>
        <v>1.2240755438011373</v>
      </c>
      <c r="M139" s="9">
        <f t="shared" si="30"/>
        <v>61034260</v>
      </c>
      <c r="N139" s="10">
        <f t="shared" si="27"/>
        <v>13676285</v>
      </c>
      <c r="O139" s="11">
        <f t="shared" si="28"/>
        <v>15630.04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3484000</v>
      </c>
      <c r="D140" s="79">
        <f t="shared" si="21"/>
        <v>3661538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10547</v>
      </c>
      <c r="J140" s="20">
        <f t="shared" si="26"/>
        <v>105</v>
      </c>
      <c r="K140" s="19">
        <f t="shared" si="23"/>
        <v>2625</v>
      </c>
      <c r="L140" s="8">
        <f t="shared" si="29"/>
        <v>0.93865842714181857</v>
      </c>
      <c r="M140" s="9">
        <f t="shared" si="30"/>
        <v>384461490</v>
      </c>
      <c r="N140" s="10">
        <f t="shared" si="27"/>
        <v>-23583472.5</v>
      </c>
      <c r="O140" s="11">
        <f t="shared" si="28"/>
        <v>-8984.18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4180</v>
      </c>
      <c r="D141" s="79">
        <f t="shared" si="21"/>
        <v>8866.01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67.539999999999992</v>
      </c>
      <c r="J141" s="20">
        <f t="shared" si="26"/>
        <v>105</v>
      </c>
      <c r="K141" s="19">
        <f t="shared" si="23"/>
        <v>525</v>
      </c>
      <c r="L141" s="8">
        <f t="shared" si="29"/>
        <v>0.96994025497377057</v>
      </c>
      <c r="M141" s="9">
        <f t="shared" si="30"/>
        <v>930931.05</v>
      </c>
      <c r="N141" s="10">
        <f t="shared" si="27"/>
        <v>-27983.550000000025</v>
      </c>
      <c r="O141" s="11">
        <f t="shared" si="28"/>
        <v>-53.302000000000042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4995</v>
      </c>
      <c r="D142" s="79">
        <f t="shared" si="21"/>
        <v>9717.2775000000001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29.995000000000001</v>
      </c>
      <c r="J142" s="20">
        <f t="shared" si="26"/>
        <v>35</v>
      </c>
      <c r="K142" s="19">
        <f t="shared" si="23"/>
        <v>175</v>
      </c>
      <c r="L142" s="8">
        <f t="shared" si="29"/>
        <v>1.4602006580546865</v>
      </c>
      <c r="M142" s="9">
        <f t="shared" si="30"/>
        <v>340104.71250000002</v>
      </c>
      <c r="N142" s="10">
        <f t="shared" si="27"/>
        <v>156516.41249999998</v>
      </c>
      <c r="O142" s="11">
        <f t="shared" si="28"/>
        <v>894.37949999999978</v>
      </c>
      <c r="P142" s="23">
        <f t="shared" si="24"/>
        <v>496621.125</v>
      </c>
      <c r="Q142">
        <f>VLOOKUP(B142,Buylist!B:B,1,FALSE)</f>
        <v>2454</v>
      </c>
      <c r="R142" t="str">
        <f>VLOOKUP(B142,Buylist!B:M,12,FALSE)</f>
        <v>x</v>
      </c>
    </row>
    <row r="143" spans="1:18">
      <c r="A143" s="45" t="s">
        <v>1267</v>
      </c>
      <c r="B143" s="73">
        <f>VLOOKUP(A143,TypeIDs!B:C,2,FALSE)</f>
        <v>2486</v>
      </c>
      <c r="C143" s="39">
        <v>8980</v>
      </c>
      <c r="D143" s="79">
        <f t="shared" si="21"/>
        <v>13879.61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33.980000000000004</v>
      </c>
      <c r="J143" s="20">
        <f t="shared" si="26"/>
        <v>35</v>
      </c>
      <c r="K143" s="19">
        <f t="shared" si="23"/>
        <v>175</v>
      </c>
      <c r="L143" s="8">
        <f t="shared" si="29"/>
        <v>1.1207476290760332</v>
      </c>
      <c r="M143" s="9">
        <f t="shared" si="30"/>
        <v>485786.35000000003</v>
      </c>
      <c r="N143" s="10">
        <f t="shared" si="27"/>
        <v>58657.55000000001</v>
      </c>
      <c r="O143" s="11">
        <f t="shared" si="28"/>
        <v>335.18600000000004</v>
      </c>
      <c r="P143" s="23">
        <f t="shared" si="24"/>
        <v>544443.9</v>
      </c>
      <c r="Q143">
        <f>VLOOKUP(B143,Buylist!B:B,1,FALSE)</f>
        <v>2486</v>
      </c>
      <c r="R143" t="str">
        <f>VLOOKUP(B143,Buylist!B:M,12,FALSE)</f>
        <v>x</v>
      </c>
    </row>
    <row r="144" spans="1:18">
      <c r="A144" s="26" t="s">
        <v>1051</v>
      </c>
      <c r="B144" s="73">
        <f>VLOOKUP(A144,TypeIDs!B:C,2,FALSE)</f>
        <v>2205</v>
      </c>
      <c r="C144" s="39">
        <v>327500</v>
      </c>
      <c r="D144" s="79">
        <f t="shared" si="21"/>
        <v>346573.75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4120</v>
      </c>
      <c r="J144" s="20">
        <f t="shared" si="26"/>
        <v>420</v>
      </c>
      <c r="K144" s="19">
        <f t="shared" si="23"/>
        <v>2100</v>
      </c>
      <c r="L144" s="8">
        <f t="shared" si="29"/>
        <v>1.9285137723211871</v>
      </c>
      <c r="M144" s="9">
        <f t="shared" si="30"/>
        <v>145560975</v>
      </c>
      <c r="N144" s="10">
        <f t="shared" si="27"/>
        <v>135155370</v>
      </c>
      <c r="O144" s="11">
        <f t="shared" si="28"/>
        <v>64359.7</v>
      </c>
      <c r="P144" s="23">
        <f t="shared" si="24"/>
        <v>280716345</v>
      </c>
      <c r="Q144">
        <f>VLOOKUP(B144,Buylist!B:B,1,FALSE)</f>
        <v>2205</v>
      </c>
      <c r="R144" t="str">
        <f>VLOOKUP(B144,Buylist!B:M,12,FALSE)</f>
        <v>x</v>
      </c>
    </row>
    <row r="145" spans="1:18">
      <c r="A145" s="26" t="s">
        <v>1237</v>
      </c>
      <c r="B145" s="73">
        <f>VLOOKUP(A145,TypeIDs!B:C,2,FALSE)</f>
        <v>2456</v>
      </c>
      <c r="C145" s="39">
        <v>326500</v>
      </c>
      <c r="D145" s="79">
        <f t="shared" si="21"/>
        <v>345529.25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2059</v>
      </c>
      <c r="J145" s="20">
        <f t="shared" si="26"/>
        <v>210</v>
      </c>
      <c r="K145" s="19">
        <f t="shared" si="23"/>
        <v>1050</v>
      </c>
      <c r="L145" s="8">
        <f t="shared" si="29"/>
        <v>1.9213464561972684</v>
      </c>
      <c r="M145" s="9">
        <f t="shared" si="30"/>
        <v>72561142.5</v>
      </c>
      <c r="N145" s="10">
        <f t="shared" si="27"/>
        <v>66853951.500000007</v>
      </c>
      <c r="O145" s="11">
        <f t="shared" si="28"/>
        <v>63670.430000000008</v>
      </c>
      <c r="P145" s="23">
        <f t="shared" si="24"/>
        <v>139415094</v>
      </c>
      <c r="Q145">
        <f>VLOOKUP(B145,Buylist!B:B,1,FALSE)</f>
        <v>2456</v>
      </c>
      <c r="R145" t="str">
        <f>VLOOKUP(B145,Buylist!B:M,12,FALSE)</f>
        <v>x</v>
      </c>
    </row>
    <row r="146" spans="1:18">
      <c r="A146" s="26" t="s">
        <v>1247</v>
      </c>
      <c r="B146" s="73">
        <f>VLOOKUP(A146,TypeIDs!B:C,2,FALSE)</f>
        <v>2466</v>
      </c>
      <c r="C146" s="39">
        <v>342400</v>
      </c>
      <c r="D146" s="79">
        <f t="shared" si="21"/>
        <v>362136.8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367.4</v>
      </c>
      <c r="J146" s="20">
        <f t="shared" si="26"/>
        <v>35</v>
      </c>
      <c r="K146" s="19">
        <f t="shared" si="23"/>
        <v>175</v>
      </c>
      <c r="L146" s="8">
        <f t="shared" si="29"/>
        <v>1.833497589861069</v>
      </c>
      <c r="M146" s="9">
        <f t="shared" si="30"/>
        <v>12674788</v>
      </c>
      <c r="N146" s="10">
        <f t="shared" si="27"/>
        <v>10564405.249999998</v>
      </c>
      <c r="O146" s="11">
        <f t="shared" si="28"/>
        <v>60368.029999999992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339000</v>
      </c>
      <c r="D147" s="79">
        <f t="shared" si="21"/>
        <v>358585.5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5320</v>
      </c>
      <c r="J147" s="20">
        <f t="shared" si="26"/>
        <v>525</v>
      </c>
      <c r="K147" s="19">
        <f t="shared" si="23"/>
        <v>2625</v>
      </c>
      <c r="L147" s="8">
        <f t="shared" si="29"/>
        <v>1.4373049105443472</v>
      </c>
      <c r="M147" s="9">
        <f t="shared" si="30"/>
        <v>188257387.5</v>
      </c>
      <c r="N147" s="10">
        <f t="shared" si="27"/>
        <v>82325880</v>
      </c>
      <c r="O147" s="11">
        <f t="shared" si="28"/>
        <v>31362.240000000002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1500000</v>
      </c>
      <c r="D148" s="79">
        <f t="shared" si="21"/>
        <v>1571250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1525</v>
      </c>
      <c r="J148" s="20">
        <f t="shared" si="26"/>
        <v>35</v>
      </c>
      <c r="K148" s="19">
        <f t="shared" si="23"/>
        <v>175</v>
      </c>
      <c r="L148" s="8">
        <f t="shared" si="29"/>
        <v>1.0635923627684964</v>
      </c>
      <c r="M148" s="9">
        <f t="shared" si="30"/>
        <v>54993750</v>
      </c>
      <c r="N148" s="10">
        <f t="shared" si="27"/>
        <v>3497182.5</v>
      </c>
      <c r="O148" s="11">
        <f t="shared" si="28"/>
        <v>19983.900000000001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1200000</v>
      </c>
      <c r="D149" s="79">
        <f t="shared" si="21"/>
        <v>1257900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1225</v>
      </c>
      <c r="J149" s="20">
        <f t="shared" si="26"/>
        <v>35</v>
      </c>
      <c r="K149" s="19">
        <f t="shared" si="23"/>
        <v>175</v>
      </c>
      <c r="L149" s="8">
        <f t="shared" si="29"/>
        <v>1.2935976627712855</v>
      </c>
      <c r="M149" s="9">
        <f t="shared" si="30"/>
        <v>44026500</v>
      </c>
      <c r="N149" s="10">
        <f t="shared" si="27"/>
        <v>12926077.5</v>
      </c>
      <c r="O149" s="11">
        <f t="shared" si="28"/>
        <v>73863.3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32700</v>
      </c>
      <c r="D150" s="79">
        <f t="shared" si="21"/>
        <v>43155.15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115.4</v>
      </c>
      <c r="J150" s="20">
        <f t="shared" si="26"/>
        <v>70</v>
      </c>
      <c r="K150" s="19">
        <f t="shared" si="23"/>
        <v>700</v>
      </c>
      <c r="L150" s="8">
        <f t="shared" si="29"/>
        <v>6.6423126787880467</v>
      </c>
      <c r="M150" s="9">
        <f t="shared" si="30"/>
        <v>3020860.5</v>
      </c>
      <c r="N150" s="10">
        <f t="shared" si="27"/>
        <v>17044639.5</v>
      </c>
      <c r="O150" s="11">
        <f t="shared" si="28"/>
        <v>24349.485000000001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837500</v>
      </c>
      <c r="D151" s="79">
        <f t="shared" si="21"/>
        <v>883768.75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2577.5</v>
      </c>
      <c r="J151" s="20">
        <f t="shared" si="26"/>
        <v>105</v>
      </c>
      <c r="K151" s="19">
        <f t="shared" si="23"/>
        <v>1050</v>
      </c>
      <c r="L151" s="8">
        <f t="shared" si="29"/>
        <v>1.3482129799226326</v>
      </c>
      <c r="M151" s="9">
        <f t="shared" si="30"/>
        <v>92795718.75</v>
      </c>
      <c r="N151" s="10">
        <f t="shared" si="27"/>
        <v>32312673.75</v>
      </c>
      <c r="O151" s="11">
        <f t="shared" si="28"/>
        <v>30773.974999999999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899900</v>
      </c>
      <c r="D152" s="79">
        <f t="shared" si="21"/>
        <v>948945.55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9169</v>
      </c>
      <c r="J152" s="20">
        <f t="shared" si="26"/>
        <v>350</v>
      </c>
      <c r="K152" s="19">
        <f t="shared" si="23"/>
        <v>3500</v>
      </c>
      <c r="L152" s="8">
        <f t="shared" si="29"/>
        <v>1.6724726724309944</v>
      </c>
      <c r="M152" s="9">
        <f t="shared" si="30"/>
        <v>332130942.5</v>
      </c>
      <c r="N152" s="10">
        <f t="shared" si="27"/>
        <v>223348982.49999997</v>
      </c>
      <c r="O152" s="11">
        <f t="shared" si="28"/>
        <v>63813.994999999995</v>
      </c>
      <c r="P152" s="23">
        <f t="shared" si="24"/>
        <v>555479925</v>
      </c>
      <c r="Q152">
        <f>VLOOKUP(B152,Buylist!B:B,1,FALSE)</f>
        <v>2175</v>
      </c>
      <c r="R152" t="str">
        <f>VLOOKUP(B152,Buylist!B:M,12,FALSE)</f>
        <v>x</v>
      </c>
    </row>
    <row r="153" spans="1:18">
      <c r="A153" s="26" t="s">
        <v>10259</v>
      </c>
      <c r="B153" s="73">
        <f>VLOOKUP(A153,TypeIDs!B:C,2,FALSE)</f>
        <v>21640</v>
      </c>
      <c r="C153" s="39">
        <v>857900</v>
      </c>
      <c r="D153" s="79">
        <f t="shared" si="21"/>
        <v>905076.55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2638.7000000000003</v>
      </c>
      <c r="J153" s="20">
        <f t="shared" si="26"/>
        <v>105</v>
      </c>
      <c r="K153" s="19">
        <f t="shared" si="23"/>
        <v>1050</v>
      </c>
      <c r="L153" s="8">
        <f t="shared" si="29"/>
        <v>2.0058524331450194</v>
      </c>
      <c r="M153" s="9">
        <f t="shared" si="30"/>
        <v>95033037.75</v>
      </c>
      <c r="N153" s="10">
        <f t="shared" si="27"/>
        <v>95589212.25</v>
      </c>
      <c r="O153" s="11">
        <f t="shared" si="28"/>
        <v>91037.345000000001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869800</v>
      </c>
      <c r="D154" s="79">
        <f t="shared" si="21"/>
        <v>917506.1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904.8</v>
      </c>
      <c r="J154" s="20">
        <f t="shared" si="26"/>
        <v>35</v>
      </c>
      <c r="K154" s="19">
        <f t="shared" si="23"/>
        <v>350</v>
      </c>
      <c r="L154" s="8">
        <f t="shared" si="29"/>
        <v>1.4517254980648084</v>
      </c>
      <c r="M154" s="9">
        <f t="shared" si="30"/>
        <v>32112713.5</v>
      </c>
      <c r="N154" s="10">
        <f t="shared" si="27"/>
        <v>14506131.5</v>
      </c>
      <c r="O154" s="11">
        <f t="shared" si="28"/>
        <v>41446.090000000004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2050000</v>
      </c>
      <c r="D155" s="79">
        <f t="shared" si="21"/>
        <v>2150225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2085</v>
      </c>
      <c r="J155" s="20">
        <f t="shared" si="26"/>
        <v>35</v>
      </c>
      <c r="K155" s="19">
        <f t="shared" si="23"/>
        <v>350</v>
      </c>
      <c r="L155" s="8">
        <f t="shared" si="29"/>
        <v>0.99805973793440217</v>
      </c>
      <c r="M155" s="9">
        <f t="shared" si="30"/>
        <v>75257875</v>
      </c>
      <c r="N155" s="10">
        <f t="shared" si="27"/>
        <v>-146020</v>
      </c>
      <c r="O155" s="11">
        <f t="shared" si="28"/>
        <v>-417.2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1570000</v>
      </c>
      <c r="D156" s="79">
        <f t="shared" si="21"/>
        <v>1662365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3220</v>
      </c>
      <c r="J156" s="20">
        <f t="shared" si="26"/>
        <v>70</v>
      </c>
      <c r="K156" s="19">
        <f t="shared" si="23"/>
        <v>1750</v>
      </c>
      <c r="L156" s="8">
        <f t="shared" si="29"/>
        <v>0.91850405897621756</v>
      </c>
      <c r="M156" s="9">
        <f t="shared" si="30"/>
        <v>116365550</v>
      </c>
      <c r="N156" s="10">
        <f t="shared" si="27"/>
        <v>-9483320</v>
      </c>
      <c r="O156" s="11">
        <f t="shared" si="28"/>
        <v>-5419.04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3279000</v>
      </c>
      <c r="D157" s="79">
        <f t="shared" si="21"/>
        <v>3447415.5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6638</v>
      </c>
      <c r="J157" s="20">
        <f t="shared" si="26"/>
        <v>70</v>
      </c>
      <c r="K157" s="19">
        <f t="shared" si="23"/>
        <v>1750</v>
      </c>
      <c r="L157" s="8">
        <f t="shared" si="29"/>
        <v>0.97007453844771541</v>
      </c>
      <c r="M157" s="9">
        <f t="shared" si="30"/>
        <v>241319085</v>
      </c>
      <c r="N157" s="10">
        <f t="shared" si="27"/>
        <v>-7221585</v>
      </c>
      <c r="O157" s="11">
        <f t="shared" si="28"/>
        <v>-4126.62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5788</v>
      </c>
      <c r="D158" s="79">
        <f t="shared" si="21"/>
        <v>10545.565999999999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301.03199999999998</v>
      </c>
      <c r="J158" s="20">
        <f t="shared" si="26"/>
        <v>490</v>
      </c>
      <c r="K158" s="19">
        <f t="shared" si="23"/>
        <v>2450</v>
      </c>
      <c r="L158" s="8">
        <f t="shared" si="29"/>
        <v>1.4497088160085483</v>
      </c>
      <c r="M158" s="9">
        <f t="shared" si="30"/>
        <v>5167327.34</v>
      </c>
      <c r="N158" s="10">
        <f t="shared" si="27"/>
        <v>2323792.6600000006</v>
      </c>
      <c r="O158" s="11">
        <f t="shared" si="28"/>
        <v>948.48680000000024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59880</v>
      </c>
      <c r="D159" s="79">
        <f t="shared" si="21"/>
        <v>71544.66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169.76</v>
      </c>
      <c r="J159" s="20">
        <f t="shared" si="26"/>
        <v>70</v>
      </c>
      <c r="K159" s="19">
        <f t="shared" si="23"/>
        <v>700</v>
      </c>
      <c r="L159" s="8">
        <f t="shared" si="29"/>
        <v>2.9381647770777022</v>
      </c>
      <c r="M159" s="9">
        <f t="shared" si="30"/>
        <v>5008126.2</v>
      </c>
      <c r="N159" s="10">
        <f t="shared" si="27"/>
        <v>9706573.7999999989</v>
      </c>
      <c r="O159" s="11">
        <f t="shared" si="28"/>
        <v>13866.534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10950</v>
      </c>
      <c r="D160" s="79">
        <f t="shared" si="21"/>
        <v>15937.275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61.9</v>
      </c>
      <c r="J160" s="20">
        <f t="shared" si="26"/>
        <v>70</v>
      </c>
      <c r="K160" s="19">
        <f t="shared" si="23"/>
        <v>350</v>
      </c>
      <c r="L160" s="8">
        <f t="shared" si="29"/>
        <v>1.1978766759060129</v>
      </c>
      <c r="M160" s="9">
        <f t="shared" si="30"/>
        <v>1115609.25</v>
      </c>
      <c r="N160" s="10">
        <f t="shared" si="27"/>
        <v>220753.05</v>
      </c>
      <c r="O160" s="11">
        <f t="shared" si="28"/>
        <v>630.72299999999996</v>
      </c>
      <c r="P160" s="23">
        <f t="shared" si="24"/>
        <v>1336362.3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680600</v>
      </c>
      <c r="D161" s="79">
        <f t="shared" si="21"/>
        <v>715386.7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2096.8000000000002</v>
      </c>
      <c r="J161" s="20">
        <f t="shared" si="26"/>
        <v>105</v>
      </c>
      <c r="K161" s="19">
        <f t="shared" si="23"/>
        <v>525</v>
      </c>
      <c r="L161" s="8">
        <f t="shared" si="29"/>
        <v>1.5359874596494456</v>
      </c>
      <c r="M161" s="9">
        <f t="shared" si="30"/>
        <v>75115603.5</v>
      </c>
      <c r="N161" s="10">
        <f t="shared" si="27"/>
        <v>40261021.500000007</v>
      </c>
      <c r="O161" s="11">
        <f t="shared" si="28"/>
        <v>76687.66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31800</v>
      </c>
      <c r="D162" s="79">
        <f t="shared" si="21"/>
        <v>37715.1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103.6</v>
      </c>
      <c r="J162" s="20">
        <f t="shared" si="26"/>
        <v>70</v>
      </c>
      <c r="K162" s="19">
        <f t="shared" si="23"/>
        <v>350</v>
      </c>
      <c r="L162" s="8">
        <f t="shared" si="29"/>
        <v>1.2150512659385764</v>
      </c>
      <c r="M162" s="9">
        <f t="shared" si="30"/>
        <v>2640057</v>
      </c>
      <c r="N162" s="10">
        <f t="shared" si="27"/>
        <v>567747.6</v>
      </c>
      <c r="O162" s="11">
        <f t="shared" si="28"/>
        <v>1622.136</v>
      </c>
      <c r="P162" s="23">
        <f t="shared" si="24"/>
        <v>3207804.6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8376000</v>
      </c>
      <c r="D163" s="79">
        <f t="shared" si="21"/>
        <v>8766732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3396.4</v>
      </c>
      <c r="J163" s="20">
        <f t="shared" si="26"/>
        <v>14</v>
      </c>
      <c r="K163" s="19">
        <f t="shared" si="23"/>
        <v>280</v>
      </c>
      <c r="L163" s="8">
        <f t="shared" si="29"/>
        <v>1.1008149901240281</v>
      </c>
      <c r="M163" s="9">
        <f t="shared" si="30"/>
        <v>122734248</v>
      </c>
      <c r="N163" s="10">
        <f t="shared" si="27"/>
        <v>12373452</v>
      </c>
      <c r="O163" s="11">
        <f t="shared" si="28"/>
        <v>44190.9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5934000</v>
      </c>
      <c r="D164" s="79">
        <f t="shared" si="21"/>
        <v>6216063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2419.6</v>
      </c>
      <c r="J164" s="20">
        <f t="shared" si="26"/>
        <v>14</v>
      </c>
      <c r="K164" s="19">
        <f t="shared" si="23"/>
        <v>280</v>
      </c>
      <c r="L164" s="8">
        <f t="shared" si="29"/>
        <v>1.5365317243406318</v>
      </c>
      <c r="M164" s="9">
        <f t="shared" si="30"/>
        <v>87024882</v>
      </c>
      <c r="N164" s="10">
        <f t="shared" si="27"/>
        <v>46691610</v>
      </c>
      <c r="O164" s="11">
        <f t="shared" si="28"/>
        <v>166755.75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1298000</v>
      </c>
      <c r="D165" s="79">
        <f t="shared" si="21"/>
        <v>1364761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1070.4000000000001</v>
      </c>
      <c r="J165" s="20">
        <f t="shared" si="26"/>
        <v>28</v>
      </c>
      <c r="K165" s="19">
        <f t="shared" si="23"/>
        <v>280</v>
      </c>
      <c r="L165" s="8">
        <f t="shared" si="29"/>
        <v>2.7920888712382608</v>
      </c>
      <c r="M165" s="9">
        <f t="shared" si="30"/>
        <v>38213308</v>
      </c>
      <c r="N165" s="10">
        <f t="shared" si="27"/>
        <v>68481644</v>
      </c>
      <c r="O165" s="11">
        <f t="shared" si="28"/>
        <v>244577.3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1065000</v>
      </c>
      <c r="D166" s="79">
        <f t="shared" si="21"/>
        <v>1121392.5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668</v>
      </c>
      <c r="J166" s="20">
        <f t="shared" si="26"/>
        <v>21</v>
      </c>
      <c r="K166" s="19">
        <f t="shared" si="23"/>
        <v>210</v>
      </c>
      <c r="L166" s="8">
        <f t="shared" si="29"/>
        <v>2.6831546492419025</v>
      </c>
      <c r="M166" s="9">
        <f t="shared" si="30"/>
        <v>23549242.5</v>
      </c>
      <c r="N166" s="10">
        <f t="shared" si="27"/>
        <v>39637017</v>
      </c>
      <c r="O166" s="11">
        <f t="shared" si="28"/>
        <v>188747.7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1581000</v>
      </c>
      <c r="D167" s="79">
        <f t="shared" si="21"/>
        <v>1660354.5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1296.8</v>
      </c>
      <c r="J167" s="20">
        <f t="shared" si="26"/>
        <v>28</v>
      </c>
      <c r="K167" s="19">
        <f t="shared" si="23"/>
        <v>280</v>
      </c>
      <c r="L167" s="8">
        <f t="shared" si="29"/>
        <v>1.4381233043907189</v>
      </c>
      <c r="M167" s="9">
        <f t="shared" si="30"/>
        <v>46489926</v>
      </c>
      <c r="N167" s="10">
        <f t="shared" si="27"/>
        <v>20368320</v>
      </c>
      <c r="O167" s="11">
        <f t="shared" si="28"/>
        <v>72744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1184000</v>
      </c>
      <c r="D168" s="79">
        <f t="shared" si="21"/>
        <v>1245688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1219</v>
      </c>
      <c r="J168" s="20">
        <f t="shared" si="26"/>
        <v>35</v>
      </c>
      <c r="K168" s="19">
        <f t="shared" si="23"/>
        <v>350</v>
      </c>
      <c r="L168" s="8">
        <f t="shared" si="29"/>
        <v>1.9160809127165068</v>
      </c>
      <c r="M168" s="9">
        <f t="shared" si="30"/>
        <v>43599080</v>
      </c>
      <c r="N168" s="10">
        <f t="shared" si="27"/>
        <v>39940285</v>
      </c>
      <c r="O168" s="11">
        <f t="shared" si="28"/>
        <v>114115.1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30800000</v>
      </c>
      <c r="D169" s="79">
        <f t="shared" si="21"/>
        <v>32179600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8031.9</v>
      </c>
      <c r="J169" s="20">
        <f t="shared" si="26"/>
        <v>9.1</v>
      </c>
      <c r="K169" s="19">
        <f t="shared" si="23"/>
        <v>91</v>
      </c>
      <c r="L169" s="8">
        <f t="shared" si="29"/>
        <v>0.97926605675645439</v>
      </c>
      <c r="M169" s="9">
        <f t="shared" si="30"/>
        <v>292834360</v>
      </c>
      <c r="N169" s="10">
        <f t="shared" si="27"/>
        <v>-6071611</v>
      </c>
      <c r="O169" s="11">
        <f t="shared" si="28"/>
        <v>-66721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17790000</v>
      </c>
      <c r="D170" s="79">
        <f t="shared" si="21"/>
        <v>18590655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7142</v>
      </c>
      <c r="J170" s="20">
        <f t="shared" si="26"/>
        <v>14</v>
      </c>
      <c r="K170" s="19">
        <f t="shared" si="23"/>
        <v>140</v>
      </c>
      <c r="L170" s="8">
        <f t="shared" si="29"/>
        <v>1.3275790982082127</v>
      </c>
      <c r="M170" s="9">
        <f t="shared" si="30"/>
        <v>260269170</v>
      </c>
      <c r="N170" s="10">
        <f t="shared" si="27"/>
        <v>85258740</v>
      </c>
      <c r="O170" s="11">
        <f t="shared" si="28"/>
        <v>608991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17790000</v>
      </c>
      <c r="D171" s="79">
        <f t="shared" si="21"/>
        <v>18590655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14264</v>
      </c>
      <c r="J171" s="20">
        <f t="shared" si="26"/>
        <v>28</v>
      </c>
      <c r="K171" s="19">
        <f t="shared" si="23"/>
        <v>280</v>
      </c>
      <c r="L171" s="8">
        <f t="shared" si="29"/>
        <v>1.6421274559718311</v>
      </c>
      <c r="M171" s="9">
        <f t="shared" si="30"/>
        <v>520538340</v>
      </c>
      <c r="N171" s="10">
        <f t="shared" si="27"/>
        <v>334251960</v>
      </c>
      <c r="O171" s="11">
        <f t="shared" si="28"/>
        <v>1193757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336700</v>
      </c>
      <c r="D172" s="79">
        <f t="shared" si="21"/>
        <v>356183.15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171.78200000000001</v>
      </c>
      <c r="J172" s="20">
        <f t="shared" si="26"/>
        <v>16.099999999999998</v>
      </c>
      <c r="K172" s="19">
        <f t="shared" si="23"/>
        <v>80.5</v>
      </c>
      <c r="L172" s="8">
        <f t="shared" si="29"/>
        <v>0.99256520135778459</v>
      </c>
      <c r="M172" s="9">
        <f t="shared" si="30"/>
        <v>5734548.7149999999</v>
      </c>
      <c r="N172" s="10">
        <f t="shared" si="27"/>
        <v>-42635.215000000368</v>
      </c>
      <c r="O172" s="11">
        <f t="shared" si="28"/>
        <v>-529.63000000000466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6605000</v>
      </c>
      <c r="D173" s="79">
        <f t="shared" si="21"/>
        <v>6903422.5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2658</v>
      </c>
      <c r="J173" s="20">
        <f t="shared" si="26"/>
        <v>14</v>
      </c>
      <c r="K173" s="19">
        <f t="shared" si="23"/>
        <v>70</v>
      </c>
      <c r="L173" s="8">
        <f t="shared" si="29"/>
        <v>1.0654771600608248</v>
      </c>
      <c r="M173" s="9">
        <f t="shared" si="30"/>
        <v>96647915</v>
      </c>
      <c r="N173" s="10">
        <f t="shared" si="27"/>
        <v>6328231</v>
      </c>
      <c r="O173" s="11">
        <f t="shared" si="28"/>
        <v>90403.3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2123000</v>
      </c>
      <c r="D174" s="79">
        <f t="shared" si="21"/>
        <v>2221973.5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1292.8</v>
      </c>
      <c r="J174" s="20">
        <f t="shared" si="26"/>
        <v>21</v>
      </c>
      <c r="K174" s="19">
        <f t="shared" si="23"/>
        <v>105</v>
      </c>
      <c r="L174" s="8">
        <f t="shared" si="29"/>
        <v>1.6766601851912275</v>
      </c>
      <c r="M174" s="9">
        <f t="shared" si="30"/>
        <v>46661443.5</v>
      </c>
      <c r="N174" s="10">
        <f t="shared" si="27"/>
        <v>31573941</v>
      </c>
      <c r="O174" s="11">
        <f t="shared" si="28"/>
        <v>300704.2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7037000</v>
      </c>
      <c r="D175" s="79">
        <f t="shared" si="21"/>
        <v>7354646.5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1420.4</v>
      </c>
      <c r="J175" s="20">
        <f t="shared" si="26"/>
        <v>7</v>
      </c>
      <c r="K175" s="19">
        <f t="shared" si="23"/>
        <v>35</v>
      </c>
      <c r="L175" s="8">
        <f t="shared" si="29"/>
        <v>0.97412418122339395</v>
      </c>
      <c r="M175" s="9">
        <f t="shared" si="30"/>
        <v>51482525.5</v>
      </c>
      <c r="N175" s="10">
        <f t="shared" si="27"/>
        <v>-1332152.5</v>
      </c>
      <c r="O175" s="11">
        <f t="shared" si="28"/>
        <v>-38061.5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202000</v>
      </c>
      <c r="D176" s="79">
        <f t="shared" si="21"/>
        <v>219989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280.39999999999998</v>
      </c>
      <c r="J176" s="20">
        <f t="shared" si="26"/>
        <v>42</v>
      </c>
      <c r="K176" s="19">
        <f t="shared" si="23"/>
        <v>420</v>
      </c>
      <c r="L176" s="8">
        <f t="shared" si="29"/>
        <v>3.9090590893181023</v>
      </c>
      <c r="M176" s="9">
        <f t="shared" si="30"/>
        <v>9239538</v>
      </c>
      <c r="N176" s="10">
        <f t="shared" si="27"/>
        <v>26878362</v>
      </c>
      <c r="O176" s="11">
        <f t="shared" si="28"/>
        <v>63996.1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699800</v>
      </c>
      <c r="D177" s="79">
        <f t="shared" si="21"/>
        <v>739941.1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877.76</v>
      </c>
      <c r="J177" s="20">
        <f t="shared" si="26"/>
        <v>42</v>
      </c>
      <c r="K177" s="19">
        <f t="shared" si="23"/>
        <v>420</v>
      </c>
      <c r="L177" s="8">
        <f t="shared" si="29"/>
        <v>1.8711212284329117</v>
      </c>
      <c r="M177" s="9">
        <f t="shared" si="30"/>
        <v>31077526.199999999</v>
      </c>
      <c r="N177" s="10">
        <f t="shared" si="27"/>
        <v>27072292.800000001</v>
      </c>
      <c r="O177" s="11">
        <f t="shared" si="28"/>
        <v>64457.840000000004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655200</v>
      </c>
      <c r="D178" s="39">
        <f t="shared" si="21"/>
        <v>693356.4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1226.3600000000001</v>
      </c>
      <c r="J178" s="20">
        <f t="shared" si="26"/>
        <v>63</v>
      </c>
      <c r="K178" s="19">
        <f t="shared" si="23"/>
        <v>630</v>
      </c>
      <c r="L178" s="8">
        <f t="shared" si="29"/>
        <v>2.4653836035839576</v>
      </c>
      <c r="M178" s="9">
        <f t="shared" si="30"/>
        <v>43681453.200000003</v>
      </c>
      <c r="N178" s="10">
        <f t="shared" si="27"/>
        <v>64010085.299999997</v>
      </c>
      <c r="O178" s="11">
        <f t="shared" si="28"/>
        <v>101603.31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228100</v>
      </c>
      <c r="D179" s="39">
        <f t="shared" si="21"/>
        <v>247250.45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68.62</v>
      </c>
      <c r="J179" s="20">
        <f t="shared" si="26"/>
        <v>7</v>
      </c>
      <c r="K179" s="19">
        <f t="shared" si="23"/>
        <v>70</v>
      </c>
      <c r="L179" s="8">
        <f t="shared" si="29"/>
        <v>3.2454092601247035</v>
      </c>
      <c r="M179" s="9">
        <f t="shared" si="30"/>
        <v>1730753.1500000001</v>
      </c>
      <c r="N179" s="10">
        <f t="shared" si="27"/>
        <v>3886249.1499999994</v>
      </c>
      <c r="O179" s="11">
        <f t="shared" si="28"/>
        <v>55517.844999999994</v>
      </c>
      <c r="P179" s="23">
        <f t="shared" si="24"/>
        <v>5617002.2999999998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7970000</v>
      </c>
      <c r="D180" s="39">
        <f t="shared" si="21"/>
        <v>8333665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2575.2000000000003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1.6854349196901963</v>
      </c>
      <c r="M180" s="9">
        <f t="shared" si="30"/>
        <v>93337048.000000015</v>
      </c>
      <c r="N180" s="10">
        <f t="shared" si="27"/>
        <v>63976472.000000007</v>
      </c>
      <c r="O180" s="11">
        <f t="shared" si="28"/>
        <v>571218.5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6800000</v>
      </c>
      <c r="D181" s="39">
        <f t="shared" si="21"/>
        <v>7111600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2746</v>
      </c>
      <c r="J181" s="20">
        <f t="shared" si="26"/>
        <v>14</v>
      </c>
      <c r="K181" s="19">
        <f t="shared" si="23"/>
        <v>140</v>
      </c>
      <c r="L181" s="8">
        <f t="shared" si="29"/>
        <v>1.8286117048202937</v>
      </c>
      <c r="M181" s="9">
        <f t="shared" si="30"/>
        <v>99562400</v>
      </c>
      <c r="N181" s="10">
        <f t="shared" si="27"/>
        <v>82498570</v>
      </c>
      <c r="O181" s="11">
        <f t="shared" si="28"/>
        <v>589275.5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9440000</v>
      </c>
      <c r="D182" s="39">
        <f t="shared" si="21"/>
        <v>9869080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1911</v>
      </c>
      <c r="J182" s="20">
        <f t="shared" si="26"/>
        <v>7</v>
      </c>
      <c r="K182" s="19">
        <f t="shared" si="23"/>
        <v>70</v>
      </c>
      <c r="L182" s="8">
        <f t="shared" si="29"/>
        <v>1.6371845197323358</v>
      </c>
      <c r="M182" s="9">
        <f t="shared" si="30"/>
        <v>69083560</v>
      </c>
      <c r="N182" s="10">
        <f t="shared" si="27"/>
        <v>44018975</v>
      </c>
      <c r="O182" s="11">
        <f t="shared" si="28"/>
        <v>628842.5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6624000</v>
      </c>
      <c r="D183" s="39">
        <f t="shared" si="21"/>
        <v>6927768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1347.8</v>
      </c>
      <c r="J183" s="20">
        <f t="shared" si="26"/>
        <v>7</v>
      </c>
      <c r="K183" s="19">
        <f t="shared" si="23"/>
        <v>70</v>
      </c>
      <c r="L183" s="8">
        <f t="shared" si="29"/>
        <v>2.1019497188704932</v>
      </c>
      <c r="M183" s="9">
        <f t="shared" si="30"/>
        <v>48494376</v>
      </c>
      <c r="N183" s="10">
        <f t="shared" si="27"/>
        <v>53438364</v>
      </c>
      <c r="O183" s="11">
        <f t="shared" si="28"/>
        <v>763405.2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46000</v>
      </c>
      <c r="D184" s="39">
        <f t="shared" si="21"/>
        <v>52547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71</v>
      </c>
      <c r="J184" s="20">
        <f t="shared" si="26"/>
        <v>35</v>
      </c>
      <c r="K184" s="19">
        <f t="shared" si="23"/>
        <v>175</v>
      </c>
      <c r="L184" s="8">
        <f t="shared" si="29"/>
        <v>10.546558319218985</v>
      </c>
      <c r="M184" s="9">
        <f t="shared" si="30"/>
        <v>1839145</v>
      </c>
      <c r="N184" s="10">
        <f t="shared" si="27"/>
        <v>17557505</v>
      </c>
      <c r="O184" s="11">
        <f t="shared" si="28"/>
        <v>100328.6</v>
      </c>
      <c r="P184" s="23">
        <f t="shared" si="24"/>
        <v>19396650</v>
      </c>
      <c r="Q184">
        <f>VLOOKUP(B184,Buylist!B:B,1,FALSE)</f>
        <v>31117</v>
      </c>
      <c r="R184" t="str">
        <f>VLOOKUP(B184,Buylist!B:M,12,FALSE)</f>
        <v>x</v>
      </c>
    </row>
    <row r="185" spans="1:18">
      <c r="A185" s="28" t="s">
        <v>17457</v>
      </c>
      <c r="B185" s="73">
        <f>VLOOKUP(A185,TypeIDs!B:C,2,FALSE)</f>
        <v>31153</v>
      </c>
      <c r="C185" s="39">
        <v>146700</v>
      </c>
      <c r="D185" s="39">
        <f t="shared" si="21"/>
        <v>157728.15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107.02</v>
      </c>
      <c r="J185" s="20">
        <f t="shared" si="26"/>
        <v>21</v>
      </c>
      <c r="K185" s="19">
        <f t="shared" si="23"/>
        <v>105</v>
      </c>
      <c r="L185" s="8">
        <f t="shared" si="29"/>
        <v>2.5739980466391068</v>
      </c>
      <c r="M185" s="9">
        <f t="shared" si="30"/>
        <v>3312291.15</v>
      </c>
      <c r="N185" s="10">
        <f t="shared" si="27"/>
        <v>5213539.8000000007</v>
      </c>
      <c r="O185" s="11">
        <f t="shared" si="28"/>
        <v>49652.76</v>
      </c>
      <c r="P185" s="23">
        <f t="shared" si="24"/>
        <v>8525830.9500000011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227900</v>
      </c>
      <c r="D186" s="39">
        <f t="shared" si="21"/>
        <v>242541.55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155.73999999999998</v>
      </c>
      <c r="J186" s="20">
        <f t="shared" si="26"/>
        <v>21</v>
      </c>
      <c r="K186" s="19">
        <f t="shared" si="23"/>
        <v>105</v>
      </c>
      <c r="L186" s="8">
        <f t="shared" si="29"/>
        <v>3.8386791871330912</v>
      </c>
      <c r="M186" s="9">
        <f t="shared" si="30"/>
        <v>5093372.55</v>
      </c>
      <c r="N186" s="10">
        <f t="shared" si="27"/>
        <v>14458450.649999999</v>
      </c>
      <c r="O186" s="11">
        <f t="shared" si="28"/>
        <v>137699.52999999997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1841000</v>
      </c>
      <c r="D187" s="39">
        <f t="shared" si="21"/>
        <v>1927424.5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1123.5999999999999</v>
      </c>
      <c r="J187" s="20">
        <f t="shared" si="26"/>
        <v>21</v>
      </c>
      <c r="K187" s="19">
        <f t="shared" si="23"/>
        <v>105</v>
      </c>
      <c r="L187" s="8">
        <f t="shared" si="29"/>
        <v>1.28842634302926</v>
      </c>
      <c r="M187" s="9">
        <f t="shared" si="30"/>
        <v>40475914.5</v>
      </c>
      <c r="N187" s="10">
        <f t="shared" si="27"/>
        <v>11674320</v>
      </c>
      <c r="O187" s="11">
        <f t="shared" si="28"/>
        <v>111184</v>
      </c>
      <c r="P187" s="23">
        <f t="shared" si="24"/>
        <v>52150234.5</v>
      </c>
      <c r="Q187">
        <f>VLOOKUP(B187,Buylist!B:B,1,FALSE)</f>
        <v>31165</v>
      </c>
      <c r="R187" t="str">
        <f>VLOOKUP(B187,Buylist!B:M,12,FALSE)</f>
        <v>x</v>
      </c>
    </row>
    <row r="188" spans="1:18">
      <c r="A188" s="18" t="s">
        <v>17475</v>
      </c>
      <c r="B188" s="73">
        <f>VLOOKUP(A188,TypeIDs!B:C,2,FALSE)</f>
        <v>31171</v>
      </c>
      <c r="C188" s="39">
        <v>1675000</v>
      </c>
      <c r="D188" s="39">
        <f t="shared" si="21"/>
        <v>1754037.5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686</v>
      </c>
      <c r="J188" s="20">
        <f t="shared" si="26"/>
        <v>14</v>
      </c>
      <c r="K188" s="19">
        <f t="shared" si="23"/>
        <v>70</v>
      </c>
      <c r="L188" s="8">
        <f t="shared" si="29"/>
        <v>1.3613132558454424</v>
      </c>
      <c r="M188" s="9">
        <f t="shared" si="30"/>
        <v>24556525</v>
      </c>
      <c r="N188" s="10">
        <f t="shared" si="27"/>
        <v>8872598</v>
      </c>
      <c r="O188" s="11">
        <f t="shared" si="28"/>
        <v>126751.4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1978000</v>
      </c>
      <c r="D189" s="39">
        <f t="shared" si="21"/>
        <v>2070521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1205.8</v>
      </c>
      <c r="J189" s="20">
        <f t="shared" si="26"/>
        <v>21</v>
      </c>
      <c r="K189" s="19">
        <f t="shared" si="23"/>
        <v>105</v>
      </c>
      <c r="L189" s="8">
        <f t="shared" si="29"/>
        <v>3.7628920450456671</v>
      </c>
      <c r="M189" s="9">
        <f t="shared" si="30"/>
        <v>43480941</v>
      </c>
      <c r="N189" s="10">
        <f t="shared" si="27"/>
        <v>120133146</v>
      </c>
      <c r="O189" s="11">
        <f t="shared" si="28"/>
        <v>1144125.2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894400</v>
      </c>
      <c r="D190" s="39">
        <f t="shared" si="21"/>
        <v>943200.8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201.88</v>
      </c>
      <c r="J190" s="20">
        <f t="shared" si="26"/>
        <v>7</v>
      </c>
      <c r="K190" s="19">
        <f t="shared" si="23"/>
        <v>70</v>
      </c>
      <c r="L190" s="8">
        <f t="shared" si="29"/>
        <v>5.5686800732145265</v>
      </c>
      <c r="M190" s="9">
        <f t="shared" si="30"/>
        <v>6602405.6000000006</v>
      </c>
      <c r="N190" s="10">
        <f t="shared" si="27"/>
        <v>30164278.900000002</v>
      </c>
      <c r="O190" s="11">
        <f t="shared" si="28"/>
        <v>430918.27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2644000</v>
      </c>
      <c r="D191" s="39">
        <f t="shared" si="21"/>
        <v>2779658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571.79999999999995</v>
      </c>
      <c r="J191" s="20">
        <f t="shared" si="26"/>
        <v>7</v>
      </c>
      <c r="K191" s="19">
        <f t="shared" si="23"/>
        <v>140</v>
      </c>
      <c r="L191" s="8">
        <f t="shared" si="29"/>
        <v>2.9218522566445224</v>
      </c>
      <c r="M191" s="9">
        <f t="shared" si="30"/>
        <v>19457606</v>
      </c>
      <c r="N191" s="10">
        <f t="shared" si="27"/>
        <v>37394644</v>
      </c>
      <c r="O191" s="11">
        <f t="shared" si="28"/>
        <v>267104.59999999998</v>
      </c>
      <c r="P191" s="23">
        <f t="shared" si="24"/>
        <v>56852250</v>
      </c>
      <c r="Q191">
        <f>VLOOKUP(B191,Buylist!B:B,1,FALSE)</f>
        <v>25948</v>
      </c>
      <c r="R191" t="str">
        <f>VLOOKUP(B191,Buylist!B:M,12,FALSE)</f>
        <v>x</v>
      </c>
    </row>
    <row r="192" spans="1:18">
      <c r="A192" s="18" t="s">
        <v>13866</v>
      </c>
      <c r="B192" s="73">
        <f>VLOOKUP(A192,TypeIDs!B:C,2,FALSE)</f>
        <v>26374</v>
      </c>
      <c r="C192" s="39">
        <v>41520000</v>
      </c>
      <c r="D192" s="39">
        <f t="shared" si="21"/>
        <v>43385640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8347</v>
      </c>
      <c r="J192" s="20">
        <f t="shared" si="26"/>
        <v>7</v>
      </c>
      <c r="K192" s="19">
        <f t="shared" si="23"/>
        <v>140</v>
      </c>
      <c r="L192" s="8">
        <f t="shared" si="29"/>
        <v>1.1672410502645576</v>
      </c>
      <c r="M192" s="9">
        <f t="shared" si="30"/>
        <v>303699480</v>
      </c>
      <c r="N192" s="10">
        <f t="shared" si="27"/>
        <v>50791020</v>
      </c>
      <c r="O192" s="11">
        <f t="shared" si="28"/>
        <v>362793</v>
      </c>
      <c r="P192" s="23">
        <f t="shared" si="24"/>
        <v>354490500</v>
      </c>
      <c r="Q192">
        <f>VLOOKUP(B192,Buylist!B:B,1,FALSE)</f>
        <v>26374</v>
      </c>
      <c r="R192" t="str">
        <f>VLOOKUP(B192,Buylist!B:M,12,FALSE)</f>
        <v>x</v>
      </c>
    </row>
    <row r="193" spans="1:18">
      <c r="A193" s="28" t="s">
        <v>17663</v>
      </c>
      <c r="B193" s="73">
        <f>VLOOKUP(A193,TypeIDs!B:C,2,FALSE)</f>
        <v>31360</v>
      </c>
      <c r="C193" s="39">
        <v>2580000</v>
      </c>
      <c r="D193" s="39">
        <f t="shared" si="21"/>
        <v>2703810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2615</v>
      </c>
      <c r="J193" s="20">
        <f t="shared" si="26"/>
        <v>35</v>
      </c>
      <c r="K193" s="19">
        <f t="shared" si="23"/>
        <v>350</v>
      </c>
      <c r="L193" s="8">
        <f t="shared" si="29"/>
        <v>1.3358150165877041</v>
      </c>
      <c r="M193" s="9">
        <f t="shared" si="30"/>
        <v>94633350</v>
      </c>
      <c r="N193" s="10">
        <f t="shared" si="27"/>
        <v>31779300</v>
      </c>
      <c r="O193" s="11">
        <f t="shared" si="28"/>
        <v>90798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449100</v>
      </c>
      <c r="D194" s="39">
        <f t="shared" ref="D194:D257" si="31">(C194+(C194*TaxRate))+(G194*ShippingCost)</f>
        <v>478084.95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484.1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1.9981990648314698</v>
      </c>
      <c r="M194" s="9">
        <f t="shared" si="30"/>
        <v>16732973.25</v>
      </c>
      <c r="N194" s="10">
        <f t="shared" si="27"/>
        <v>16702838.25</v>
      </c>
      <c r="O194" s="11">
        <f t="shared" si="28"/>
        <v>47722.395000000004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499600</v>
      </c>
      <c r="D195" s="39">
        <f t="shared" si="31"/>
        <v>530832.19999999995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328.76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1.7998238426380315</v>
      </c>
      <c r="M195" s="9">
        <f t="shared" si="30"/>
        <v>11147476.199999999</v>
      </c>
      <c r="N195" s="10">
        <f t="shared" ref="N195:N258" si="37">(F195-D195)*J195</f>
        <v>8916017.25</v>
      </c>
      <c r="O195" s="11">
        <f t="shared" ref="O195:O258" si="38">(F195-D195)/G195</f>
        <v>42457.224999999999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249900</v>
      </c>
      <c r="D196" s="39">
        <f t="shared" si="31"/>
        <v>265520.55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433.84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1.3494718205427039</v>
      </c>
      <c r="M196" s="9">
        <f t="shared" ref="M196:M259" si="40">D196*J196</f>
        <v>14869150.799999999</v>
      </c>
      <c r="N196" s="10">
        <f t="shared" si="37"/>
        <v>5196349.2000000011</v>
      </c>
      <c r="O196" s="11">
        <f t="shared" si="38"/>
        <v>18558.390000000003</v>
      </c>
      <c r="P196" s="23">
        <f t="shared" si="34"/>
        <v>20065500</v>
      </c>
      <c r="Q196">
        <f>VLOOKUP(B196,Buylist!B:B,1,FALSE)</f>
        <v>4395</v>
      </c>
      <c r="R196">
        <f>VLOOKUP(B196,Buylist!B:M,12,FALSE)</f>
        <v>0</v>
      </c>
    </row>
    <row r="197" spans="1:18">
      <c r="A197" s="18" t="s">
        <v>17711</v>
      </c>
      <c r="B197" s="73">
        <f>VLOOKUP(A197,TypeIDs!B:C,2,FALSE)</f>
        <v>31408</v>
      </c>
      <c r="C197" s="39">
        <v>1072000</v>
      </c>
      <c r="D197" s="39">
        <f t="shared" si="31"/>
        <v>1128704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237.4</v>
      </c>
      <c r="J197" s="20">
        <f t="shared" si="36"/>
        <v>7</v>
      </c>
      <c r="K197" s="19">
        <f t="shared" si="33"/>
        <v>70</v>
      </c>
      <c r="L197" s="8">
        <f t="shared" si="39"/>
        <v>2.6268326328249034</v>
      </c>
      <c r="M197" s="9">
        <f t="shared" si="40"/>
        <v>7900928</v>
      </c>
      <c r="N197" s="10">
        <f t="shared" si="37"/>
        <v>12853487.5</v>
      </c>
      <c r="O197" s="11">
        <f t="shared" si="38"/>
        <v>183621.25</v>
      </c>
      <c r="P197" s="23">
        <f t="shared" si="34"/>
        <v>20754415.5</v>
      </c>
      <c r="Q197">
        <f>VLOOKUP(B197,Buylist!B:B,1,FALSE)</f>
        <v>31408</v>
      </c>
      <c r="R197" t="str">
        <f>VLOOKUP(B197,Buylist!B:M,12,FALSE)</f>
        <v>x</v>
      </c>
    </row>
    <row r="198" spans="1:18">
      <c r="A198" s="28" t="s">
        <v>17669</v>
      </c>
      <c r="B198" s="73">
        <f>VLOOKUP(A198,TypeIDs!B:C,2,FALSE)</f>
        <v>31366</v>
      </c>
      <c r="C198" s="39">
        <v>19240000</v>
      </c>
      <c r="D198" s="39">
        <f t="shared" si="31"/>
        <v>20105180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15424</v>
      </c>
      <c r="J198" s="20">
        <f t="shared" si="36"/>
        <v>28</v>
      </c>
      <c r="K198" s="19">
        <f t="shared" si="33"/>
        <v>280</v>
      </c>
      <c r="L198" s="8">
        <f t="shared" si="39"/>
        <v>1.3202463245790388</v>
      </c>
      <c r="M198" s="9">
        <f t="shared" si="40"/>
        <v>562945040</v>
      </c>
      <c r="N198" s="10">
        <f t="shared" si="37"/>
        <v>180281080</v>
      </c>
      <c r="O198" s="11">
        <f t="shared" si="38"/>
        <v>643861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7994000</v>
      </c>
      <c r="D199" s="39">
        <f t="shared" si="31"/>
        <v>8358733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4024.5</v>
      </c>
      <c r="J199" s="20">
        <f t="shared" si="36"/>
        <v>17.5</v>
      </c>
      <c r="K199" s="19">
        <f t="shared" si="33"/>
        <v>175</v>
      </c>
      <c r="L199" s="8">
        <f t="shared" si="39"/>
        <v>1.2425669057738775</v>
      </c>
      <c r="M199" s="9">
        <f t="shared" si="40"/>
        <v>146277827.5</v>
      </c>
      <c r="N199" s="10">
        <f t="shared" si="37"/>
        <v>35482160</v>
      </c>
      <c r="O199" s="11">
        <f t="shared" si="38"/>
        <v>202755.20000000001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5199000</v>
      </c>
      <c r="D200" s="39">
        <f t="shared" si="31"/>
        <v>5434855.5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1052.8</v>
      </c>
      <c r="J200" s="20">
        <f t="shared" si="36"/>
        <v>7</v>
      </c>
      <c r="K200" s="19">
        <f t="shared" si="33"/>
        <v>35</v>
      </c>
      <c r="L200" s="8">
        <f t="shared" si="39"/>
        <v>1.2287335882251147</v>
      </c>
      <c r="M200" s="9">
        <f t="shared" si="40"/>
        <v>38043988.5</v>
      </c>
      <c r="N200" s="10">
        <f t="shared" si="37"/>
        <v>8701938</v>
      </c>
      <c r="O200" s="11">
        <f t="shared" si="38"/>
        <v>248626.8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508700</v>
      </c>
      <c r="D201" s="39">
        <f t="shared" si="31"/>
        <v>535837.15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533.70000000000005</v>
      </c>
      <c r="J201" s="20">
        <f t="shared" si="36"/>
        <v>35</v>
      </c>
      <c r="K201" s="19">
        <f t="shared" si="33"/>
        <v>175</v>
      </c>
      <c r="L201" s="8">
        <f t="shared" si="39"/>
        <v>1.3192047247937175</v>
      </c>
      <c r="M201" s="9">
        <f t="shared" si="40"/>
        <v>18754300.25</v>
      </c>
      <c r="N201" s="10">
        <f t="shared" si="37"/>
        <v>5986461.25</v>
      </c>
      <c r="O201" s="11">
        <f t="shared" si="38"/>
        <v>34208.35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50920</v>
      </c>
      <c r="D202" s="39">
        <f t="shared" si="31"/>
        <v>57685.94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62.735999999999997</v>
      </c>
      <c r="J202" s="20">
        <f t="shared" si="36"/>
        <v>28</v>
      </c>
      <c r="K202" s="19">
        <f t="shared" si="33"/>
        <v>140</v>
      </c>
      <c r="L202" s="8">
        <f t="shared" si="39"/>
        <v>3.3939283991905134</v>
      </c>
      <c r="M202" s="9">
        <f t="shared" si="40"/>
        <v>1615206.32</v>
      </c>
      <c r="N202" s="10">
        <f t="shared" si="37"/>
        <v>3866688.2800000003</v>
      </c>
      <c r="O202" s="11">
        <f t="shared" si="38"/>
        <v>27619.202000000001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3132000</v>
      </c>
      <c r="D203" s="39">
        <f t="shared" si="31"/>
        <v>3275874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1898.1999999999998</v>
      </c>
      <c r="J203" s="20">
        <f t="shared" si="36"/>
        <v>21</v>
      </c>
      <c r="K203" s="19">
        <f t="shared" si="33"/>
        <v>105</v>
      </c>
      <c r="L203" s="8">
        <f t="shared" si="39"/>
        <v>1.0202892418939189</v>
      </c>
      <c r="M203" s="9">
        <f t="shared" si="40"/>
        <v>68793354</v>
      </c>
      <c r="N203" s="10">
        <f t="shared" si="37"/>
        <v>1395765</v>
      </c>
      <c r="O203" s="11">
        <f t="shared" si="38"/>
        <v>13293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634900</v>
      </c>
      <c r="D204" s="39">
        <f t="shared" si="31"/>
        <v>672153.05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409.94</v>
      </c>
      <c r="J204" s="20">
        <f t="shared" si="36"/>
        <v>21</v>
      </c>
      <c r="K204" s="19">
        <f t="shared" si="33"/>
        <v>210</v>
      </c>
      <c r="L204" s="8">
        <f t="shared" si="39"/>
        <v>2.0257105134016724</v>
      </c>
      <c r="M204" s="9">
        <f t="shared" si="40"/>
        <v>14115214.050000001</v>
      </c>
      <c r="N204" s="10">
        <f t="shared" si="37"/>
        <v>14478123.449999999</v>
      </c>
      <c r="O204" s="11">
        <f t="shared" si="38"/>
        <v>68943.444999999992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639900</v>
      </c>
      <c r="D205" s="39">
        <f t="shared" si="31"/>
        <v>677375.55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281.96000000000004</v>
      </c>
      <c r="J205" s="20">
        <f t="shared" si="36"/>
        <v>14</v>
      </c>
      <c r="K205" s="19">
        <f t="shared" si="33"/>
        <v>140</v>
      </c>
      <c r="L205" s="8">
        <f t="shared" si="39"/>
        <v>4.2303630534051599</v>
      </c>
      <c r="M205" s="9">
        <f t="shared" si="40"/>
        <v>9483257.7000000011</v>
      </c>
      <c r="N205" s="10">
        <f t="shared" si="37"/>
        <v>30634365.300000004</v>
      </c>
      <c r="O205" s="11">
        <f t="shared" si="38"/>
        <v>218816.89500000002</v>
      </c>
      <c r="P205" s="23">
        <f t="shared" si="34"/>
        <v>40117623.000000007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539800</v>
      </c>
      <c r="D206" s="39">
        <f t="shared" si="31"/>
        <v>572821.1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907.68</v>
      </c>
      <c r="J206" s="20">
        <f t="shared" si="36"/>
        <v>56</v>
      </c>
      <c r="K206" s="19">
        <f t="shared" si="33"/>
        <v>560</v>
      </c>
      <c r="L206" s="8">
        <f t="shared" si="39"/>
        <v>1.9833234145879055</v>
      </c>
      <c r="M206" s="9">
        <f t="shared" si="40"/>
        <v>32077981.599999998</v>
      </c>
      <c r="N206" s="10">
        <f t="shared" si="37"/>
        <v>31543030.400000002</v>
      </c>
      <c r="O206" s="11">
        <f t="shared" si="38"/>
        <v>56326.840000000004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463400</v>
      </c>
      <c r="D207" s="39">
        <f t="shared" si="31"/>
        <v>493021.3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211.36</v>
      </c>
      <c r="J207" s="20">
        <f t="shared" si="36"/>
        <v>14</v>
      </c>
      <c r="K207" s="19">
        <f t="shared" si="33"/>
        <v>140</v>
      </c>
      <c r="L207" s="8">
        <f t="shared" si="39"/>
        <v>6.4730874710686948</v>
      </c>
      <c r="M207" s="9">
        <f t="shared" si="40"/>
        <v>6902298.2000000002</v>
      </c>
      <c r="N207" s="10">
        <f t="shared" si="37"/>
        <v>37776881.800000004</v>
      </c>
      <c r="O207" s="11">
        <f t="shared" si="38"/>
        <v>269834.87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1375000</v>
      </c>
      <c r="D208" s="39">
        <f t="shared" si="31"/>
        <v>1445187.5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576</v>
      </c>
      <c r="J208" s="20">
        <f t="shared" si="36"/>
        <v>14</v>
      </c>
      <c r="K208" s="19">
        <f t="shared" si="33"/>
        <v>140</v>
      </c>
      <c r="L208" s="8">
        <f t="shared" si="39"/>
        <v>1.3209974484279721</v>
      </c>
      <c r="M208" s="9">
        <f t="shared" si="40"/>
        <v>20232625</v>
      </c>
      <c r="N208" s="10">
        <f t="shared" si="37"/>
        <v>6494621</v>
      </c>
      <c r="O208" s="11">
        <f t="shared" si="38"/>
        <v>46390.15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30850000</v>
      </c>
      <c r="D209" s="39">
        <f t="shared" si="31"/>
        <v>32231825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6193</v>
      </c>
      <c r="J209" s="20">
        <f t="shared" si="36"/>
        <v>7</v>
      </c>
      <c r="K209" s="19">
        <f t="shared" si="33"/>
        <v>70</v>
      </c>
      <c r="L209" s="8">
        <f t="shared" si="39"/>
        <v>0.93765913037812787</v>
      </c>
      <c r="M209" s="9">
        <f t="shared" si="40"/>
        <v>225622775</v>
      </c>
      <c r="N209" s="10">
        <f t="shared" si="37"/>
        <v>-14065520</v>
      </c>
      <c r="O209" s="11">
        <f t="shared" si="38"/>
        <v>-200936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391400</v>
      </c>
      <c r="D210" s="39">
        <f t="shared" si="31"/>
        <v>413317.3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213.2</v>
      </c>
      <c r="J210" s="20">
        <f t="shared" si="36"/>
        <v>17.5</v>
      </c>
      <c r="K210" s="19">
        <f t="shared" si="33"/>
        <v>87.5</v>
      </c>
      <c r="L210" s="8">
        <f t="shared" si="39"/>
        <v>2.0806049008836554</v>
      </c>
      <c r="M210" s="9">
        <f t="shared" si="40"/>
        <v>7233052.75</v>
      </c>
      <c r="N210" s="10">
        <f t="shared" si="37"/>
        <v>7816072.25</v>
      </c>
      <c r="O210" s="11">
        <f t="shared" si="38"/>
        <v>89326.540000000008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24330</v>
      </c>
      <c r="D211" s="39">
        <f t="shared" si="31"/>
        <v>29912.685000000001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33.597999999999999</v>
      </c>
      <c r="J211" s="20">
        <f t="shared" si="36"/>
        <v>21</v>
      </c>
      <c r="K211" s="19">
        <f t="shared" si="33"/>
        <v>105</v>
      </c>
      <c r="L211" s="8">
        <f t="shared" si="39"/>
        <v>6.2544335287855297</v>
      </c>
      <c r="M211" s="9">
        <f t="shared" si="40"/>
        <v>628166.38500000001</v>
      </c>
      <c r="N211" s="10">
        <f t="shared" si="37"/>
        <v>3300658.5150000001</v>
      </c>
      <c r="O211" s="11">
        <f t="shared" si="38"/>
        <v>31434.843000000001</v>
      </c>
      <c r="P211" s="23">
        <f t="shared" si="34"/>
        <v>3928824.9000000004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3566000</v>
      </c>
      <c r="D212" s="39">
        <f t="shared" si="31"/>
        <v>3742687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1114.3</v>
      </c>
      <c r="J212" s="20">
        <f t="shared" si="36"/>
        <v>10.5</v>
      </c>
      <c r="K212" s="19">
        <f t="shared" si="33"/>
        <v>210</v>
      </c>
      <c r="L212" s="8">
        <f t="shared" si="39"/>
        <v>1.1355649029694441</v>
      </c>
      <c r="M212" s="9">
        <f t="shared" si="40"/>
        <v>39298213.5</v>
      </c>
      <c r="N212" s="10">
        <f t="shared" si="37"/>
        <v>5327458.5</v>
      </c>
      <c r="O212" s="11">
        <f t="shared" si="38"/>
        <v>25368.85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801800</v>
      </c>
      <c r="D213" s="39">
        <f t="shared" si="31"/>
        <v>846480.1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3940.64</v>
      </c>
      <c r="J213" s="20">
        <f t="shared" si="36"/>
        <v>168</v>
      </c>
      <c r="K213" s="19">
        <f t="shared" si="33"/>
        <v>1680</v>
      </c>
      <c r="L213" s="8">
        <f t="shared" si="39"/>
        <v>1.5577330169959105</v>
      </c>
      <c r="M213" s="9">
        <f t="shared" si="40"/>
        <v>142208656.79999998</v>
      </c>
      <c r="N213" s="10">
        <f t="shared" si="37"/>
        <v>79314463.200000003</v>
      </c>
      <c r="O213" s="11">
        <f t="shared" si="38"/>
        <v>47210.990000000005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121400</v>
      </c>
      <c r="D214" s="39">
        <f t="shared" si="31"/>
        <v>135802.29999999999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265.52</v>
      </c>
      <c r="J214" s="20">
        <f t="shared" si="36"/>
        <v>63</v>
      </c>
      <c r="K214" s="19">
        <f t="shared" si="33"/>
        <v>630</v>
      </c>
      <c r="L214" s="8">
        <f t="shared" si="39"/>
        <v>2.8122745343782838</v>
      </c>
      <c r="M214" s="9">
        <f t="shared" si="40"/>
        <v>8555544.8999999985</v>
      </c>
      <c r="N214" s="10">
        <f t="shared" si="37"/>
        <v>15504996.149999999</v>
      </c>
      <c r="O214" s="11">
        <f t="shared" si="38"/>
        <v>24611.105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97990</v>
      </c>
      <c r="D215" s="39">
        <f t="shared" si="31"/>
        <v>111350.55499999999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110.392</v>
      </c>
      <c r="J215" s="20">
        <f t="shared" si="36"/>
        <v>28</v>
      </c>
      <c r="K215" s="19">
        <f t="shared" si="33"/>
        <v>280</v>
      </c>
      <c r="L215" s="8">
        <f t="shared" si="39"/>
        <v>11.086662298180732</v>
      </c>
      <c r="M215" s="9">
        <f t="shared" si="40"/>
        <v>3117815.54</v>
      </c>
      <c r="N215" s="10">
        <f t="shared" si="37"/>
        <v>31448352.460000001</v>
      </c>
      <c r="O215" s="11">
        <f t="shared" si="38"/>
        <v>112315.5445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17480000</v>
      </c>
      <c r="D216" s="39">
        <f t="shared" si="31"/>
        <v>18266860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31511</v>
      </c>
      <c r="J216" s="20">
        <f t="shared" si="36"/>
        <v>63</v>
      </c>
      <c r="K216" s="19">
        <f t="shared" si="33"/>
        <v>630</v>
      </c>
      <c r="L216" s="8">
        <f t="shared" si="39"/>
        <v>1.2015110971453222</v>
      </c>
      <c r="M216" s="9">
        <f t="shared" si="40"/>
        <v>1150812180</v>
      </c>
      <c r="N216" s="10">
        <f t="shared" si="37"/>
        <v>231901425</v>
      </c>
      <c r="O216" s="11">
        <f t="shared" si="38"/>
        <v>368097.5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17760000</v>
      </c>
      <c r="D217" s="39">
        <f t="shared" si="31"/>
        <v>18559320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10685</v>
      </c>
      <c r="J217" s="20">
        <f t="shared" si="36"/>
        <v>21</v>
      </c>
      <c r="K217" s="19">
        <f t="shared" si="33"/>
        <v>210</v>
      </c>
      <c r="L217" s="8">
        <f t="shared" si="39"/>
        <v>1.4183722787257291</v>
      </c>
      <c r="M217" s="9">
        <f t="shared" si="40"/>
        <v>389745720</v>
      </c>
      <c r="N217" s="10">
        <f t="shared" si="37"/>
        <v>163058805</v>
      </c>
      <c r="O217" s="11">
        <f t="shared" si="38"/>
        <v>776470.5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3751000</v>
      </c>
      <c r="D218" s="39">
        <f t="shared" si="31"/>
        <v>3926919.5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9058.4</v>
      </c>
      <c r="J218" s="20">
        <f t="shared" si="36"/>
        <v>84</v>
      </c>
      <c r="K218" s="19">
        <f t="shared" si="33"/>
        <v>840</v>
      </c>
      <c r="L218" s="8">
        <f t="shared" si="39"/>
        <v>1.5808532616978779</v>
      </c>
      <c r="M218" s="9">
        <f t="shared" si="40"/>
        <v>329861238</v>
      </c>
      <c r="N218" s="10">
        <f t="shared" si="37"/>
        <v>191600976</v>
      </c>
      <c r="O218" s="11">
        <f t="shared" si="38"/>
        <v>228096.4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3708000</v>
      </c>
      <c r="D219" s="39">
        <f t="shared" si="31"/>
        <v>3882006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2253.7999999999997</v>
      </c>
      <c r="J219" s="20">
        <f t="shared" si="36"/>
        <v>21</v>
      </c>
      <c r="K219" s="19">
        <f t="shared" si="33"/>
        <v>210</v>
      </c>
      <c r="L219" s="8">
        <f t="shared" si="39"/>
        <v>1.3456234998091192</v>
      </c>
      <c r="M219" s="9">
        <f t="shared" si="40"/>
        <v>81522126</v>
      </c>
      <c r="N219" s="10">
        <f t="shared" si="37"/>
        <v>28175962.5</v>
      </c>
      <c r="O219" s="11">
        <f t="shared" si="38"/>
        <v>134171.25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159800</v>
      </c>
      <c r="D220" s="39">
        <f t="shared" si="31"/>
        <v>171411.1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219.76</v>
      </c>
      <c r="J220" s="20">
        <f t="shared" si="36"/>
        <v>42</v>
      </c>
      <c r="K220" s="19">
        <f t="shared" si="33"/>
        <v>210</v>
      </c>
      <c r="L220" s="8">
        <f t="shared" si="39"/>
        <v>1.8428695691235863</v>
      </c>
      <c r="M220" s="9">
        <f t="shared" si="40"/>
        <v>7199266.2000000002</v>
      </c>
      <c r="N220" s="10">
        <f t="shared" si="37"/>
        <v>6068042.3999999994</v>
      </c>
      <c r="O220" s="11">
        <f t="shared" si="38"/>
        <v>28895.439999999995</v>
      </c>
      <c r="P220" s="23">
        <f t="shared" si="34"/>
        <v>13267308.6</v>
      </c>
      <c r="Q220">
        <f>VLOOKUP(B220,Buylist!B:B,1,FALSE)</f>
        <v>31788</v>
      </c>
      <c r="R220" t="str">
        <f>VLOOKUP(B220,Buylist!B:M,12,FALSE)</f>
        <v>x</v>
      </c>
    </row>
    <row r="221" spans="1:18">
      <c r="A221" s="28" t="s">
        <v>18019</v>
      </c>
      <c r="B221" s="73">
        <f>VLOOKUP(A221,TypeIDs!B:C,2,FALSE)</f>
        <v>31716</v>
      </c>
      <c r="C221" s="39">
        <v>17100</v>
      </c>
      <c r="D221" s="39">
        <f t="shared" si="31"/>
        <v>22360.95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29.259999999999998</v>
      </c>
      <c r="J221" s="20">
        <f t="shared" si="36"/>
        <v>21</v>
      </c>
      <c r="K221" s="19">
        <f t="shared" si="33"/>
        <v>105</v>
      </c>
      <c r="L221" s="8">
        <f t="shared" si="39"/>
        <v>4.2722196507751233</v>
      </c>
      <c r="M221" s="9">
        <f t="shared" si="40"/>
        <v>469579.95</v>
      </c>
      <c r="N221" s="10">
        <f t="shared" si="37"/>
        <v>1536568.74</v>
      </c>
      <c r="O221" s="11">
        <f t="shared" si="38"/>
        <v>14633.988000000001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5570000</v>
      </c>
      <c r="D222" s="39">
        <f t="shared" si="31"/>
        <v>5822365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6712</v>
      </c>
      <c r="J222" s="20">
        <f t="shared" si="36"/>
        <v>42</v>
      </c>
      <c r="K222" s="19">
        <f t="shared" si="33"/>
        <v>210</v>
      </c>
      <c r="L222" s="8">
        <f t="shared" si="39"/>
        <v>1.31286856801317</v>
      </c>
      <c r="M222" s="9">
        <f t="shared" si="40"/>
        <v>244539330</v>
      </c>
      <c r="N222" s="10">
        <f t="shared" si="37"/>
        <v>76508670</v>
      </c>
      <c r="O222" s="11">
        <f t="shared" si="38"/>
        <v>364327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1585000</v>
      </c>
      <c r="D223" s="39">
        <f t="shared" si="31"/>
        <v>1660032.5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970</v>
      </c>
      <c r="J223" s="20">
        <f t="shared" si="36"/>
        <v>21</v>
      </c>
      <c r="K223" s="19">
        <f t="shared" si="33"/>
        <v>105</v>
      </c>
      <c r="L223" s="8">
        <f t="shared" si="39"/>
        <v>1.8994507637651672</v>
      </c>
      <c r="M223" s="9">
        <f t="shared" si="40"/>
        <v>34860682.5</v>
      </c>
      <c r="N223" s="10">
        <f t="shared" si="37"/>
        <v>31355467.5</v>
      </c>
      <c r="O223" s="11">
        <f t="shared" si="38"/>
        <v>298623.5</v>
      </c>
      <c r="P223" s="23">
        <f t="shared" si="34"/>
        <v>66216150</v>
      </c>
      <c r="Q223">
        <f>VLOOKUP(B223,Buylist!B:B,1,FALSE)</f>
        <v>31722</v>
      </c>
      <c r="R223" t="str">
        <f>VLOOKUP(B223,Buylist!B:M,12,FALSE)</f>
        <v>x</v>
      </c>
    </row>
    <row r="224" spans="1:18">
      <c r="A224" s="28" t="s">
        <v>17579</v>
      </c>
      <c r="B224" s="73">
        <f>VLOOKUP(A224,TypeIDs!B:C,2,FALSE)</f>
        <v>31276</v>
      </c>
      <c r="C224" s="39">
        <v>700300</v>
      </c>
      <c r="D224" s="39">
        <f t="shared" si="31"/>
        <v>740463.35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449.18</v>
      </c>
      <c r="J224" s="20">
        <f t="shared" si="36"/>
        <v>21</v>
      </c>
      <c r="K224" s="19">
        <f t="shared" si="33"/>
        <v>210</v>
      </c>
      <c r="L224" s="8">
        <f t="shared" si="39"/>
        <v>4.5112671680509235</v>
      </c>
      <c r="M224" s="9">
        <f t="shared" si="40"/>
        <v>15549730.35</v>
      </c>
      <c r="N224" s="10">
        <f t="shared" si="37"/>
        <v>54599257.649999999</v>
      </c>
      <c r="O224" s="11">
        <f t="shared" si="38"/>
        <v>259996.465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62200</v>
      </c>
      <c r="D225" s="39">
        <f t="shared" si="31"/>
        <v>69467.899999999994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40.879999999999995</v>
      </c>
      <c r="J225" s="20">
        <f t="shared" si="36"/>
        <v>14</v>
      </c>
      <c r="K225" s="19">
        <f t="shared" si="33"/>
        <v>70</v>
      </c>
      <c r="L225" s="8">
        <f t="shared" si="39"/>
        <v>1.7179438272928937</v>
      </c>
      <c r="M225" s="9">
        <f t="shared" si="40"/>
        <v>972550.59999999986</v>
      </c>
      <c r="N225" s="10">
        <f t="shared" si="37"/>
        <v>698236.70000000007</v>
      </c>
      <c r="O225" s="11">
        <f t="shared" si="38"/>
        <v>9974.8100000000013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244000</v>
      </c>
      <c r="D226" s="39">
        <f t="shared" si="31"/>
        <v>277358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257.2</v>
      </c>
      <c r="J226" s="20">
        <f t="shared" si="36"/>
        <v>28</v>
      </c>
      <c r="K226" s="19">
        <f t="shared" si="33"/>
        <v>700</v>
      </c>
      <c r="L226" s="8">
        <f t="shared" si="39"/>
        <v>1.7218140453853865</v>
      </c>
      <c r="M226" s="9">
        <f t="shared" si="40"/>
        <v>7766024</v>
      </c>
      <c r="N226" s="10">
        <f t="shared" si="37"/>
        <v>5605625.2000000011</v>
      </c>
      <c r="O226" s="11">
        <f t="shared" si="38"/>
        <v>8008.036000000001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338500</v>
      </c>
      <c r="D227" s="39">
        <f t="shared" si="31"/>
        <v>376063.25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191.4</v>
      </c>
      <c r="J227" s="20">
        <f t="shared" si="36"/>
        <v>14</v>
      </c>
      <c r="K227" s="19">
        <f t="shared" si="33"/>
        <v>350</v>
      </c>
      <c r="L227" s="8">
        <f t="shared" si="39"/>
        <v>1.7600093867188564</v>
      </c>
      <c r="M227" s="9">
        <f t="shared" si="40"/>
        <v>5264885.5</v>
      </c>
      <c r="N227" s="10">
        <f t="shared" si="37"/>
        <v>4001362.3999999994</v>
      </c>
      <c r="O227" s="11">
        <f t="shared" si="38"/>
        <v>11432.464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1084000</v>
      </c>
      <c r="D228" s="39">
        <f t="shared" si="31"/>
        <v>1136738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6604</v>
      </c>
      <c r="J228" s="20">
        <f t="shared" si="36"/>
        <v>210</v>
      </c>
      <c r="K228" s="19">
        <f t="shared" si="33"/>
        <v>1050</v>
      </c>
      <c r="L228" s="8">
        <f t="shared" si="39"/>
        <v>1.0086757018767738</v>
      </c>
      <c r="M228" s="9">
        <f t="shared" si="40"/>
        <v>238714980</v>
      </c>
      <c r="N228" s="10">
        <f t="shared" si="37"/>
        <v>2071020</v>
      </c>
      <c r="O228" s="11">
        <f t="shared" si="38"/>
        <v>1972.4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1468000</v>
      </c>
      <c r="D229" s="39">
        <f t="shared" si="31"/>
        <v>1555826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2126.1999999999998</v>
      </c>
      <c r="J229" s="20">
        <f t="shared" si="36"/>
        <v>49</v>
      </c>
      <c r="K229" s="19">
        <f t="shared" si="33"/>
        <v>1225</v>
      </c>
      <c r="L229" s="8">
        <f t="shared" si="39"/>
        <v>1.0434293423557648</v>
      </c>
      <c r="M229" s="9">
        <f t="shared" si="40"/>
        <v>76235474</v>
      </c>
      <c r="N229" s="10">
        <f t="shared" si="37"/>
        <v>3310856.5</v>
      </c>
      <c r="O229" s="11">
        <f t="shared" si="38"/>
        <v>2702.74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1411000</v>
      </c>
      <c r="D230" s="39">
        <f t="shared" si="31"/>
        <v>1478289.5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2006.3999999999999</v>
      </c>
      <c r="J230" s="20">
        <f t="shared" si="36"/>
        <v>49</v>
      </c>
      <c r="K230" s="19">
        <f t="shared" si="33"/>
        <v>245</v>
      </c>
      <c r="L230" s="8">
        <f t="shared" si="39"/>
        <v>1.1117308213310044</v>
      </c>
      <c r="M230" s="9">
        <f t="shared" si="40"/>
        <v>72436185.5</v>
      </c>
      <c r="N230" s="10">
        <f t="shared" si="37"/>
        <v>8093354.5</v>
      </c>
      <c r="O230" s="11">
        <f t="shared" si="38"/>
        <v>33034.1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898300</v>
      </c>
      <c r="D231" s="39">
        <f t="shared" si="31"/>
        <v>942774.35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557.98</v>
      </c>
      <c r="J231" s="20">
        <f t="shared" si="36"/>
        <v>21</v>
      </c>
      <c r="K231" s="19">
        <f t="shared" si="33"/>
        <v>105</v>
      </c>
      <c r="L231" s="8">
        <f t="shared" si="39"/>
        <v>1.4087623406385632</v>
      </c>
      <c r="M231" s="9">
        <f t="shared" si="40"/>
        <v>19798261.349999998</v>
      </c>
      <c r="N231" s="10">
        <f t="shared" si="37"/>
        <v>8092783.6500000004</v>
      </c>
      <c r="O231" s="11">
        <f t="shared" si="38"/>
        <v>77074.13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890000</v>
      </c>
      <c r="D232" s="39">
        <f t="shared" si="31"/>
        <v>934105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734</v>
      </c>
      <c r="J232" s="20">
        <f t="shared" si="36"/>
        <v>28</v>
      </c>
      <c r="K232" s="19">
        <f t="shared" si="33"/>
        <v>140</v>
      </c>
      <c r="L232" s="8">
        <f t="shared" si="39"/>
        <v>1.2254393242729671</v>
      </c>
      <c r="M232" s="9">
        <f t="shared" si="40"/>
        <v>26154940</v>
      </c>
      <c r="N232" s="10">
        <f t="shared" si="37"/>
        <v>5896352</v>
      </c>
      <c r="O232" s="11">
        <f t="shared" si="38"/>
        <v>42116.800000000003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2500000</v>
      </c>
      <c r="D233" s="39">
        <f t="shared" si="31"/>
        <v>2615750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513</v>
      </c>
      <c r="J233" s="20">
        <f t="shared" si="36"/>
        <v>7</v>
      </c>
      <c r="K233" s="19">
        <f t="shared" si="33"/>
        <v>35</v>
      </c>
      <c r="L233" s="8">
        <f t="shared" si="39"/>
        <v>1.8260707254133615</v>
      </c>
      <c r="M233" s="9">
        <f t="shared" si="40"/>
        <v>18310250</v>
      </c>
      <c r="N233" s="10">
        <f t="shared" si="37"/>
        <v>15125561.5</v>
      </c>
      <c r="O233" s="11">
        <f t="shared" si="38"/>
        <v>432158.9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2262000</v>
      </c>
      <c r="D234" s="39">
        <f t="shared" si="31"/>
        <v>2407659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1010.8</v>
      </c>
      <c r="J234" s="20">
        <f t="shared" si="36"/>
        <v>14</v>
      </c>
      <c r="K234" s="19">
        <f t="shared" si="33"/>
        <v>700</v>
      </c>
      <c r="L234" s="8">
        <f t="shared" si="39"/>
        <v>0.72863225232476858</v>
      </c>
      <c r="M234" s="9">
        <f t="shared" si="40"/>
        <v>33707226</v>
      </c>
      <c r="N234" s="10">
        <f t="shared" si="37"/>
        <v>-9147054</v>
      </c>
      <c r="O234" s="11">
        <f t="shared" si="38"/>
        <v>-13067.22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4922000</v>
      </c>
      <c r="D235" s="39">
        <f t="shared" si="31"/>
        <v>5186029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2074.8000000000002</v>
      </c>
      <c r="J235" s="20">
        <f t="shared" si="36"/>
        <v>14</v>
      </c>
      <c r="K235" s="19">
        <f t="shared" si="33"/>
        <v>700</v>
      </c>
      <c r="L235" s="8">
        <f t="shared" si="39"/>
        <v>1.2897151172891628</v>
      </c>
      <c r="M235" s="9">
        <f t="shared" si="40"/>
        <v>72604406</v>
      </c>
      <c r="N235" s="10">
        <f t="shared" si="37"/>
        <v>21034594</v>
      </c>
      <c r="O235" s="11">
        <f t="shared" si="38"/>
        <v>30049.42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54880</v>
      </c>
      <c r="D236" s="39">
        <f t="shared" si="31"/>
        <v>61822.16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65.903999999999996</v>
      </c>
      <c r="J236" s="20">
        <f t="shared" si="36"/>
        <v>28</v>
      </c>
      <c r="K236" s="19">
        <f t="shared" si="33"/>
        <v>140</v>
      </c>
      <c r="L236" s="8">
        <f t="shared" si="39"/>
        <v>1.3746231124891137</v>
      </c>
      <c r="M236" s="9">
        <f t="shared" si="40"/>
        <v>1731020.48</v>
      </c>
      <c r="N236" s="10">
        <f t="shared" si="37"/>
        <v>648480.2799999998</v>
      </c>
      <c r="O236" s="11">
        <f t="shared" si="38"/>
        <v>4632.0019999999986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4181</v>
      </c>
      <c r="D237" s="39">
        <f t="shared" si="31"/>
        <v>8867.0545000000002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17.6724</v>
      </c>
      <c r="J237" s="20">
        <f t="shared" si="36"/>
        <v>14</v>
      </c>
      <c r="K237" s="19">
        <f t="shared" si="33"/>
        <v>70</v>
      </c>
      <c r="L237" s="8">
        <f t="shared" si="39"/>
        <v>5.2801637793023604</v>
      </c>
      <c r="M237" s="9">
        <f t="shared" si="40"/>
        <v>124138.76300000001</v>
      </c>
      <c r="N237" s="10">
        <f t="shared" si="37"/>
        <v>531334.23699999996</v>
      </c>
      <c r="O237" s="11">
        <f t="shared" si="38"/>
        <v>7590.4891000000007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1242000</v>
      </c>
      <c r="D238" s="39">
        <f t="shared" si="31"/>
        <v>1301769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2021.2</v>
      </c>
      <c r="J238" s="20">
        <f t="shared" si="36"/>
        <v>56</v>
      </c>
      <c r="K238" s="19">
        <f t="shared" si="33"/>
        <v>280</v>
      </c>
      <c r="L238" s="8">
        <f t="shared" si="39"/>
        <v>0.95273354950071787</v>
      </c>
      <c r="M238" s="9">
        <f t="shared" si="40"/>
        <v>72899064</v>
      </c>
      <c r="N238" s="10">
        <f t="shared" si="37"/>
        <v>-3445680</v>
      </c>
      <c r="O238" s="11">
        <f t="shared" si="38"/>
        <v>-12306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68740000</v>
      </c>
      <c r="D239" s="39">
        <f t="shared" si="31"/>
        <v>71803430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13761</v>
      </c>
      <c r="J239" s="20">
        <f t="shared" si="36"/>
        <v>7</v>
      </c>
      <c r="K239" s="19">
        <f t="shared" si="33"/>
        <v>35</v>
      </c>
      <c r="L239" s="8">
        <f t="shared" si="39"/>
        <v>0.89690283597872689</v>
      </c>
      <c r="M239" s="9">
        <f t="shared" si="40"/>
        <v>502624010</v>
      </c>
      <c r="N239" s="10">
        <f t="shared" si="37"/>
        <v>-51819110</v>
      </c>
      <c r="O239" s="11">
        <f t="shared" si="38"/>
        <v>-1480546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33890</v>
      </c>
      <c r="D240" s="39">
        <f t="shared" si="31"/>
        <v>39898.105000000003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19.777999999999999</v>
      </c>
      <c r="J240" s="20">
        <f t="shared" si="36"/>
        <v>7</v>
      </c>
      <c r="K240" s="19">
        <f t="shared" si="33"/>
        <v>35</v>
      </c>
      <c r="L240" s="8">
        <f t="shared" si="39"/>
        <v>1.9158804660020818</v>
      </c>
      <c r="M240" s="9">
        <f t="shared" si="40"/>
        <v>279286.73500000004</v>
      </c>
      <c r="N240" s="10">
        <f t="shared" si="37"/>
        <v>255793.26499999998</v>
      </c>
      <c r="O240" s="11">
        <f t="shared" si="38"/>
        <v>7308.378999999999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972800</v>
      </c>
      <c r="D241" s="39">
        <f t="shared" si="31"/>
        <v>1020589.6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602.67999999999995</v>
      </c>
      <c r="J241" s="20">
        <f t="shared" si="36"/>
        <v>21</v>
      </c>
      <c r="K241" s="19">
        <f t="shared" si="33"/>
        <v>105</v>
      </c>
      <c r="L241" s="8">
        <f t="shared" si="39"/>
        <v>0.93622353196622821</v>
      </c>
      <c r="M241" s="9">
        <f t="shared" si="40"/>
        <v>21432381.599999998</v>
      </c>
      <c r="N241" s="10">
        <f t="shared" si="37"/>
        <v>-1366881.5999999996</v>
      </c>
      <c r="O241" s="11">
        <f t="shared" si="38"/>
        <v>-13017.919999999995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9124</v>
      </c>
      <c r="D242" s="39">
        <f t="shared" si="31"/>
        <v>14030.018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24.474399999999999</v>
      </c>
      <c r="J242" s="20">
        <f t="shared" si="36"/>
        <v>21</v>
      </c>
      <c r="K242" s="19">
        <f t="shared" si="33"/>
        <v>105</v>
      </c>
      <c r="L242" s="8">
        <f t="shared" si="39"/>
        <v>3.2621804191555559</v>
      </c>
      <c r="M242" s="9">
        <f t="shared" si="40"/>
        <v>294630.37800000003</v>
      </c>
      <c r="N242" s="10">
        <f t="shared" si="37"/>
        <v>666507.07199999993</v>
      </c>
      <c r="O242" s="11">
        <f t="shared" si="38"/>
        <v>6347.6863999999996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1597000</v>
      </c>
      <c r="D243" s="39">
        <f t="shared" si="31"/>
        <v>1672566.5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2266.7999999999997</v>
      </c>
      <c r="J243" s="20">
        <f t="shared" si="36"/>
        <v>49</v>
      </c>
      <c r="K243" s="19">
        <f t="shared" si="33"/>
        <v>245</v>
      </c>
      <c r="L243" s="8">
        <f t="shared" si="39"/>
        <v>1.1996832412941429</v>
      </c>
      <c r="M243" s="9">
        <f t="shared" si="40"/>
        <v>81955758.5</v>
      </c>
      <c r="N243" s="10">
        <f t="shared" si="37"/>
        <v>16365191.5</v>
      </c>
      <c r="O243" s="11">
        <f t="shared" si="38"/>
        <v>66796.7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80000</v>
      </c>
      <c r="D244" s="39">
        <f t="shared" si="31"/>
        <v>88060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48</v>
      </c>
      <c r="J244" s="20">
        <f t="shared" si="36"/>
        <v>14</v>
      </c>
      <c r="K244" s="19">
        <f t="shared" si="33"/>
        <v>70</v>
      </c>
      <c r="L244" s="8">
        <f t="shared" si="39"/>
        <v>1.3617448330683626</v>
      </c>
      <c r="M244" s="9">
        <f t="shared" si="40"/>
        <v>1232840</v>
      </c>
      <c r="N244" s="10">
        <f t="shared" si="37"/>
        <v>445973.5</v>
      </c>
      <c r="O244" s="11">
        <f t="shared" si="38"/>
        <v>6371.05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30990</v>
      </c>
      <c r="D245" s="39">
        <f t="shared" si="31"/>
        <v>36869.055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32.994999999999997</v>
      </c>
      <c r="J245" s="20">
        <f t="shared" si="36"/>
        <v>17.5</v>
      </c>
      <c r="K245" s="19">
        <f t="shared" si="33"/>
        <v>87.5</v>
      </c>
      <c r="L245" s="8">
        <f t="shared" si="39"/>
        <v>1.7286000414168468</v>
      </c>
      <c r="M245" s="9">
        <f t="shared" si="40"/>
        <v>645208.46250000002</v>
      </c>
      <c r="N245" s="10">
        <f t="shared" si="37"/>
        <v>470098.91249999998</v>
      </c>
      <c r="O245" s="11">
        <f t="shared" si="38"/>
        <v>5372.5589999999993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1819000</v>
      </c>
      <c r="D246" s="39">
        <f t="shared" si="31"/>
        <v>1904445.5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2944.4</v>
      </c>
      <c r="J246" s="20">
        <f t="shared" si="36"/>
        <v>56</v>
      </c>
      <c r="K246" s="19">
        <f t="shared" si="33"/>
        <v>280</v>
      </c>
      <c r="L246" s="8">
        <f t="shared" si="39"/>
        <v>0.97484359620687489</v>
      </c>
      <c r="M246" s="9">
        <f t="shared" si="40"/>
        <v>106648948</v>
      </c>
      <c r="N246" s="10">
        <f t="shared" si="37"/>
        <v>-2682904</v>
      </c>
      <c r="O246" s="11">
        <f t="shared" si="38"/>
        <v>-9581.7999999999993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12490</v>
      </c>
      <c r="D247" s="39">
        <f t="shared" si="31"/>
        <v>17545.805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37.49</v>
      </c>
      <c r="J247" s="20">
        <f t="shared" si="36"/>
        <v>35</v>
      </c>
      <c r="K247" s="19">
        <f t="shared" si="33"/>
        <v>175</v>
      </c>
      <c r="L247" s="8">
        <f t="shared" si="39"/>
        <v>40.162377844732688</v>
      </c>
      <c r="M247" s="9">
        <f t="shared" si="40"/>
        <v>614103.17500000005</v>
      </c>
      <c r="N247" s="10">
        <f t="shared" si="37"/>
        <v>24049740.574999999</v>
      </c>
      <c r="O247" s="11">
        <f t="shared" si="38"/>
        <v>137427.08899999998</v>
      </c>
      <c r="P247" s="23">
        <f t="shared" si="34"/>
        <v>24663843.75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2086000</v>
      </c>
      <c r="D248" s="39">
        <f t="shared" si="31"/>
        <v>2268827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3141.3999999999996</v>
      </c>
      <c r="J248" s="20">
        <f t="shared" si="36"/>
        <v>49</v>
      </c>
      <c r="K248" s="19">
        <f t="shared" si="33"/>
        <v>4900</v>
      </c>
      <c r="L248" s="8">
        <f t="shared" si="39"/>
        <v>1.1573002260639529</v>
      </c>
      <c r="M248" s="9">
        <f t="shared" si="40"/>
        <v>111172523</v>
      </c>
      <c r="N248" s="10">
        <f t="shared" si="37"/>
        <v>17487463</v>
      </c>
      <c r="O248" s="11">
        <f t="shared" si="38"/>
        <v>3568.87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6266000</v>
      </c>
      <c r="D249" s="39">
        <f t="shared" si="31"/>
        <v>6634837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8993.4</v>
      </c>
      <c r="J249" s="20">
        <f t="shared" si="36"/>
        <v>49</v>
      </c>
      <c r="K249" s="19">
        <f t="shared" si="33"/>
        <v>4900</v>
      </c>
      <c r="L249" s="8">
        <f t="shared" si="39"/>
        <v>0.86263535939164748</v>
      </c>
      <c r="M249" s="9">
        <f t="shared" si="40"/>
        <v>325107013</v>
      </c>
      <c r="N249" s="10">
        <f t="shared" si="37"/>
        <v>-44658208</v>
      </c>
      <c r="O249" s="11">
        <f t="shared" si="38"/>
        <v>-9113.92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4492000</v>
      </c>
      <c r="D250" s="39">
        <f t="shared" si="31"/>
        <v>4781894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4707</v>
      </c>
      <c r="J250" s="20">
        <f t="shared" si="36"/>
        <v>35</v>
      </c>
      <c r="K250" s="19">
        <f t="shared" si="33"/>
        <v>3500</v>
      </c>
      <c r="L250" s="8">
        <f t="shared" si="39"/>
        <v>1.7979463785688266</v>
      </c>
      <c r="M250" s="9">
        <f t="shared" si="40"/>
        <v>167366290</v>
      </c>
      <c r="N250" s="10">
        <f t="shared" si="37"/>
        <v>133549325</v>
      </c>
      <c r="O250" s="11">
        <f t="shared" si="38"/>
        <v>38156.949999999997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983300</v>
      </c>
      <c r="D251" s="39">
        <f t="shared" si="31"/>
        <v>1031556.85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1008.3</v>
      </c>
      <c r="J251" s="20">
        <f t="shared" si="36"/>
        <v>35</v>
      </c>
      <c r="K251" s="19">
        <f t="shared" si="33"/>
        <v>175</v>
      </c>
      <c r="L251" s="8">
        <f t="shared" si="39"/>
        <v>0.87995634947312895</v>
      </c>
      <c r="M251" s="9">
        <f t="shared" si="40"/>
        <v>36104489.75</v>
      </c>
      <c r="N251" s="10">
        <f t="shared" si="37"/>
        <v>-4334114.7499999991</v>
      </c>
      <c r="O251" s="11">
        <f t="shared" si="38"/>
        <v>-24766.369999999995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16720</v>
      </c>
      <c r="D252" s="39">
        <f t="shared" si="31"/>
        <v>21964.04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29.032</v>
      </c>
      <c r="J252" s="20">
        <f t="shared" si="36"/>
        <v>21</v>
      </c>
      <c r="K252" s="19">
        <f t="shared" si="33"/>
        <v>105</v>
      </c>
      <c r="L252" s="8">
        <f t="shared" si="39"/>
        <v>2.1312083296151343</v>
      </c>
      <c r="M252" s="9">
        <f t="shared" si="40"/>
        <v>461244.84</v>
      </c>
      <c r="N252" s="10">
        <f t="shared" si="37"/>
        <v>521764.005</v>
      </c>
      <c r="O252" s="11">
        <f t="shared" si="38"/>
        <v>4969.1809999999996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1042000</v>
      </c>
      <c r="D253" s="39">
        <f t="shared" si="31"/>
        <v>1092869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1912.6000000000001</v>
      </c>
      <c r="J253" s="20">
        <f t="shared" si="36"/>
        <v>63</v>
      </c>
      <c r="K253" s="19">
        <f t="shared" si="33"/>
        <v>315</v>
      </c>
      <c r="L253" s="8">
        <f t="shared" si="39"/>
        <v>1.0902573867499215</v>
      </c>
      <c r="M253" s="9">
        <f t="shared" si="40"/>
        <v>68850747</v>
      </c>
      <c r="N253" s="10">
        <f t="shared" si="37"/>
        <v>6214288.5</v>
      </c>
      <c r="O253" s="11">
        <f t="shared" si="38"/>
        <v>19727.900000000001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52950000</v>
      </c>
      <c r="D254" s="39">
        <f t="shared" si="31"/>
        <v>55310775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10603</v>
      </c>
      <c r="J254" s="20">
        <f t="shared" si="36"/>
        <v>7</v>
      </c>
      <c r="K254" s="19">
        <f t="shared" si="33"/>
        <v>35</v>
      </c>
      <c r="L254" s="8">
        <f t="shared" si="39"/>
        <v>1.2092580514375364</v>
      </c>
      <c r="M254" s="9">
        <f t="shared" si="40"/>
        <v>387175425</v>
      </c>
      <c r="N254" s="10">
        <f t="shared" si="37"/>
        <v>81019575</v>
      </c>
      <c r="O254" s="11">
        <f t="shared" si="38"/>
        <v>2314845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1849000</v>
      </c>
      <c r="D255" s="39">
        <f t="shared" si="31"/>
        <v>1976280.5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1591.2</v>
      </c>
      <c r="J255" s="20">
        <f t="shared" si="36"/>
        <v>28</v>
      </c>
      <c r="K255" s="19">
        <f t="shared" si="33"/>
        <v>1400</v>
      </c>
      <c r="L255" s="8">
        <f t="shared" si="39"/>
        <v>1.0631813145957774</v>
      </c>
      <c r="M255" s="9">
        <f t="shared" si="40"/>
        <v>55335854</v>
      </c>
      <c r="N255" s="10">
        <f t="shared" si="37"/>
        <v>3496192</v>
      </c>
      <c r="O255" s="11">
        <f t="shared" si="38"/>
        <v>2497.2800000000002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3369000</v>
      </c>
      <c r="D256" s="39">
        <f t="shared" si="31"/>
        <v>3563920.5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1453.6</v>
      </c>
      <c r="J256" s="20">
        <f t="shared" si="36"/>
        <v>14</v>
      </c>
      <c r="K256" s="19">
        <f t="shared" si="33"/>
        <v>700</v>
      </c>
      <c r="L256" s="8">
        <f t="shared" si="39"/>
        <v>1.0185256657661135</v>
      </c>
      <c r="M256" s="9">
        <f t="shared" si="40"/>
        <v>49894887</v>
      </c>
      <c r="N256" s="10">
        <f t="shared" si="37"/>
        <v>924336</v>
      </c>
      <c r="O256" s="11">
        <f t="shared" si="38"/>
        <v>1320.48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393700</v>
      </c>
      <c r="D257" s="39">
        <f t="shared" si="31"/>
        <v>429219.65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285.22000000000003</v>
      </c>
      <c r="J257" s="20">
        <f t="shared" si="36"/>
        <v>21</v>
      </c>
      <c r="K257" s="19">
        <f t="shared" si="33"/>
        <v>420</v>
      </c>
      <c r="L257" s="8">
        <f t="shared" si="39"/>
        <v>0.85483504774303787</v>
      </c>
      <c r="M257" s="9">
        <f t="shared" si="40"/>
        <v>9013612.6500000004</v>
      </c>
      <c r="N257" s="10">
        <f t="shared" si="37"/>
        <v>-1308460.6500000004</v>
      </c>
      <c r="O257" s="11">
        <f t="shared" si="38"/>
        <v>-3115.3825000000011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995000</v>
      </c>
      <c r="D258" s="39">
        <f t="shared" ref="D258:D321" si="41">(C258+(C258*TaxRate))+(G258*ShippingCost)</f>
        <v>1057277.5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444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0.90346512623223318</v>
      </c>
      <c r="M258" s="9">
        <f t="shared" si="40"/>
        <v>14801885</v>
      </c>
      <c r="N258" s="10">
        <f t="shared" si="37"/>
        <v>-1428898.1000000003</v>
      </c>
      <c r="O258" s="11">
        <f t="shared" si="38"/>
        <v>-5103.2075000000013</v>
      </c>
      <c r="P258" s="23">
        <f t="shared" ref="P258:P321" si="44">M258+N258</f>
        <v>13372986.9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35810</v>
      </c>
      <c r="D259" s="39">
        <f t="shared" si="41"/>
        <v>50903.544999999998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50.323999999999998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1.8583086895028629</v>
      </c>
      <c r="M259" s="9">
        <f t="shared" si="40"/>
        <v>712649.63</v>
      </c>
      <c r="N259" s="10">
        <f t="shared" ref="N259:N322" si="47">(F259-D259)*J259</f>
        <v>611673.37</v>
      </c>
      <c r="O259" s="11">
        <f t="shared" ref="O259:O322" si="48">(F259-D259)/G259</f>
        <v>2912.7303333333334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2099000</v>
      </c>
      <c r="D260" s="39">
        <f t="shared" si="41"/>
        <v>2205905.5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1298.3999999999999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1.2652470833406055</v>
      </c>
      <c r="M260" s="9">
        <f t="shared" ref="M260:M323" si="50">D260*J260</f>
        <v>46324015.5</v>
      </c>
      <c r="N260" s="10">
        <f t="shared" si="47"/>
        <v>12287310</v>
      </c>
      <c r="O260" s="11">
        <f t="shared" si="48"/>
        <v>39007.333333333336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28240000</v>
      </c>
      <c r="D261" s="39">
        <f t="shared" si="41"/>
        <v>29510180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16983</v>
      </c>
      <c r="J261" s="20">
        <f t="shared" si="46"/>
        <v>21</v>
      </c>
      <c r="K261" s="19">
        <f t="shared" si="43"/>
        <v>315</v>
      </c>
      <c r="L261" s="8">
        <f t="shared" si="49"/>
        <v>1.132929212902124</v>
      </c>
      <c r="M261" s="9">
        <f t="shared" si="50"/>
        <v>619713780</v>
      </c>
      <c r="N261" s="10">
        <f t="shared" si="47"/>
        <v>82378065</v>
      </c>
      <c r="O261" s="11">
        <f t="shared" si="48"/>
        <v>261517.66666666666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1224000</v>
      </c>
      <c r="D262" s="39">
        <f t="shared" si="41"/>
        <v>1287468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763.4</v>
      </c>
      <c r="J262" s="20">
        <f t="shared" si="46"/>
        <v>21</v>
      </c>
      <c r="K262" s="19">
        <f t="shared" si="43"/>
        <v>210</v>
      </c>
      <c r="L262" s="8">
        <f t="shared" si="49"/>
        <v>1.4412637828668362</v>
      </c>
      <c r="M262" s="9">
        <f t="shared" si="50"/>
        <v>27036828</v>
      </c>
      <c r="N262" s="10">
        <f t="shared" si="47"/>
        <v>11930373</v>
      </c>
      <c r="O262" s="11">
        <f t="shared" si="48"/>
        <v>56811.3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11950</v>
      </c>
      <c r="D263" s="79">
        <f t="shared" si="41"/>
        <v>21481.775000000001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36.17</v>
      </c>
      <c r="J263" s="20">
        <f t="shared" si="46"/>
        <v>21</v>
      </c>
      <c r="K263" s="19">
        <f t="shared" si="43"/>
        <v>210</v>
      </c>
      <c r="L263" s="8">
        <f t="shared" si="49"/>
        <v>2.2244230283577591</v>
      </c>
      <c r="M263" s="9">
        <f t="shared" si="50"/>
        <v>451117.27500000002</v>
      </c>
      <c r="N263" s="10">
        <f t="shared" si="47"/>
        <v>552358.38</v>
      </c>
      <c r="O263" s="11">
        <f t="shared" si="48"/>
        <v>2630.2779999999998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1028000</v>
      </c>
      <c r="D264" s="79">
        <f t="shared" si="41"/>
        <v>1082746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437.2</v>
      </c>
      <c r="J264" s="20">
        <f t="shared" si="46"/>
        <v>14</v>
      </c>
      <c r="K264" s="19">
        <f t="shared" si="43"/>
        <v>140</v>
      </c>
      <c r="L264" s="8">
        <f t="shared" si="49"/>
        <v>1.3775488434037162</v>
      </c>
      <c r="M264" s="9">
        <f t="shared" si="50"/>
        <v>15158444</v>
      </c>
      <c r="N264" s="10">
        <f t="shared" si="47"/>
        <v>5723053</v>
      </c>
      <c r="O264" s="11">
        <f t="shared" si="48"/>
        <v>40878.949999999997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690000</v>
      </c>
      <c r="D265" s="79">
        <f t="shared" si="41"/>
        <v>725205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433</v>
      </c>
      <c r="J265" s="20">
        <f t="shared" si="46"/>
        <v>21</v>
      </c>
      <c r="K265" s="19">
        <f t="shared" si="43"/>
        <v>105</v>
      </c>
      <c r="L265" s="8">
        <f t="shared" si="49"/>
        <v>1.0539150309222909</v>
      </c>
      <c r="M265" s="9">
        <f t="shared" si="50"/>
        <v>15229305</v>
      </c>
      <c r="N265" s="10">
        <f t="shared" si="47"/>
        <v>821088.44999999902</v>
      </c>
      <c r="O265" s="11">
        <f t="shared" si="48"/>
        <v>7819.8899999999903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663900</v>
      </c>
      <c r="D266" s="79">
        <f t="shared" si="41"/>
        <v>697943.55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553.12</v>
      </c>
      <c r="J266" s="20">
        <f t="shared" si="46"/>
        <v>28</v>
      </c>
      <c r="K266" s="19">
        <f t="shared" si="43"/>
        <v>140</v>
      </c>
      <c r="L266" s="8">
        <f t="shared" si="49"/>
        <v>1.4812816881823752</v>
      </c>
      <c r="M266" s="9">
        <f t="shared" si="50"/>
        <v>19542419.400000002</v>
      </c>
      <c r="N266" s="10">
        <f t="shared" si="47"/>
        <v>9405408.5999999978</v>
      </c>
      <c r="O266" s="11">
        <f t="shared" si="48"/>
        <v>67181.489999999991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634200</v>
      </c>
      <c r="D267" s="79">
        <f t="shared" si="41"/>
        <v>666921.9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659.2</v>
      </c>
      <c r="J267" s="20">
        <f t="shared" si="46"/>
        <v>35</v>
      </c>
      <c r="K267" s="19">
        <f t="shared" si="43"/>
        <v>175</v>
      </c>
      <c r="L267" s="8">
        <f t="shared" si="49"/>
        <v>1.0306854520746731</v>
      </c>
      <c r="M267" s="9">
        <f t="shared" si="50"/>
        <v>23342266.5</v>
      </c>
      <c r="N267" s="10">
        <f t="shared" si="47"/>
        <v>716267.99999999756</v>
      </c>
      <c r="O267" s="11">
        <f t="shared" si="48"/>
        <v>4092.9599999999859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694900</v>
      </c>
      <c r="D268" s="79">
        <f t="shared" si="41"/>
        <v>730323.05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1145.8399999999999</v>
      </c>
      <c r="J268" s="20">
        <f t="shared" si="46"/>
        <v>56</v>
      </c>
      <c r="K268" s="19">
        <f t="shared" si="43"/>
        <v>280</v>
      </c>
      <c r="L268" s="8">
        <f t="shared" si="49"/>
        <v>1.041165139180531</v>
      </c>
      <c r="M268" s="9">
        <f t="shared" si="50"/>
        <v>40898090.800000004</v>
      </c>
      <c r="N268" s="10">
        <f t="shared" si="47"/>
        <v>1683575.5999999987</v>
      </c>
      <c r="O268" s="11">
        <f t="shared" si="48"/>
        <v>6012.769999999995</v>
      </c>
      <c r="P268" s="23">
        <f t="shared" si="44"/>
        <v>42581666.400000006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5425000</v>
      </c>
      <c r="D269" s="79">
        <f t="shared" si="41"/>
        <v>5670912.5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2186</v>
      </c>
      <c r="J269" s="20">
        <f t="shared" si="46"/>
        <v>14</v>
      </c>
      <c r="K269" s="19">
        <f t="shared" si="43"/>
        <v>70</v>
      </c>
      <c r="L269" s="8">
        <f t="shared" si="49"/>
        <v>0.92619723898049922</v>
      </c>
      <c r="M269" s="9">
        <f t="shared" si="50"/>
        <v>79392775</v>
      </c>
      <c r="N269" s="10">
        <f t="shared" si="47"/>
        <v>-5859406</v>
      </c>
      <c r="O269" s="11">
        <f t="shared" si="48"/>
        <v>-83705.8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2985000</v>
      </c>
      <c r="D270" s="79">
        <f t="shared" si="41"/>
        <v>3122332.5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1210</v>
      </c>
      <c r="J270" s="20">
        <f t="shared" si="46"/>
        <v>14</v>
      </c>
      <c r="K270" s="19">
        <f t="shared" si="43"/>
        <v>70</v>
      </c>
      <c r="L270" s="8">
        <f t="shared" si="49"/>
        <v>1.6133438703277116</v>
      </c>
      <c r="M270" s="9">
        <f t="shared" si="50"/>
        <v>43712655</v>
      </c>
      <c r="N270" s="10">
        <f t="shared" si="47"/>
        <v>26810889</v>
      </c>
      <c r="O270" s="11">
        <f t="shared" si="48"/>
        <v>383012.7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1577000</v>
      </c>
      <c r="D271" s="79">
        <f t="shared" si="41"/>
        <v>1651676.5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1920.3999999999999</v>
      </c>
      <c r="J271" s="20">
        <f t="shared" si="46"/>
        <v>42</v>
      </c>
      <c r="K271" s="19">
        <f t="shared" si="43"/>
        <v>210</v>
      </c>
      <c r="L271" s="8">
        <f t="shared" si="49"/>
        <v>1.5897265596501493</v>
      </c>
      <c r="M271" s="9">
        <f t="shared" si="50"/>
        <v>69370413</v>
      </c>
      <c r="N271" s="10">
        <f t="shared" si="47"/>
        <v>40909575</v>
      </c>
      <c r="O271" s="11">
        <f t="shared" si="48"/>
        <v>194807.5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79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649800</v>
      </c>
      <c r="D273" s="79">
        <f t="shared" si="41"/>
        <v>683216.1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1339.6</v>
      </c>
      <c r="J273" s="20">
        <f t="shared" si="46"/>
        <v>70</v>
      </c>
      <c r="K273" s="19">
        <f t="shared" si="43"/>
        <v>350</v>
      </c>
      <c r="L273" s="8">
        <f t="shared" si="49"/>
        <v>1.2583996483689421</v>
      </c>
      <c r="M273" s="9">
        <f t="shared" si="50"/>
        <v>47825127</v>
      </c>
      <c r="N273" s="10">
        <f t="shared" si="47"/>
        <v>12357996.000000004</v>
      </c>
      <c r="O273" s="11">
        <f t="shared" si="48"/>
        <v>35308.560000000012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27890000</v>
      </c>
      <c r="D274" s="79">
        <f t="shared" si="41"/>
        <v>29135605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11172</v>
      </c>
      <c r="J274" s="20">
        <f t="shared" si="46"/>
        <v>14</v>
      </c>
      <c r="K274" s="19">
        <f t="shared" si="43"/>
        <v>70</v>
      </c>
      <c r="L274" s="8">
        <f t="shared" si="49"/>
        <v>1.2380084436207863</v>
      </c>
      <c r="M274" s="9">
        <f t="shared" si="50"/>
        <v>407898470</v>
      </c>
      <c r="N274" s="10">
        <f t="shared" si="47"/>
        <v>97083280</v>
      </c>
      <c r="O274" s="11">
        <f t="shared" si="48"/>
        <v>1386904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689000</v>
      </c>
      <c r="D275" s="79">
        <f t="shared" si="41"/>
        <v>724160.5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854.8</v>
      </c>
      <c r="J275" s="20">
        <f t="shared" si="46"/>
        <v>42</v>
      </c>
      <c r="K275" s="19">
        <f t="shared" si="43"/>
        <v>210</v>
      </c>
      <c r="L275" s="8">
        <f t="shared" si="49"/>
        <v>1.6202955007902253</v>
      </c>
      <c r="M275" s="9">
        <f t="shared" si="50"/>
        <v>30414741</v>
      </c>
      <c r="N275" s="10">
        <f t="shared" si="47"/>
        <v>18866127</v>
      </c>
      <c r="O275" s="11">
        <f t="shared" si="48"/>
        <v>89838.7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48980</v>
      </c>
      <c r="D276" s="79">
        <f t="shared" si="41"/>
        <v>55659.61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99.571999999999989</v>
      </c>
      <c r="J276" s="20">
        <f t="shared" si="46"/>
        <v>49</v>
      </c>
      <c r="K276" s="19">
        <f t="shared" si="43"/>
        <v>245</v>
      </c>
      <c r="L276" s="8">
        <f t="shared" si="49"/>
        <v>0.85662565727643436</v>
      </c>
      <c r="M276" s="9">
        <f t="shared" si="50"/>
        <v>2727320.89</v>
      </c>
      <c r="N276" s="10">
        <f t="shared" si="47"/>
        <v>-391027.8400000002</v>
      </c>
      <c r="O276" s="11">
        <f t="shared" si="48"/>
        <v>-1596.0320000000006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984700</v>
      </c>
      <c r="D277" s="79">
        <f t="shared" si="41"/>
        <v>1033019.15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609.81999999999994</v>
      </c>
      <c r="J277" s="20">
        <f t="shared" si="46"/>
        <v>21</v>
      </c>
      <c r="K277" s="19">
        <f t="shared" si="43"/>
        <v>105</v>
      </c>
      <c r="L277" s="8">
        <f t="shared" si="49"/>
        <v>1.1321493894861485</v>
      </c>
      <c r="M277" s="9">
        <f t="shared" si="50"/>
        <v>21693402.150000002</v>
      </c>
      <c r="N277" s="10">
        <f t="shared" si="47"/>
        <v>2866769.8499999996</v>
      </c>
      <c r="O277" s="11">
        <f t="shared" si="48"/>
        <v>27302.569999999996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1000000</v>
      </c>
      <c r="D278" s="79">
        <f t="shared" si="41"/>
        <v>1067000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1065</v>
      </c>
      <c r="J278" s="20">
        <f t="shared" si="46"/>
        <v>35</v>
      </c>
      <c r="K278" s="19">
        <f t="shared" si="43"/>
        <v>875</v>
      </c>
      <c r="L278" s="8">
        <f t="shared" si="49"/>
        <v>1.3217600749765699</v>
      </c>
      <c r="M278" s="9">
        <f t="shared" si="50"/>
        <v>37345000</v>
      </c>
      <c r="N278" s="10">
        <f t="shared" si="47"/>
        <v>12016130</v>
      </c>
      <c r="O278" s="11">
        <f t="shared" si="48"/>
        <v>13732.72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5395000</v>
      </c>
      <c r="D279" s="79">
        <f t="shared" si="41"/>
        <v>5653077.5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3826.9999999999995</v>
      </c>
      <c r="J279" s="20">
        <f t="shared" si="46"/>
        <v>24.5</v>
      </c>
      <c r="K279" s="19">
        <f t="shared" si="43"/>
        <v>490</v>
      </c>
      <c r="L279" s="8">
        <f t="shared" si="49"/>
        <v>1.0856345946079813</v>
      </c>
      <c r="M279" s="9">
        <f t="shared" si="50"/>
        <v>138500398.75</v>
      </c>
      <c r="N279" s="10">
        <f t="shared" si="47"/>
        <v>11860425.5</v>
      </c>
      <c r="O279" s="11">
        <f t="shared" si="48"/>
        <v>24204.95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36710000</v>
      </c>
      <c r="D280" s="79">
        <f t="shared" si="41"/>
        <v>38361595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11057.5</v>
      </c>
      <c r="J280" s="20">
        <f t="shared" si="46"/>
        <v>10.5</v>
      </c>
      <c r="K280" s="19">
        <f t="shared" si="43"/>
        <v>210</v>
      </c>
      <c r="L280" s="8">
        <f t="shared" si="49"/>
        <v>1.0431354587837132</v>
      </c>
      <c r="M280" s="9">
        <f t="shared" si="50"/>
        <v>402796747.5</v>
      </c>
      <c r="N280" s="10">
        <f t="shared" si="47"/>
        <v>17374822.5</v>
      </c>
      <c r="O280" s="11">
        <f t="shared" si="48"/>
        <v>82737.25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2970000</v>
      </c>
      <c r="D281" s="79">
        <f t="shared" si="41"/>
        <v>3120165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1831</v>
      </c>
      <c r="J281" s="20">
        <f t="shared" si="46"/>
        <v>21</v>
      </c>
      <c r="K281" s="19">
        <f t="shared" si="43"/>
        <v>420</v>
      </c>
      <c r="L281" s="8">
        <f t="shared" si="49"/>
        <v>1.3618217305815559</v>
      </c>
      <c r="M281" s="9">
        <f t="shared" si="50"/>
        <v>65523465</v>
      </c>
      <c r="N281" s="10">
        <f t="shared" si="47"/>
        <v>23707813.5</v>
      </c>
      <c r="O281" s="11">
        <f t="shared" si="48"/>
        <v>56447.175000000003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870400</v>
      </c>
      <c r="D282" s="79">
        <f t="shared" si="41"/>
        <v>918132.8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551.24</v>
      </c>
      <c r="J282" s="20">
        <f t="shared" si="46"/>
        <v>21</v>
      </c>
      <c r="K282" s="19">
        <f t="shared" si="43"/>
        <v>210</v>
      </c>
      <c r="L282" s="8">
        <f t="shared" si="49"/>
        <v>1.7983280850003398</v>
      </c>
      <c r="M282" s="9">
        <f t="shared" si="50"/>
        <v>19280788.800000001</v>
      </c>
      <c r="N282" s="10">
        <f t="shared" si="47"/>
        <v>15392395.199999999</v>
      </c>
      <c r="O282" s="11">
        <f t="shared" si="48"/>
        <v>73297.119999999995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1288000</v>
      </c>
      <c r="D283" s="79">
        <f t="shared" si="41"/>
        <v>1354316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1323</v>
      </c>
      <c r="J283" s="20">
        <f t="shared" si="46"/>
        <v>35</v>
      </c>
      <c r="K283" s="19">
        <f t="shared" si="43"/>
        <v>350</v>
      </c>
      <c r="L283" s="8">
        <f t="shared" si="49"/>
        <v>2.466505601351531</v>
      </c>
      <c r="M283" s="9">
        <f t="shared" si="50"/>
        <v>47401060</v>
      </c>
      <c r="N283" s="10">
        <f t="shared" si="47"/>
        <v>69513920</v>
      </c>
      <c r="O283" s="11">
        <f t="shared" si="48"/>
        <v>198611.20000000001</v>
      </c>
      <c r="P283" s="23">
        <f t="shared" si="44"/>
        <v>116914980</v>
      </c>
      <c r="Q283">
        <f>VLOOKUP(B283,Buylist!B:B,1,FALSE)</f>
        <v>3530</v>
      </c>
      <c r="R283" t="str">
        <f>VLOOKUP(B283,Buylist!B:M,12,FALSE)</f>
        <v>x</v>
      </c>
    </row>
    <row r="284" spans="1:18">
      <c r="A284" s="13" t="s">
        <v>18901</v>
      </c>
      <c r="B284" s="73">
        <f>VLOOKUP(A284,TypeIDs!B:C,2,FALSE)</f>
        <v>33076</v>
      </c>
      <c r="C284" s="39">
        <v>26800</v>
      </c>
      <c r="D284" s="79">
        <f t="shared" si="41"/>
        <v>32492.6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43.44</v>
      </c>
      <c r="J284" s="20">
        <f t="shared" si="46"/>
        <v>28</v>
      </c>
      <c r="K284" s="19">
        <f t="shared" si="43"/>
        <v>140</v>
      </c>
      <c r="L284" s="8">
        <f t="shared" si="49"/>
        <v>4.1169373949760875</v>
      </c>
      <c r="M284" s="9">
        <f t="shared" si="50"/>
        <v>909792.79999999993</v>
      </c>
      <c r="N284" s="10">
        <f t="shared" si="47"/>
        <v>2835767.1999999997</v>
      </c>
      <c r="O284" s="11">
        <f t="shared" si="48"/>
        <v>20255.48</v>
      </c>
      <c r="P284" s="23">
        <f t="shared" si="44"/>
        <v>3745559.9999999995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377400</v>
      </c>
      <c r="D285" s="79">
        <f t="shared" si="41"/>
        <v>398694.3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166.96</v>
      </c>
      <c r="J285" s="20">
        <f t="shared" si="46"/>
        <v>14</v>
      </c>
      <c r="K285" s="19">
        <f t="shared" si="43"/>
        <v>70</v>
      </c>
      <c r="L285" s="8">
        <f t="shared" si="49"/>
        <v>1.713070390020625</v>
      </c>
      <c r="M285" s="9">
        <f t="shared" si="50"/>
        <v>5581720.2000000002</v>
      </c>
      <c r="N285" s="10">
        <f t="shared" si="47"/>
        <v>3980159.4000000004</v>
      </c>
      <c r="O285" s="11">
        <f t="shared" si="48"/>
        <v>56859.420000000006</v>
      </c>
      <c r="P285" s="23">
        <f t="shared" si="44"/>
        <v>9561879.6000000015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16900</v>
      </c>
      <c r="D286" s="79">
        <f t="shared" si="41"/>
        <v>22152.05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22.759999999999998</v>
      </c>
      <c r="J286" s="20">
        <f t="shared" si="46"/>
        <v>14</v>
      </c>
      <c r="K286" s="19">
        <f t="shared" si="43"/>
        <v>70</v>
      </c>
      <c r="L286" s="8">
        <f t="shared" si="49"/>
        <v>1.0783426364602824</v>
      </c>
      <c r="M286" s="9">
        <f t="shared" si="50"/>
        <v>310128.7</v>
      </c>
      <c r="N286" s="10">
        <f t="shared" si="47"/>
        <v>24296.30000000001</v>
      </c>
      <c r="O286" s="11">
        <f t="shared" si="48"/>
        <v>347.09000000000015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129900</v>
      </c>
      <c r="D287" s="79">
        <f t="shared" si="41"/>
        <v>140180.54999999999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67.960000000000008</v>
      </c>
      <c r="J287" s="20">
        <f t="shared" si="46"/>
        <v>14</v>
      </c>
      <c r="K287" s="19">
        <f t="shared" si="43"/>
        <v>70</v>
      </c>
      <c r="L287" s="8">
        <f t="shared" si="49"/>
        <v>0.30332132382131477</v>
      </c>
      <c r="M287" s="9">
        <f t="shared" si="50"/>
        <v>1962527.6999999997</v>
      </c>
      <c r="N287" s="10">
        <f t="shared" si="47"/>
        <v>-1367251.1999999997</v>
      </c>
      <c r="O287" s="11">
        <f t="shared" si="48"/>
        <v>-19532.159999999996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2062000</v>
      </c>
      <c r="D288" s="79">
        <f t="shared" si="41"/>
        <v>2158259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1256.2</v>
      </c>
      <c r="J288" s="20">
        <f t="shared" si="46"/>
        <v>21</v>
      </c>
      <c r="K288" s="19">
        <f t="shared" si="43"/>
        <v>105</v>
      </c>
      <c r="L288" s="8">
        <f t="shared" si="49"/>
        <v>0.77431369451025112</v>
      </c>
      <c r="M288" s="9">
        <f t="shared" si="50"/>
        <v>45323439</v>
      </c>
      <c r="N288" s="10">
        <f t="shared" si="47"/>
        <v>-10228879.5</v>
      </c>
      <c r="O288" s="11">
        <f t="shared" si="48"/>
        <v>-97417.9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473600</v>
      </c>
      <c r="D289" s="79">
        <f t="shared" si="41"/>
        <v>499175.2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498.6</v>
      </c>
      <c r="J289" s="20">
        <f t="shared" si="46"/>
        <v>35</v>
      </c>
      <c r="K289" s="19">
        <f t="shared" si="43"/>
        <v>175</v>
      </c>
      <c r="L289" s="8">
        <f t="shared" si="49"/>
        <v>0.92798360174944594</v>
      </c>
      <c r="M289" s="9">
        <f t="shared" si="50"/>
        <v>17471132</v>
      </c>
      <c r="N289" s="10">
        <f t="shared" si="47"/>
        <v>-1258207.9999999995</v>
      </c>
      <c r="O289" s="11">
        <f t="shared" si="48"/>
        <v>-7189.7599999999975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449700</v>
      </c>
      <c r="D290" s="79">
        <f t="shared" si="41"/>
        <v>474211.65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2798.2000000000003</v>
      </c>
      <c r="J290" s="20">
        <f t="shared" si="46"/>
        <v>210</v>
      </c>
      <c r="K290" s="19">
        <f t="shared" si="43"/>
        <v>1050</v>
      </c>
      <c r="L290" s="8">
        <f t="shared" si="49"/>
        <v>0.85634231044302678</v>
      </c>
      <c r="M290" s="9">
        <f t="shared" si="50"/>
        <v>99584446.5</v>
      </c>
      <c r="N290" s="10">
        <f t="shared" si="47"/>
        <v>-14306071.500000006</v>
      </c>
      <c r="O290" s="11">
        <f t="shared" si="48"/>
        <v>-13624.830000000005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988900</v>
      </c>
      <c r="D291" s="79">
        <f t="shared" si="41"/>
        <v>1037406.05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2620.14</v>
      </c>
      <c r="J291" s="20">
        <f t="shared" si="46"/>
        <v>91</v>
      </c>
      <c r="K291" s="19">
        <f t="shared" si="43"/>
        <v>455</v>
      </c>
      <c r="L291" s="8">
        <f t="shared" si="49"/>
        <v>1.1936772491349938</v>
      </c>
      <c r="M291" s="9">
        <f t="shared" si="50"/>
        <v>94403950.549999997</v>
      </c>
      <c r="N291" s="10">
        <f t="shared" si="47"/>
        <v>18283897.449999996</v>
      </c>
      <c r="O291" s="11">
        <f t="shared" si="48"/>
        <v>40184.389999999992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26780000</v>
      </c>
      <c r="D292" s="79">
        <f t="shared" si="41"/>
        <v>27976210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13407.5</v>
      </c>
      <c r="J292" s="20">
        <f t="shared" si="46"/>
        <v>17.5</v>
      </c>
      <c r="K292" s="19">
        <f t="shared" si="43"/>
        <v>87.5</v>
      </c>
      <c r="L292" s="8">
        <f t="shared" si="49"/>
        <v>1.0475037540824865</v>
      </c>
      <c r="M292" s="9">
        <f t="shared" si="50"/>
        <v>489583675</v>
      </c>
      <c r="N292" s="10">
        <f t="shared" si="47"/>
        <v>23257062.5</v>
      </c>
      <c r="O292" s="11">
        <f t="shared" si="48"/>
        <v>265795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397600</v>
      </c>
      <c r="D293" s="79">
        <f t="shared" si="41"/>
        <v>419793.2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1330.32</v>
      </c>
      <c r="J293" s="20">
        <f t="shared" si="46"/>
        <v>112</v>
      </c>
      <c r="K293" s="19">
        <f t="shared" si="43"/>
        <v>560</v>
      </c>
      <c r="L293" s="8">
        <f t="shared" si="49"/>
        <v>1.2015641272893416</v>
      </c>
      <c r="M293" s="9">
        <f t="shared" si="50"/>
        <v>47016838.399999999</v>
      </c>
      <c r="N293" s="10">
        <f t="shared" si="47"/>
        <v>9476908</v>
      </c>
      <c r="O293" s="11">
        <f t="shared" si="48"/>
        <v>16923.05</v>
      </c>
      <c r="P293" s="23">
        <f t="shared" si="44"/>
        <v>56493746.399999999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337700</v>
      </c>
      <c r="D294" s="79">
        <f t="shared" si="41"/>
        <v>357227.65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1068.0999999999999</v>
      </c>
      <c r="J294" s="20">
        <f t="shared" si="46"/>
        <v>105</v>
      </c>
      <c r="K294" s="19">
        <f t="shared" si="43"/>
        <v>525</v>
      </c>
      <c r="L294" s="8">
        <f t="shared" si="49"/>
        <v>1.2007019893336923</v>
      </c>
      <c r="M294" s="9">
        <f t="shared" si="50"/>
        <v>37508903.25</v>
      </c>
      <c r="N294" s="10">
        <f t="shared" si="47"/>
        <v>7528111.4999999991</v>
      </c>
      <c r="O294" s="11">
        <f t="shared" si="48"/>
        <v>14339.259999999998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353300</v>
      </c>
      <c r="D295" s="79">
        <f t="shared" si="41"/>
        <v>373521.85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378.3</v>
      </c>
      <c r="J295" s="20">
        <f t="shared" si="46"/>
        <v>35</v>
      </c>
      <c r="K295" s="19">
        <f t="shared" si="43"/>
        <v>175</v>
      </c>
      <c r="L295" s="8">
        <f t="shared" si="49"/>
        <v>2.4728991088473138</v>
      </c>
      <c r="M295" s="9">
        <f t="shared" si="50"/>
        <v>13073264.75</v>
      </c>
      <c r="N295" s="10">
        <f t="shared" si="47"/>
        <v>19255600</v>
      </c>
      <c r="O295" s="11">
        <f t="shared" si="48"/>
        <v>110032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149200</v>
      </c>
      <c r="D296" s="79">
        <f t="shared" si="41"/>
        <v>160339.4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141.36000000000001</v>
      </c>
      <c r="J296" s="20">
        <f t="shared" si="46"/>
        <v>28</v>
      </c>
      <c r="K296" s="19">
        <f t="shared" si="43"/>
        <v>140</v>
      </c>
      <c r="L296" s="8">
        <f t="shared" si="49"/>
        <v>1.1912508715886427</v>
      </c>
      <c r="M296" s="9">
        <f t="shared" si="50"/>
        <v>4489503.2</v>
      </c>
      <c r="N296" s="10">
        <f t="shared" si="47"/>
        <v>858621.40000000049</v>
      </c>
      <c r="O296" s="11">
        <f t="shared" si="48"/>
        <v>6133.0100000000039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165000</v>
      </c>
      <c r="D297" s="79">
        <f t="shared" si="41"/>
        <v>176842.5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118</v>
      </c>
      <c r="J297" s="20">
        <f t="shared" si="46"/>
        <v>21</v>
      </c>
      <c r="K297" s="19">
        <f t="shared" si="43"/>
        <v>105</v>
      </c>
      <c r="L297" s="8">
        <f t="shared" si="49"/>
        <v>1.1346537172908095</v>
      </c>
      <c r="M297" s="9">
        <f t="shared" si="50"/>
        <v>3713692.5</v>
      </c>
      <c r="N297" s="10">
        <f t="shared" si="47"/>
        <v>500062.5</v>
      </c>
      <c r="O297" s="11">
        <f t="shared" si="48"/>
        <v>4762.5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13000</v>
      </c>
      <c r="D298" s="79">
        <f t="shared" si="41"/>
        <v>18078.5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26.8</v>
      </c>
      <c r="J298" s="20">
        <f t="shared" si="46"/>
        <v>21</v>
      </c>
      <c r="K298" s="19">
        <f t="shared" si="43"/>
        <v>105</v>
      </c>
      <c r="L298" s="8">
        <f t="shared" si="49"/>
        <v>1.5855850872583455</v>
      </c>
      <c r="M298" s="9">
        <f t="shared" si="50"/>
        <v>379648.5</v>
      </c>
      <c r="N298" s="10">
        <f t="shared" si="47"/>
        <v>222316.5</v>
      </c>
      <c r="O298" s="11">
        <f t="shared" si="48"/>
        <v>2117.3000000000002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24990</v>
      </c>
      <c r="D299" s="79">
        <f t="shared" si="41"/>
        <v>30602.055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65.98599999999999</v>
      </c>
      <c r="J299" s="20">
        <f t="shared" si="46"/>
        <v>49</v>
      </c>
      <c r="K299" s="19">
        <f t="shared" si="43"/>
        <v>245</v>
      </c>
      <c r="L299" s="8">
        <f t="shared" si="49"/>
        <v>1.560857432613594</v>
      </c>
      <c r="M299" s="9">
        <f t="shared" si="50"/>
        <v>1499500.6950000001</v>
      </c>
      <c r="N299" s="10">
        <f t="shared" si="47"/>
        <v>841006.11</v>
      </c>
      <c r="O299" s="11">
        <f t="shared" si="48"/>
        <v>3432.6779999999999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54000</v>
      </c>
      <c r="D300" s="79">
        <f t="shared" si="41"/>
        <v>60903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37.6</v>
      </c>
      <c r="J300" s="20">
        <f t="shared" si="46"/>
        <v>14</v>
      </c>
      <c r="K300" s="19">
        <f t="shared" si="43"/>
        <v>70</v>
      </c>
      <c r="L300" s="8">
        <f t="shared" si="49"/>
        <v>1.0979079848283335</v>
      </c>
      <c r="M300" s="9">
        <f t="shared" si="50"/>
        <v>852642</v>
      </c>
      <c r="N300" s="10">
        <f t="shared" si="47"/>
        <v>83480.459999999992</v>
      </c>
      <c r="O300" s="11">
        <f t="shared" si="48"/>
        <v>1192.578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3890000</v>
      </c>
      <c r="D301" s="79">
        <f t="shared" si="41"/>
        <v>4067605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1572</v>
      </c>
      <c r="J301" s="20">
        <f t="shared" si="46"/>
        <v>14</v>
      </c>
      <c r="K301" s="19">
        <f t="shared" si="43"/>
        <v>70</v>
      </c>
      <c r="L301" s="8">
        <f t="shared" si="49"/>
        <v>1.2623784757861198</v>
      </c>
      <c r="M301" s="9">
        <f t="shared" si="50"/>
        <v>56946470</v>
      </c>
      <c r="N301" s="10">
        <f t="shared" si="47"/>
        <v>14941528</v>
      </c>
      <c r="O301" s="11">
        <f t="shared" si="48"/>
        <v>213450.4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3197000</v>
      </c>
      <c r="D302" s="79">
        <f t="shared" si="41"/>
        <v>3343766.5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7718.7999999999993</v>
      </c>
      <c r="J302" s="20">
        <f t="shared" si="46"/>
        <v>84</v>
      </c>
      <c r="K302" s="19">
        <f t="shared" si="43"/>
        <v>420</v>
      </c>
      <c r="L302" s="8">
        <f t="shared" si="49"/>
        <v>1.2824711294882583</v>
      </c>
      <c r="M302" s="9">
        <f t="shared" si="50"/>
        <v>280876386</v>
      </c>
      <c r="N302" s="10">
        <f t="shared" si="47"/>
        <v>79339470</v>
      </c>
      <c r="O302" s="11">
        <f t="shared" si="48"/>
        <v>188903.5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2482000</v>
      </c>
      <c r="D303" s="79">
        <f t="shared" si="41"/>
        <v>2596949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1508.2</v>
      </c>
      <c r="J303" s="20">
        <f t="shared" si="46"/>
        <v>21</v>
      </c>
      <c r="K303" s="19">
        <f t="shared" si="43"/>
        <v>105</v>
      </c>
      <c r="L303" s="8">
        <f t="shared" si="49"/>
        <v>1.0853986735973638</v>
      </c>
      <c r="M303" s="9">
        <f t="shared" si="50"/>
        <v>54535929</v>
      </c>
      <c r="N303" s="10">
        <f t="shared" si="47"/>
        <v>4657296</v>
      </c>
      <c r="O303" s="11">
        <f t="shared" si="48"/>
        <v>44355.199999999997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35000000</v>
      </c>
      <c r="D304" s="79">
        <f t="shared" si="41"/>
        <v>36562000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10514.5</v>
      </c>
      <c r="J304" s="20">
        <f t="shared" si="46"/>
        <v>10.5</v>
      </c>
      <c r="K304" s="19">
        <f t="shared" si="43"/>
        <v>52.5</v>
      </c>
      <c r="L304" s="8">
        <f t="shared" si="49"/>
        <v>1.0364621738416935</v>
      </c>
      <c r="M304" s="9">
        <f t="shared" si="50"/>
        <v>383901000</v>
      </c>
      <c r="N304" s="10">
        <f t="shared" si="47"/>
        <v>13997865</v>
      </c>
      <c r="O304" s="11">
        <f t="shared" si="48"/>
        <v>266626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2200000</v>
      </c>
      <c r="D305" s="79">
        <f t="shared" si="41"/>
        <v>2306900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1127.5</v>
      </c>
      <c r="J305" s="20">
        <f t="shared" si="46"/>
        <v>17.5</v>
      </c>
      <c r="K305" s="19">
        <f t="shared" si="43"/>
        <v>175</v>
      </c>
      <c r="L305" s="8">
        <f t="shared" si="49"/>
        <v>1.3187879838744636</v>
      </c>
      <c r="M305" s="9">
        <f t="shared" si="50"/>
        <v>40370750</v>
      </c>
      <c r="N305" s="10">
        <f t="shared" si="47"/>
        <v>12869710</v>
      </c>
      <c r="O305" s="11">
        <f t="shared" si="48"/>
        <v>73541.2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624900</v>
      </c>
      <c r="D306" s="79">
        <f t="shared" si="41"/>
        <v>661708.05000000005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147.98000000000002</v>
      </c>
      <c r="J306" s="20">
        <f t="shared" si="46"/>
        <v>7</v>
      </c>
      <c r="K306" s="19">
        <f t="shared" si="43"/>
        <v>70</v>
      </c>
      <c r="L306" s="8">
        <f t="shared" si="49"/>
        <v>1.0093492137506865</v>
      </c>
      <c r="M306" s="9">
        <f t="shared" si="50"/>
        <v>4631956.3500000006</v>
      </c>
      <c r="N306" s="10">
        <f t="shared" si="47"/>
        <v>43305.149999999674</v>
      </c>
      <c r="O306" s="11">
        <f t="shared" si="48"/>
        <v>618.64499999999532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19100</v>
      </c>
      <c r="D307" s="79">
        <f t="shared" si="41"/>
        <v>28949.95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40.46</v>
      </c>
      <c r="J307" s="20">
        <f t="shared" si="46"/>
        <v>21</v>
      </c>
      <c r="K307" s="19">
        <f t="shared" si="43"/>
        <v>210</v>
      </c>
      <c r="L307" s="8">
        <f t="shared" si="49"/>
        <v>1.4779745733585032</v>
      </c>
      <c r="M307" s="9">
        <f t="shared" si="50"/>
        <v>607948.95000000007</v>
      </c>
      <c r="N307" s="10">
        <f t="shared" si="47"/>
        <v>290584.14</v>
      </c>
      <c r="O307" s="11">
        <f t="shared" si="48"/>
        <v>1383.7339999999999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15460</v>
      </c>
      <c r="D308" s="79">
        <f t="shared" si="41"/>
        <v>25147.97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56.552</v>
      </c>
      <c r="J308" s="20">
        <f t="shared" si="46"/>
        <v>42</v>
      </c>
      <c r="K308" s="19">
        <f t="shared" si="43"/>
        <v>420</v>
      </c>
      <c r="L308" s="8">
        <f t="shared" si="49"/>
        <v>1.8997557258100752</v>
      </c>
      <c r="M308" s="9">
        <f t="shared" si="50"/>
        <v>1056214.74</v>
      </c>
      <c r="N308" s="10">
        <f t="shared" si="47"/>
        <v>950335.26</v>
      </c>
      <c r="O308" s="11">
        <f t="shared" si="48"/>
        <v>2262.703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340000</v>
      </c>
      <c r="D309" s="79">
        <f t="shared" si="41"/>
        <v>364130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517</v>
      </c>
      <c r="J309" s="20">
        <f t="shared" si="46"/>
        <v>49</v>
      </c>
      <c r="K309" s="19">
        <f t="shared" si="43"/>
        <v>490</v>
      </c>
      <c r="L309" s="8">
        <f t="shared" si="49"/>
        <v>0.26238004284184224</v>
      </c>
      <c r="M309" s="9">
        <f t="shared" si="50"/>
        <v>17842370</v>
      </c>
      <c r="N309" s="10">
        <f t="shared" si="47"/>
        <v>-13160888.195</v>
      </c>
      <c r="O309" s="11">
        <f t="shared" si="48"/>
        <v>-26858.9555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38970</v>
      </c>
      <c r="D310" s="79">
        <f t="shared" si="41"/>
        <v>49704.165000000001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63.176000000000002</v>
      </c>
      <c r="J310" s="20">
        <f t="shared" si="46"/>
        <v>28</v>
      </c>
      <c r="K310" s="19">
        <f t="shared" si="43"/>
        <v>280</v>
      </c>
      <c r="L310" s="8">
        <f t="shared" si="49"/>
        <v>0.96099481803989661</v>
      </c>
      <c r="M310" s="9">
        <f t="shared" si="50"/>
        <v>1391716.62</v>
      </c>
      <c r="N310" s="10">
        <f t="shared" si="47"/>
        <v>-54284.160000000033</v>
      </c>
      <c r="O310" s="11">
        <f t="shared" si="48"/>
        <v>-193.87200000000013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289900</v>
      </c>
      <c r="D311" s="79">
        <f t="shared" si="41"/>
        <v>311800.55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446.85999999999996</v>
      </c>
      <c r="J311" s="20">
        <f t="shared" si="46"/>
        <v>49</v>
      </c>
      <c r="K311" s="19">
        <f t="shared" si="43"/>
        <v>490</v>
      </c>
      <c r="L311" s="8">
        <f t="shared" si="49"/>
        <v>0.22784252625596718</v>
      </c>
      <c r="M311" s="9">
        <f t="shared" si="50"/>
        <v>15278226.949999999</v>
      </c>
      <c r="N311" s="10">
        <f t="shared" si="47"/>
        <v>-11797197.125</v>
      </c>
      <c r="O311" s="11">
        <f t="shared" si="48"/>
        <v>-24075.912499999999</v>
      </c>
      <c r="P311" s="23">
        <f t="shared" si="44"/>
        <v>3481029.8249999993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318400</v>
      </c>
      <c r="D312" s="79">
        <f t="shared" si="41"/>
        <v>341568.8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820.16</v>
      </c>
      <c r="J312" s="20">
        <f t="shared" si="46"/>
        <v>84</v>
      </c>
      <c r="K312" s="19">
        <f t="shared" si="43"/>
        <v>840</v>
      </c>
      <c r="L312" s="8">
        <f t="shared" si="49"/>
        <v>0.92034020671677275</v>
      </c>
      <c r="M312" s="9">
        <f t="shared" si="50"/>
        <v>28691779.199999999</v>
      </c>
      <c r="N312" s="10">
        <f t="shared" si="47"/>
        <v>-2285581.1999999993</v>
      </c>
      <c r="O312" s="11">
        <f t="shared" si="48"/>
        <v>-2720.9299999999989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4152000</v>
      </c>
      <c r="D313" s="79">
        <f t="shared" si="41"/>
        <v>4345764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2520.1999999999998</v>
      </c>
      <c r="J313" s="20">
        <f t="shared" si="46"/>
        <v>21</v>
      </c>
      <c r="K313" s="19">
        <f t="shared" si="43"/>
        <v>210</v>
      </c>
      <c r="L313" s="8">
        <f t="shared" si="49"/>
        <v>1.1426606460912281</v>
      </c>
      <c r="M313" s="9">
        <f t="shared" si="50"/>
        <v>91261044</v>
      </c>
      <c r="N313" s="10">
        <f t="shared" si="47"/>
        <v>13019359.5</v>
      </c>
      <c r="O313" s="11">
        <f t="shared" si="48"/>
        <v>61996.95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414500</v>
      </c>
      <c r="D314" s="79">
        <f t="shared" si="41"/>
        <v>437445.25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3016.5</v>
      </c>
      <c r="J314" s="20">
        <f t="shared" si="46"/>
        <v>245</v>
      </c>
      <c r="K314" s="19">
        <f t="shared" si="43"/>
        <v>1225</v>
      </c>
      <c r="L314" s="8">
        <f t="shared" si="49"/>
        <v>2.1838364915380839</v>
      </c>
      <c r="M314" s="9">
        <f t="shared" si="50"/>
        <v>107174086.25</v>
      </c>
      <c r="N314" s="10">
        <f t="shared" si="47"/>
        <v>126876594.25</v>
      </c>
      <c r="O314" s="11">
        <f t="shared" si="48"/>
        <v>103572.73000000001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31810</v>
      </c>
      <c r="D315" s="79">
        <f t="shared" si="41"/>
        <v>37725.544999999998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28.724</v>
      </c>
      <c r="J315" s="20">
        <f t="shared" si="46"/>
        <v>14</v>
      </c>
      <c r="K315" s="19">
        <f t="shared" si="43"/>
        <v>70</v>
      </c>
      <c r="L315" s="8">
        <f t="shared" si="49"/>
        <v>2.3797874888222292</v>
      </c>
      <c r="M315" s="9">
        <f t="shared" si="50"/>
        <v>528157.63</v>
      </c>
      <c r="N315" s="10">
        <f t="shared" si="47"/>
        <v>728745.29</v>
      </c>
      <c r="O315" s="11">
        <f t="shared" si="48"/>
        <v>10410.647000000001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998500</v>
      </c>
      <c r="D316" s="79">
        <f t="shared" si="41"/>
        <v>1047433.25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618.1</v>
      </c>
      <c r="J316" s="20">
        <f t="shared" si="46"/>
        <v>21</v>
      </c>
      <c r="K316" s="19">
        <f t="shared" si="43"/>
        <v>105</v>
      </c>
      <c r="L316" s="8">
        <f t="shared" si="49"/>
        <v>3.1891559676953163</v>
      </c>
      <c r="M316" s="9">
        <f t="shared" si="50"/>
        <v>21996098.25</v>
      </c>
      <c r="N316" s="10">
        <f t="shared" si="47"/>
        <v>48152889.75</v>
      </c>
      <c r="O316" s="11">
        <f t="shared" si="48"/>
        <v>458598.95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568200</v>
      </c>
      <c r="D317" s="79">
        <f t="shared" si="41"/>
        <v>597984.9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1176.4000000000001</v>
      </c>
      <c r="J317" s="20">
        <f t="shared" si="46"/>
        <v>70</v>
      </c>
      <c r="K317" s="19">
        <f t="shared" si="43"/>
        <v>350</v>
      </c>
      <c r="L317" s="8">
        <f t="shared" si="49"/>
        <v>1.1821015881839156</v>
      </c>
      <c r="M317" s="9">
        <f t="shared" si="50"/>
        <v>41858943</v>
      </c>
      <c r="N317" s="10">
        <f t="shared" si="47"/>
        <v>7622580</v>
      </c>
      <c r="O317" s="11">
        <f t="shared" si="48"/>
        <v>21778.799999999999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19770</v>
      </c>
      <c r="D318" s="79">
        <f t="shared" si="41"/>
        <v>25149.764999999999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51.724000000000004</v>
      </c>
      <c r="J318" s="20">
        <f t="shared" si="46"/>
        <v>42</v>
      </c>
      <c r="K318" s="19">
        <f t="shared" si="43"/>
        <v>210</v>
      </c>
      <c r="L318" s="8">
        <f t="shared" si="49"/>
        <v>1.8806239342594255</v>
      </c>
      <c r="M318" s="9">
        <f t="shared" si="50"/>
        <v>1056290.1299999999</v>
      </c>
      <c r="N318" s="10">
        <f t="shared" si="47"/>
        <v>930194.37</v>
      </c>
      <c r="O318" s="11">
        <f t="shared" si="48"/>
        <v>4429.4970000000003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758800</v>
      </c>
      <c r="D319" s="79">
        <f t="shared" si="41"/>
        <v>797066.6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938.56</v>
      </c>
      <c r="J319" s="20">
        <f t="shared" si="46"/>
        <v>42</v>
      </c>
      <c r="K319" s="19">
        <f t="shared" si="43"/>
        <v>210</v>
      </c>
      <c r="L319" s="8">
        <f t="shared" si="49"/>
        <v>1.0232705773896436</v>
      </c>
      <c r="M319" s="9">
        <f t="shared" si="50"/>
        <v>33476797.199999999</v>
      </c>
      <c r="N319" s="10">
        <f t="shared" si="47"/>
        <v>779024.40000000293</v>
      </c>
      <c r="O319" s="11">
        <f t="shared" si="48"/>
        <v>3709.640000000014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49450</v>
      </c>
      <c r="D320" s="79">
        <f t="shared" si="41"/>
        <v>56150.525000000001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35.78</v>
      </c>
      <c r="J320" s="20">
        <f t="shared" si="46"/>
        <v>14</v>
      </c>
      <c r="K320" s="19">
        <f t="shared" si="43"/>
        <v>70</v>
      </c>
      <c r="L320" s="8">
        <f t="shared" si="49"/>
        <v>1.5313382199008825</v>
      </c>
      <c r="M320" s="9">
        <f t="shared" si="50"/>
        <v>786107.35</v>
      </c>
      <c r="N320" s="10">
        <f t="shared" si="47"/>
        <v>417688.88000000006</v>
      </c>
      <c r="O320" s="11">
        <f t="shared" si="48"/>
        <v>5966.9840000000013</v>
      </c>
      <c r="P320" s="23">
        <f t="shared" si="44"/>
        <v>1203796.23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23300</v>
      </c>
      <c r="D321" s="79">
        <f t="shared" si="41"/>
        <v>28836.85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32.979999999999997</v>
      </c>
      <c r="J321" s="20">
        <f t="shared" si="46"/>
        <v>21</v>
      </c>
      <c r="K321" s="19">
        <f t="shared" si="43"/>
        <v>105</v>
      </c>
      <c r="L321" s="8">
        <f t="shared" si="49"/>
        <v>1.0917879380029372</v>
      </c>
      <c r="M321" s="9">
        <f t="shared" si="50"/>
        <v>605573.85</v>
      </c>
      <c r="N321" s="10">
        <f t="shared" si="47"/>
        <v>55584.375</v>
      </c>
      <c r="O321" s="11">
        <f t="shared" si="48"/>
        <v>529.375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30530</v>
      </c>
      <c r="D322" s="79">
        <f t="shared" ref="D322:D385" si="51">(C322+(C322*TaxRate))+(G322*ShippingCost)</f>
        <v>36388.584999999999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28.212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3.6603978967580084</v>
      </c>
      <c r="M322" s="9">
        <f t="shared" si="50"/>
        <v>509440.19</v>
      </c>
      <c r="N322" s="10">
        <f t="shared" si="47"/>
        <v>1355313.6100000003</v>
      </c>
      <c r="O322" s="11">
        <f t="shared" si="48"/>
        <v>19361.623000000003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33360000</v>
      </c>
      <c r="D323" s="79">
        <f t="shared" si="51"/>
        <v>34849020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6685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1.0144761603052252</v>
      </c>
      <c r="M323" s="9">
        <f t="shared" si="50"/>
        <v>243943140</v>
      </c>
      <c r="N323" s="10">
        <f t="shared" ref="N323:N386" si="57">(F323-D323)*J323</f>
        <v>3531360</v>
      </c>
      <c r="O323" s="11">
        <f t="shared" ref="O323:O386" si="58">(F323-D323)/G323</f>
        <v>100896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34360000</v>
      </c>
      <c r="D324" s="79">
        <f t="shared" si="51"/>
        <v>35893520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6885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0.99001282125575873</v>
      </c>
      <c r="M324" s="9">
        <f t="shared" ref="M324:M387" si="60">D324*J324</f>
        <v>251254640</v>
      </c>
      <c r="N324" s="10">
        <f t="shared" si="57"/>
        <v>-2509325</v>
      </c>
      <c r="O324" s="11">
        <f t="shared" si="58"/>
        <v>-71695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203900</v>
      </c>
      <c r="D325" s="79">
        <f t="shared" si="51"/>
        <v>217473.55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141.33999999999997</v>
      </c>
      <c r="J325" s="20">
        <f t="shared" si="56"/>
        <v>21</v>
      </c>
      <c r="K325" s="19">
        <f t="shared" si="53"/>
        <v>105</v>
      </c>
      <c r="L325" s="8">
        <f t="shared" si="59"/>
        <v>3.0197472290308411</v>
      </c>
      <c r="M325" s="9">
        <f t="shared" si="60"/>
        <v>4566944.55</v>
      </c>
      <c r="N325" s="10">
        <f t="shared" si="57"/>
        <v>9224073.6000000015</v>
      </c>
      <c r="O325" s="11">
        <f t="shared" si="58"/>
        <v>87848.320000000007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2095000</v>
      </c>
      <c r="D326" s="79">
        <f t="shared" si="51"/>
        <v>2192727.5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854</v>
      </c>
      <c r="J326" s="20">
        <f t="shared" si="56"/>
        <v>14</v>
      </c>
      <c r="K326" s="19">
        <f t="shared" si="53"/>
        <v>70</v>
      </c>
      <c r="L326" s="8">
        <f t="shared" si="59"/>
        <v>1.0061667489462325</v>
      </c>
      <c r="M326" s="9">
        <f t="shared" si="60"/>
        <v>30698185</v>
      </c>
      <c r="N326" s="10">
        <f t="shared" si="57"/>
        <v>189308</v>
      </c>
      <c r="O326" s="11">
        <f t="shared" si="58"/>
        <v>2704.4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3890000</v>
      </c>
      <c r="D327" s="79">
        <f t="shared" si="51"/>
        <v>4108105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1662</v>
      </c>
      <c r="J327" s="20">
        <f t="shared" si="56"/>
        <v>14</v>
      </c>
      <c r="K327" s="19">
        <f t="shared" si="53"/>
        <v>700</v>
      </c>
      <c r="L327" s="8">
        <f t="shared" si="59"/>
        <v>1.394138416617881</v>
      </c>
      <c r="M327" s="9">
        <f t="shared" si="60"/>
        <v>57513470</v>
      </c>
      <c r="N327" s="10">
        <f t="shared" si="57"/>
        <v>22668268</v>
      </c>
      <c r="O327" s="11">
        <f t="shared" si="58"/>
        <v>32383.24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199300</v>
      </c>
      <c r="D328" s="79">
        <f t="shared" si="51"/>
        <v>253168.85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185.72</v>
      </c>
      <c r="J328" s="20">
        <f t="shared" si="56"/>
        <v>14</v>
      </c>
      <c r="K328" s="19">
        <f t="shared" si="53"/>
        <v>700</v>
      </c>
      <c r="L328" s="8">
        <f t="shared" si="59"/>
        <v>4.5289931995978181</v>
      </c>
      <c r="M328" s="9">
        <f t="shared" si="60"/>
        <v>3544363.9</v>
      </c>
      <c r="N328" s="10">
        <f t="shared" si="57"/>
        <v>12508036.1</v>
      </c>
      <c r="O328" s="11">
        <f t="shared" si="58"/>
        <v>17868.623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1249000</v>
      </c>
      <c r="D329" s="79">
        <f t="shared" si="51"/>
        <v>1327080.5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555.6</v>
      </c>
      <c r="J329" s="20">
        <f t="shared" si="56"/>
        <v>14</v>
      </c>
      <c r="K329" s="19">
        <f t="shared" si="53"/>
        <v>350</v>
      </c>
      <c r="L329" s="8">
        <f t="shared" si="59"/>
        <v>2.217604734603515</v>
      </c>
      <c r="M329" s="9">
        <f t="shared" si="60"/>
        <v>18579127</v>
      </c>
      <c r="N329" s="10">
        <f t="shared" si="57"/>
        <v>22622033</v>
      </c>
      <c r="O329" s="11">
        <f t="shared" si="58"/>
        <v>64634.38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1139000</v>
      </c>
      <c r="D330" s="79">
        <f t="shared" si="51"/>
        <v>1198685.5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481.6</v>
      </c>
      <c r="J330" s="20">
        <f t="shared" si="56"/>
        <v>14</v>
      </c>
      <c r="K330" s="19">
        <f t="shared" si="53"/>
        <v>140</v>
      </c>
      <c r="L330" s="8">
        <f t="shared" si="59"/>
        <v>1.6667845736016662</v>
      </c>
      <c r="M330" s="9">
        <f t="shared" si="60"/>
        <v>16781597</v>
      </c>
      <c r="N330" s="10">
        <f t="shared" si="57"/>
        <v>11189710</v>
      </c>
      <c r="O330" s="11">
        <f t="shared" si="58"/>
        <v>79926.5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139600</v>
      </c>
      <c r="D331" s="79">
        <f t="shared" si="51"/>
        <v>163812.20000000001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194.6</v>
      </c>
      <c r="J331" s="20">
        <f t="shared" si="56"/>
        <v>35</v>
      </c>
      <c r="K331" s="19">
        <f t="shared" si="53"/>
        <v>700</v>
      </c>
      <c r="L331" s="8">
        <f t="shared" si="59"/>
        <v>1.3159019902058575</v>
      </c>
      <c r="M331" s="9">
        <f t="shared" si="60"/>
        <v>5733427</v>
      </c>
      <c r="N331" s="10">
        <f t="shared" si="57"/>
        <v>1811200.9999999991</v>
      </c>
      <c r="O331" s="11">
        <f t="shared" si="58"/>
        <v>2587.4299999999989</v>
      </c>
      <c r="P331" s="23">
        <f t="shared" si="54"/>
        <v>7544627.9999999991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1356000</v>
      </c>
      <c r="D332" s="79">
        <f t="shared" si="51"/>
        <v>1434342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4975.6000000000004</v>
      </c>
      <c r="J332" s="20">
        <f t="shared" si="56"/>
        <v>126</v>
      </c>
      <c r="K332" s="19">
        <f t="shared" si="53"/>
        <v>2520</v>
      </c>
      <c r="L332" s="8">
        <f t="shared" si="59"/>
        <v>1.1404644080700419</v>
      </c>
      <c r="M332" s="9">
        <f t="shared" si="60"/>
        <v>180727092</v>
      </c>
      <c r="N332" s="10">
        <f t="shared" si="57"/>
        <v>25385724</v>
      </c>
      <c r="O332" s="11">
        <f t="shared" si="58"/>
        <v>10073.700000000001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26780000</v>
      </c>
      <c r="D333" s="79">
        <f t="shared" si="51"/>
        <v>27989710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5399</v>
      </c>
      <c r="J333" s="20">
        <f t="shared" si="56"/>
        <v>7</v>
      </c>
      <c r="K333" s="19">
        <f t="shared" si="53"/>
        <v>140</v>
      </c>
      <c r="L333" s="8">
        <f t="shared" si="59"/>
        <v>1.1111771075870382</v>
      </c>
      <c r="M333" s="9">
        <f t="shared" si="60"/>
        <v>195927970</v>
      </c>
      <c r="N333" s="10">
        <f t="shared" si="57"/>
        <v>21782705</v>
      </c>
      <c r="O333" s="11">
        <f t="shared" si="58"/>
        <v>155590.75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32660000</v>
      </c>
      <c r="D334" s="79">
        <f t="shared" si="51"/>
        <v>34131370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6575</v>
      </c>
      <c r="J334" s="20">
        <f t="shared" si="56"/>
        <v>7</v>
      </c>
      <c r="K334" s="19">
        <f t="shared" si="53"/>
        <v>140</v>
      </c>
      <c r="L334" s="8">
        <f t="shared" si="59"/>
        <v>1.045884768176607</v>
      </c>
      <c r="M334" s="9">
        <f t="shared" si="60"/>
        <v>238919590</v>
      </c>
      <c r="N334" s="10">
        <f t="shared" si="57"/>
        <v>10962770</v>
      </c>
      <c r="O334" s="11">
        <f t="shared" si="58"/>
        <v>78305.5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34790</v>
      </c>
      <c r="D335" s="79">
        <f t="shared" si="51"/>
        <v>45338.154999999999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59.832000000000001</v>
      </c>
      <c r="J335" s="20">
        <f t="shared" si="56"/>
        <v>28</v>
      </c>
      <c r="K335" s="19">
        <f t="shared" si="53"/>
        <v>280</v>
      </c>
      <c r="L335" s="8">
        <f t="shared" si="59"/>
        <v>7.1591653872990637</v>
      </c>
      <c r="M335" s="9">
        <f t="shared" si="60"/>
        <v>1269468.3399999999</v>
      </c>
      <c r="N335" s="10">
        <f t="shared" si="57"/>
        <v>7818865.459999999</v>
      </c>
      <c r="O335" s="11">
        <f t="shared" si="58"/>
        <v>27924.519499999995</v>
      </c>
      <c r="P335" s="23">
        <f t="shared" si="54"/>
        <v>9088333.7999999989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3746000</v>
      </c>
      <c r="D336" s="79">
        <f t="shared" si="51"/>
        <v>3921697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2276.6</v>
      </c>
      <c r="J336" s="20">
        <f t="shared" si="56"/>
        <v>21</v>
      </c>
      <c r="K336" s="19">
        <f t="shared" si="53"/>
        <v>210</v>
      </c>
      <c r="L336" s="8">
        <f t="shared" si="59"/>
        <v>1.272311705876308</v>
      </c>
      <c r="M336" s="9">
        <f t="shared" si="60"/>
        <v>82355637</v>
      </c>
      <c r="N336" s="10">
        <f t="shared" si="57"/>
        <v>22426404</v>
      </c>
      <c r="O336" s="11">
        <f t="shared" si="58"/>
        <v>106792.4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919300</v>
      </c>
      <c r="D337" s="79">
        <f t="shared" si="51"/>
        <v>969208.85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1888.6</v>
      </c>
      <c r="J337" s="20">
        <f t="shared" si="56"/>
        <v>70</v>
      </c>
      <c r="K337" s="19">
        <f t="shared" si="53"/>
        <v>700</v>
      </c>
      <c r="L337" s="8">
        <f t="shared" si="59"/>
        <v>1.0883846139044233</v>
      </c>
      <c r="M337" s="9">
        <f t="shared" si="60"/>
        <v>67844619.5</v>
      </c>
      <c r="N337" s="10">
        <f t="shared" si="57"/>
        <v>5996420.5000000019</v>
      </c>
      <c r="O337" s="11">
        <f t="shared" si="58"/>
        <v>8566.3150000000023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13410000</v>
      </c>
      <c r="D338" s="79">
        <f t="shared" si="51"/>
        <v>14015745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1362.5</v>
      </c>
      <c r="J338" s="20">
        <f t="shared" si="56"/>
        <v>3.5</v>
      </c>
      <c r="K338" s="19">
        <f t="shared" si="53"/>
        <v>35</v>
      </c>
      <c r="L338" s="8">
        <f t="shared" si="59"/>
        <v>1.0225999402814479</v>
      </c>
      <c r="M338" s="9">
        <f t="shared" si="60"/>
        <v>49055107.5</v>
      </c>
      <c r="N338" s="10">
        <f t="shared" si="57"/>
        <v>1108642.5</v>
      </c>
      <c r="O338" s="11">
        <f t="shared" si="58"/>
        <v>31675.5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13330000</v>
      </c>
      <c r="D339" s="79">
        <f t="shared" si="51"/>
        <v>13932185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10696</v>
      </c>
      <c r="J339" s="20">
        <f t="shared" si="56"/>
        <v>28</v>
      </c>
      <c r="K339" s="19">
        <f t="shared" si="53"/>
        <v>280</v>
      </c>
      <c r="L339" s="8">
        <f t="shared" si="59"/>
        <v>1.1597251256712424</v>
      </c>
      <c r="M339" s="9">
        <f t="shared" si="60"/>
        <v>390101180</v>
      </c>
      <c r="N339" s="10">
        <f t="shared" si="57"/>
        <v>62308960</v>
      </c>
      <c r="O339" s="11">
        <f t="shared" si="58"/>
        <v>222532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509700</v>
      </c>
      <c r="D340" s="79">
        <f t="shared" si="51"/>
        <v>536881.65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219.88</v>
      </c>
      <c r="J340" s="20">
        <f t="shared" si="56"/>
        <v>14</v>
      </c>
      <c r="K340" s="19">
        <f t="shared" si="53"/>
        <v>70</v>
      </c>
      <c r="L340" s="8">
        <f t="shared" si="59"/>
        <v>1.1425814236713063</v>
      </c>
      <c r="M340" s="9">
        <f t="shared" si="60"/>
        <v>7516343.1000000006</v>
      </c>
      <c r="N340" s="10">
        <f t="shared" si="57"/>
        <v>1071690.8999999997</v>
      </c>
      <c r="O340" s="11">
        <f t="shared" si="58"/>
        <v>15309.869999999995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406400</v>
      </c>
      <c r="D341" s="79">
        <f t="shared" si="51"/>
        <v>428984.8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347.12</v>
      </c>
      <c r="J341" s="20">
        <f t="shared" si="56"/>
        <v>28</v>
      </c>
      <c r="K341" s="19">
        <f t="shared" si="53"/>
        <v>140</v>
      </c>
      <c r="L341" s="8">
        <f t="shared" si="59"/>
        <v>1.3250514936659761</v>
      </c>
      <c r="M341" s="9">
        <f t="shared" si="60"/>
        <v>12011574.4</v>
      </c>
      <c r="N341" s="10">
        <f t="shared" si="57"/>
        <v>3904380.1999999993</v>
      </c>
      <c r="O341" s="11">
        <f t="shared" si="58"/>
        <v>27888.429999999993</v>
      </c>
      <c r="P341" s="23">
        <f t="shared" si="54"/>
        <v>15915954.6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3229000</v>
      </c>
      <c r="D342" s="79">
        <f t="shared" si="51"/>
        <v>3377190.5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529.04</v>
      </c>
      <c r="J342" s="20">
        <f t="shared" si="56"/>
        <v>5.6000000000000005</v>
      </c>
      <c r="K342" s="19">
        <f t="shared" si="53"/>
        <v>28</v>
      </c>
      <c r="L342" s="8">
        <f t="shared" si="59"/>
        <v>0.96195343437096603</v>
      </c>
      <c r="M342" s="9">
        <f t="shared" si="60"/>
        <v>18912266.800000001</v>
      </c>
      <c r="N342" s="10">
        <f t="shared" si="57"/>
        <v>-719546.8</v>
      </c>
      <c r="O342" s="11">
        <f t="shared" si="58"/>
        <v>-25698.1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>
        <f t="array" ref="C343:C400">_xlfn.FILTERXML(BE48,BF21)</f>
        <v>2670000</v>
      </c>
      <c r="D343" s="39">
        <f t="shared" si="51"/>
        <v>2793315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>
        <f t="shared" si="55"/>
        <v>439.59999999999997</v>
      </c>
      <c r="J343" s="20">
        <f t="shared" si="56"/>
        <v>5.6000000000000005</v>
      </c>
      <c r="K343" s="19">
        <f t="shared" si="53"/>
        <v>28</v>
      </c>
      <c r="L343" s="8">
        <f t="shared" si="59"/>
        <v>1.4110250723602602</v>
      </c>
      <c r="M343" s="9">
        <f t="shared" si="60"/>
        <v>15642564.000000002</v>
      </c>
      <c r="N343" s="10">
        <f t="shared" si="57"/>
        <v>6429486.0000000009</v>
      </c>
      <c r="O343" s="11">
        <f t="shared" si="58"/>
        <v>229624.5</v>
      </c>
      <c r="P343" s="23">
        <f t="shared" si="54"/>
        <v>22072050.000000004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>
        <v>2358000</v>
      </c>
      <c r="D344" s="39">
        <f t="shared" si="51"/>
        <v>2467431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>
        <f t="shared" si="55"/>
        <v>2383</v>
      </c>
      <c r="J344" s="20">
        <f t="shared" si="56"/>
        <v>35</v>
      </c>
      <c r="K344" s="19">
        <f t="shared" si="53"/>
        <v>175</v>
      </c>
      <c r="L344" s="8">
        <f t="shared" si="59"/>
        <v>1.1292060446675105</v>
      </c>
      <c r="M344" s="9">
        <f t="shared" si="60"/>
        <v>86360085</v>
      </c>
      <c r="N344" s="10">
        <f t="shared" si="57"/>
        <v>11158245</v>
      </c>
      <c r="O344" s="11">
        <f t="shared" si="58"/>
        <v>63761.4</v>
      </c>
      <c r="P344" s="23">
        <f t="shared" si="54"/>
        <v>97518330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>
        <v>178000</v>
      </c>
      <c r="D345" s="39">
        <f t="shared" si="51"/>
        <v>190421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>
        <f t="shared" si="55"/>
        <v>87.2</v>
      </c>
      <c r="J345" s="20">
        <f t="shared" si="56"/>
        <v>14</v>
      </c>
      <c r="K345" s="19">
        <f t="shared" si="53"/>
        <v>70</v>
      </c>
      <c r="L345" s="8">
        <f t="shared" si="59"/>
        <v>1.2730231959710325</v>
      </c>
      <c r="M345" s="9">
        <f t="shared" si="60"/>
        <v>2665894</v>
      </c>
      <c r="N345" s="10">
        <f t="shared" si="57"/>
        <v>727850.90000000014</v>
      </c>
      <c r="O345" s="11">
        <f t="shared" si="58"/>
        <v>10397.870000000001</v>
      </c>
      <c r="P345" s="23">
        <f t="shared" si="54"/>
        <v>3393744.9000000004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>
        <v>278400</v>
      </c>
      <c r="D346" s="39">
        <f t="shared" si="51"/>
        <v>295288.8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>
        <f t="shared" si="55"/>
        <v>362.08</v>
      </c>
      <c r="J346" s="20">
        <f t="shared" si="56"/>
        <v>42</v>
      </c>
      <c r="K346" s="19">
        <f t="shared" si="53"/>
        <v>210</v>
      </c>
      <c r="L346" s="8">
        <f t="shared" si="59"/>
        <v>0.45398487853247399</v>
      </c>
      <c r="M346" s="9">
        <f t="shared" si="60"/>
        <v>12402129.6</v>
      </c>
      <c r="N346" s="10">
        <f t="shared" si="57"/>
        <v>-6771750.2999999998</v>
      </c>
      <c r="O346" s="11">
        <f t="shared" si="58"/>
        <v>-32246.43</v>
      </c>
      <c r="P346" s="23">
        <f t="shared" si="54"/>
        <v>5630379.2999999998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>
        <v>128000</v>
      </c>
      <c r="D347" s="39">
        <f t="shared" si="51"/>
        <v>138196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>
        <f t="shared" si="55"/>
        <v>67.2</v>
      </c>
      <c r="J347" s="20">
        <f t="shared" si="56"/>
        <v>14</v>
      </c>
      <c r="K347" s="19">
        <f t="shared" si="53"/>
        <v>70</v>
      </c>
      <c r="L347" s="8">
        <f t="shared" si="59"/>
        <v>1.3268144519378275</v>
      </c>
      <c r="M347" s="9">
        <f t="shared" si="60"/>
        <v>1934744</v>
      </c>
      <c r="N347" s="10">
        <f t="shared" si="57"/>
        <v>632302.30000000016</v>
      </c>
      <c r="O347" s="11">
        <f t="shared" si="58"/>
        <v>9032.8900000000031</v>
      </c>
      <c r="P347" s="23">
        <f t="shared" si="54"/>
        <v>2567046.3000000003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>
        <v>2599000</v>
      </c>
      <c r="D348" s="39">
        <f t="shared" si="51"/>
        <v>2719155.5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>
        <f t="shared" si="55"/>
        <v>14648.4</v>
      </c>
      <c r="J348" s="20">
        <f t="shared" si="56"/>
        <v>196</v>
      </c>
      <c r="K348" s="19">
        <f t="shared" si="53"/>
        <v>980</v>
      </c>
      <c r="L348" s="8">
        <f t="shared" si="59"/>
        <v>1.0499708457276533</v>
      </c>
      <c r="M348" s="9">
        <f t="shared" si="60"/>
        <v>532954478</v>
      </c>
      <c r="N348" s="10">
        <f t="shared" si="57"/>
        <v>26632186</v>
      </c>
      <c r="O348" s="11">
        <f t="shared" si="58"/>
        <v>27175.7</v>
      </c>
      <c r="P348" s="23">
        <f t="shared" si="54"/>
        <v>559586664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>
        <v>240300000</v>
      </c>
      <c r="D349" s="39">
        <f t="shared" si="51"/>
        <v>250997850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>
        <f t="shared" si="55"/>
        <v>33654.1</v>
      </c>
      <c r="J349" s="20">
        <f t="shared" si="56"/>
        <v>4.8999999999999995</v>
      </c>
      <c r="K349" s="19">
        <f t="shared" si="53"/>
        <v>24.5</v>
      </c>
      <c r="L349" s="8">
        <f t="shared" si="59"/>
        <v>1.4047112355743285</v>
      </c>
      <c r="M349" s="9">
        <f t="shared" si="60"/>
        <v>1229889464.9999998</v>
      </c>
      <c r="N349" s="10">
        <f t="shared" si="57"/>
        <v>497750084.99999994</v>
      </c>
      <c r="O349" s="11">
        <f t="shared" si="58"/>
        <v>20316330</v>
      </c>
      <c r="P349" s="23">
        <f t="shared" si="54"/>
        <v>1727639549.9999998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>
        <v>174500</v>
      </c>
      <c r="D350" s="39">
        <f t="shared" si="51"/>
        <v>186765.25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>
        <f t="shared" si="55"/>
        <v>161.6</v>
      </c>
      <c r="J350" s="20">
        <f t="shared" si="56"/>
        <v>28</v>
      </c>
      <c r="K350" s="19">
        <f t="shared" si="53"/>
        <v>140</v>
      </c>
      <c r="L350" s="8">
        <f t="shared" si="59"/>
        <v>1.5808588589151353</v>
      </c>
      <c r="M350" s="9">
        <f t="shared" si="60"/>
        <v>5229427</v>
      </c>
      <c r="N350" s="10">
        <f t="shared" si="57"/>
        <v>3037559</v>
      </c>
      <c r="O350" s="11">
        <f t="shared" si="58"/>
        <v>21696.85</v>
      </c>
      <c r="P350" s="23">
        <f t="shared" si="54"/>
        <v>8266986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>
        <v>1149000</v>
      </c>
      <c r="D351" s="39">
        <f t="shared" si="51"/>
        <v>1204630.5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>
        <f t="shared" si="55"/>
        <v>1174</v>
      </c>
      <c r="J351" s="20">
        <f t="shared" si="56"/>
        <v>35</v>
      </c>
      <c r="K351" s="19">
        <f t="shared" si="53"/>
        <v>175</v>
      </c>
      <c r="L351" s="8">
        <f t="shared" si="59"/>
        <v>0.88361285888079377</v>
      </c>
      <c r="M351" s="9">
        <f t="shared" si="60"/>
        <v>42162067.5</v>
      </c>
      <c r="N351" s="10">
        <f t="shared" si="57"/>
        <v>-4907122.5</v>
      </c>
      <c r="O351" s="11">
        <f t="shared" si="58"/>
        <v>-28040.7</v>
      </c>
      <c r="P351" s="23">
        <f t="shared" si="54"/>
        <v>37254945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>
        <v>944400</v>
      </c>
      <c r="D352" s="39">
        <f t="shared" si="51"/>
        <v>990925.8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>
        <f t="shared" si="55"/>
        <v>393.76</v>
      </c>
      <c r="J352" s="20">
        <f t="shared" si="56"/>
        <v>14</v>
      </c>
      <c r="K352" s="19">
        <f t="shared" si="53"/>
        <v>70</v>
      </c>
      <c r="L352" s="8">
        <f t="shared" si="59"/>
        <v>1.628617904589829</v>
      </c>
      <c r="M352" s="9">
        <f t="shared" si="60"/>
        <v>13872961.200000001</v>
      </c>
      <c r="N352" s="10">
        <f t="shared" si="57"/>
        <v>8720791.7999999989</v>
      </c>
      <c r="O352" s="11">
        <f t="shared" si="58"/>
        <v>124582.73999999999</v>
      </c>
      <c r="P352" s="23">
        <f t="shared" si="54"/>
        <v>22593753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>
        <v>2307000</v>
      </c>
      <c r="D353" s="39">
        <f t="shared" si="51"/>
        <v>2418661.5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>
        <f t="shared" si="55"/>
        <v>1413.2</v>
      </c>
      <c r="J353" s="20">
        <f t="shared" si="56"/>
        <v>21</v>
      </c>
      <c r="K353" s="19">
        <f t="shared" si="53"/>
        <v>210</v>
      </c>
      <c r="L353" s="8">
        <f t="shared" si="59"/>
        <v>1.3818961437968893</v>
      </c>
      <c r="M353" s="9">
        <f t="shared" si="60"/>
        <v>50791891.5</v>
      </c>
      <c r="N353" s="10">
        <f t="shared" si="57"/>
        <v>19397227.5</v>
      </c>
      <c r="O353" s="11">
        <f t="shared" si="58"/>
        <v>92367.75</v>
      </c>
      <c r="P353" s="23">
        <f t="shared" si="54"/>
        <v>70189119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>
        <v>2733000</v>
      </c>
      <c r="D354" s="39">
        <f t="shared" si="51"/>
        <v>2863618.5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>
        <f t="shared" si="55"/>
        <v>1668.8</v>
      </c>
      <c r="J354" s="20">
        <f t="shared" si="56"/>
        <v>21</v>
      </c>
      <c r="K354" s="19">
        <f t="shared" si="53"/>
        <v>210</v>
      </c>
      <c r="L354" s="8">
        <f t="shared" si="59"/>
        <v>1.133139068629428</v>
      </c>
      <c r="M354" s="9">
        <f t="shared" si="60"/>
        <v>60135988.5</v>
      </c>
      <c r="N354" s="10">
        <f t="shared" si="57"/>
        <v>8006449.5</v>
      </c>
      <c r="O354" s="11">
        <f t="shared" si="58"/>
        <v>38125.949999999997</v>
      </c>
      <c r="P354" s="23">
        <f t="shared" si="54"/>
        <v>68142438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>
        <v>2699000</v>
      </c>
      <c r="D355" s="39">
        <f t="shared" si="51"/>
        <v>2828105.5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>
        <f t="shared" si="55"/>
        <v>3276.7999999999997</v>
      </c>
      <c r="J355" s="20">
        <f t="shared" si="56"/>
        <v>42</v>
      </c>
      <c r="K355" s="19">
        <f t="shared" si="53"/>
        <v>420</v>
      </c>
      <c r="L355" s="8">
        <f t="shared" si="59"/>
        <v>1.4649552500781884</v>
      </c>
      <c r="M355" s="9">
        <f t="shared" si="60"/>
        <v>118780431</v>
      </c>
      <c r="N355" s="10">
        <f t="shared" si="57"/>
        <v>55227585</v>
      </c>
      <c r="O355" s="11">
        <f t="shared" si="58"/>
        <v>131494.25</v>
      </c>
      <c r="P355" s="23">
        <f t="shared" si="54"/>
        <v>174008016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>
        <v>867000</v>
      </c>
      <c r="D356" s="39">
        <f t="shared" si="51"/>
        <v>910081.5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>
        <f t="shared" si="55"/>
        <v>539.19999999999993</v>
      </c>
      <c r="J356" s="20">
        <f t="shared" si="56"/>
        <v>21</v>
      </c>
      <c r="K356" s="19">
        <f t="shared" si="53"/>
        <v>105</v>
      </c>
      <c r="L356" s="8">
        <f t="shared" si="59"/>
        <v>0.68243888047389167</v>
      </c>
      <c r="M356" s="9">
        <f t="shared" si="60"/>
        <v>19111711.5</v>
      </c>
      <c r="N356" s="10">
        <f t="shared" si="57"/>
        <v>-6069136.5</v>
      </c>
      <c r="O356" s="11">
        <f t="shared" si="58"/>
        <v>-57801.3</v>
      </c>
      <c r="P356" s="23">
        <f t="shared" si="54"/>
        <v>13042575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>
        <v>998500</v>
      </c>
      <c r="D357" s="39">
        <f t="shared" si="51"/>
        <v>1047433.25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>
        <f t="shared" si="55"/>
        <v>1631.6</v>
      </c>
      <c r="J357" s="20">
        <f t="shared" si="56"/>
        <v>56</v>
      </c>
      <c r="K357" s="19">
        <f t="shared" si="53"/>
        <v>280</v>
      </c>
      <c r="L357" s="8">
        <f t="shared" si="59"/>
        <v>1.5507909453895987</v>
      </c>
      <c r="M357" s="9">
        <f t="shared" si="60"/>
        <v>58656262</v>
      </c>
      <c r="N357" s="10">
        <f t="shared" si="57"/>
        <v>32307338</v>
      </c>
      <c r="O357" s="11">
        <f t="shared" si="58"/>
        <v>115383.35</v>
      </c>
      <c r="P357" s="23">
        <f t="shared" si="54"/>
        <v>90963600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>
        <v>3139000</v>
      </c>
      <c r="D358" s="39">
        <f t="shared" si="51"/>
        <v>3287685.5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>
        <f t="shared" si="55"/>
        <v>3804.7999999999997</v>
      </c>
      <c r="J358" s="20">
        <f t="shared" si="56"/>
        <v>42</v>
      </c>
      <c r="K358" s="19">
        <f t="shared" si="53"/>
        <v>420</v>
      </c>
      <c r="L358" s="8">
        <f t="shared" si="59"/>
        <v>0.89862792532923241</v>
      </c>
      <c r="M358" s="9">
        <f t="shared" si="60"/>
        <v>138082791</v>
      </c>
      <c r="N358" s="10">
        <f t="shared" si="57"/>
        <v>-13997739</v>
      </c>
      <c r="O358" s="11">
        <f t="shared" si="58"/>
        <v>-33327.949999999997</v>
      </c>
      <c r="P358" s="23">
        <f t="shared" si="54"/>
        <v>124085052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>
        <v>2940000</v>
      </c>
      <c r="D359" s="39">
        <f t="shared" si="51"/>
        <v>3088830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>
        <f t="shared" si="55"/>
        <v>1222</v>
      </c>
      <c r="J359" s="20">
        <f t="shared" si="56"/>
        <v>14</v>
      </c>
      <c r="K359" s="19">
        <f t="shared" si="53"/>
        <v>280</v>
      </c>
      <c r="L359" s="8">
        <f t="shared" si="59"/>
        <v>1.2373617194860189</v>
      </c>
      <c r="M359" s="9">
        <f t="shared" si="60"/>
        <v>43243620</v>
      </c>
      <c r="N359" s="10">
        <f t="shared" si="57"/>
        <v>10264380</v>
      </c>
      <c r="O359" s="11">
        <f t="shared" si="58"/>
        <v>36658.5</v>
      </c>
      <c r="P359" s="23">
        <f t="shared" si="54"/>
        <v>53508000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>
        <v>1590000</v>
      </c>
      <c r="D360" s="39">
        <f t="shared" si="51"/>
        <v>1669755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>
        <f t="shared" si="55"/>
        <v>1946</v>
      </c>
      <c r="J360" s="20">
        <f t="shared" si="56"/>
        <v>42</v>
      </c>
      <c r="K360" s="19">
        <f t="shared" si="53"/>
        <v>420</v>
      </c>
      <c r="L360" s="8">
        <f t="shared" si="59"/>
        <v>1.7064186063224844</v>
      </c>
      <c r="M360" s="9">
        <f t="shared" si="60"/>
        <v>70129710</v>
      </c>
      <c r="N360" s="10">
        <f t="shared" si="57"/>
        <v>49540932</v>
      </c>
      <c r="O360" s="11">
        <f t="shared" si="58"/>
        <v>117954.6</v>
      </c>
      <c r="P360" s="23">
        <f t="shared" si="54"/>
        <v>119670642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>
        <v>2537000</v>
      </c>
      <c r="D361" s="39">
        <f t="shared" si="51"/>
        <v>2658896.5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>
        <f t="shared" si="55"/>
        <v>1551.1999999999998</v>
      </c>
      <c r="J361" s="20">
        <f t="shared" si="56"/>
        <v>21</v>
      </c>
      <c r="K361" s="19">
        <f t="shared" si="53"/>
        <v>210</v>
      </c>
      <c r="L361" s="8">
        <f t="shared" si="59"/>
        <v>0.94870936119551852</v>
      </c>
      <c r="M361" s="9">
        <f t="shared" si="60"/>
        <v>55836826.5</v>
      </c>
      <c r="N361" s="10">
        <f t="shared" si="57"/>
        <v>-2863906.5</v>
      </c>
      <c r="O361" s="11">
        <f t="shared" si="58"/>
        <v>-13637.65</v>
      </c>
      <c r="P361" s="23">
        <f t="shared" si="54"/>
        <v>52972920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>
        <v>1494000</v>
      </c>
      <c r="D362" s="39">
        <f t="shared" si="51"/>
        <v>1569483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>
        <f t="shared" si="55"/>
        <v>3641.6</v>
      </c>
      <c r="J362" s="20">
        <f t="shared" si="56"/>
        <v>84</v>
      </c>
      <c r="K362" s="19">
        <f t="shared" si="53"/>
        <v>840</v>
      </c>
      <c r="L362" s="8">
        <f t="shared" si="59"/>
        <v>1.18594084803722</v>
      </c>
      <c r="M362" s="9">
        <f t="shared" si="60"/>
        <v>131836572</v>
      </c>
      <c r="N362" s="10">
        <f t="shared" si="57"/>
        <v>24513804</v>
      </c>
      <c r="O362" s="11">
        <f t="shared" si="58"/>
        <v>29183.1</v>
      </c>
      <c r="P362" s="23">
        <f t="shared" si="54"/>
        <v>156350376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>
        <v>1140000</v>
      </c>
      <c r="D363" s="39">
        <f t="shared" si="51"/>
        <v>1195230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>
        <f t="shared" si="55"/>
        <v>1627</v>
      </c>
      <c r="J363" s="20">
        <f t="shared" si="56"/>
        <v>49</v>
      </c>
      <c r="K363" s="19">
        <f t="shared" si="53"/>
        <v>245</v>
      </c>
      <c r="L363" s="8">
        <f t="shared" si="59"/>
        <v>0.87857107000326295</v>
      </c>
      <c r="M363" s="9">
        <f t="shared" si="60"/>
        <v>58566270</v>
      </c>
      <c r="N363" s="10">
        <f t="shared" si="57"/>
        <v>-7111639.5</v>
      </c>
      <c r="O363" s="11">
        <f t="shared" si="58"/>
        <v>-29027.1</v>
      </c>
      <c r="P363" s="23">
        <f t="shared" si="54"/>
        <v>51454630.5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>
        <v>4138000</v>
      </c>
      <c r="D364" s="39">
        <f t="shared" si="51"/>
        <v>4340141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>
        <f t="shared" si="55"/>
        <v>4193</v>
      </c>
      <c r="J364" s="20">
        <f t="shared" si="56"/>
        <v>35</v>
      </c>
      <c r="K364" s="19">
        <f t="shared" si="53"/>
        <v>700</v>
      </c>
      <c r="L364" s="8">
        <f t="shared" si="59"/>
        <v>0.72849004214379209</v>
      </c>
      <c r="M364" s="9">
        <f t="shared" si="60"/>
        <v>151904935</v>
      </c>
      <c r="N364" s="10">
        <f t="shared" si="57"/>
        <v>-41243702.5</v>
      </c>
      <c r="O364" s="11">
        <f t="shared" si="58"/>
        <v>-58919.574999999997</v>
      </c>
      <c r="P364" s="23">
        <f t="shared" si="54"/>
        <v>110661232.5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>
        <v>996100</v>
      </c>
      <c r="D365" s="39">
        <f t="shared" si="51"/>
        <v>1049426.45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>
        <f t="shared" si="55"/>
        <v>2851.08</v>
      </c>
      <c r="J365" s="20">
        <f t="shared" si="56"/>
        <v>98</v>
      </c>
      <c r="K365" s="19">
        <f t="shared" si="53"/>
        <v>980</v>
      </c>
      <c r="L365" s="8">
        <f t="shared" si="59"/>
        <v>0.88127038345564856</v>
      </c>
      <c r="M365" s="9">
        <f t="shared" si="60"/>
        <v>102843792.09999999</v>
      </c>
      <c r="N365" s="10">
        <f t="shared" si="57"/>
        <v>-12210604</v>
      </c>
      <c r="O365" s="11">
        <f t="shared" si="58"/>
        <v>-12459.8</v>
      </c>
      <c r="P365" s="23">
        <f t="shared" si="54"/>
        <v>90633188.099999994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>
        <v>427900</v>
      </c>
      <c r="D366" s="39">
        <f t="shared" si="51"/>
        <v>451441.55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>
        <f t="shared" si="55"/>
        <v>364.32</v>
      </c>
      <c r="J366" s="20">
        <f t="shared" si="56"/>
        <v>28</v>
      </c>
      <c r="K366" s="19">
        <f t="shared" si="53"/>
        <v>140</v>
      </c>
      <c r="L366" s="8">
        <f t="shared" si="59"/>
        <v>1.9722041535609649</v>
      </c>
      <c r="M366" s="9">
        <f t="shared" si="60"/>
        <v>12640363.4</v>
      </c>
      <c r="N366" s="10">
        <f t="shared" si="57"/>
        <v>12289013.800000001</v>
      </c>
      <c r="O366" s="11">
        <f t="shared" si="58"/>
        <v>87778.670000000013</v>
      </c>
      <c r="P366" s="23">
        <f t="shared" si="54"/>
        <v>24929377.200000003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>
        <v>95000</v>
      </c>
      <c r="D367" s="39">
        <f t="shared" si="51"/>
        <v>117227.5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>
        <f t="shared" si="55"/>
        <v>106</v>
      </c>
      <c r="J367" s="20">
        <f t="shared" si="56"/>
        <v>21</v>
      </c>
      <c r="K367" s="19">
        <f t="shared" si="53"/>
        <v>420</v>
      </c>
      <c r="L367" s="8">
        <f t="shared" si="59"/>
        <v>1.5062711394510673</v>
      </c>
      <c r="M367" s="9">
        <f t="shared" si="60"/>
        <v>2461777.5</v>
      </c>
      <c r="N367" s="10">
        <f t="shared" si="57"/>
        <v>1246326.8999999999</v>
      </c>
      <c r="O367" s="11">
        <f t="shared" si="58"/>
        <v>2967.4449999999997</v>
      </c>
      <c r="P367" s="23">
        <f t="shared" si="54"/>
        <v>3708104.4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>
        <v>5591000</v>
      </c>
      <c r="D368" s="39">
        <f t="shared" si="51"/>
        <v>5857799.5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>
        <f t="shared" si="55"/>
        <v>6767.2</v>
      </c>
      <c r="J368" s="20">
        <f t="shared" si="56"/>
        <v>42</v>
      </c>
      <c r="K368" s="19">
        <f t="shared" si="53"/>
        <v>840</v>
      </c>
      <c r="L368" s="8">
        <f t="shared" si="59"/>
        <v>1.1090247284837933</v>
      </c>
      <c r="M368" s="9">
        <f t="shared" si="60"/>
        <v>246027579</v>
      </c>
      <c r="N368" s="10">
        <f t="shared" si="57"/>
        <v>26823090</v>
      </c>
      <c r="O368" s="11">
        <f t="shared" si="58"/>
        <v>31932.25</v>
      </c>
      <c r="P368" s="23">
        <f t="shared" si="54"/>
        <v>272850669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>
        <v>22710000</v>
      </c>
      <c r="D369" s="39">
        <f t="shared" si="51"/>
        <v>23725095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>
        <f t="shared" si="55"/>
        <v>4555</v>
      </c>
      <c r="J369" s="20">
        <f t="shared" si="56"/>
        <v>7</v>
      </c>
      <c r="K369" s="19">
        <f t="shared" si="53"/>
        <v>35</v>
      </c>
      <c r="L369" s="8">
        <f t="shared" si="59"/>
        <v>1.0068452834435437</v>
      </c>
      <c r="M369" s="9">
        <f t="shared" si="60"/>
        <v>166075665</v>
      </c>
      <c r="N369" s="10">
        <f t="shared" si="57"/>
        <v>1136835</v>
      </c>
      <c r="O369" s="11">
        <f t="shared" si="58"/>
        <v>32481</v>
      </c>
      <c r="P369" s="23">
        <f t="shared" si="54"/>
        <v>167212500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>
        <v>2564000</v>
      </c>
      <c r="D370" s="39">
        <f t="shared" si="51"/>
        <v>2687098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>
        <f t="shared" si="55"/>
        <v>6209.5999999999995</v>
      </c>
      <c r="J370" s="20">
        <f t="shared" si="56"/>
        <v>84</v>
      </c>
      <c r="K370" s="19">
        <f t="shared" si="53"/>
        <v>840</v>
      </c>
      <c r="L370" s="8">
        <f t="shared" si="59"/>
        <v>1.0728092164855916</v>
      </c>
      <c r="M370" s="9">
        <f t="shared" si="60"/>
        <v>225716232</v>
      </c>
      <c r="N370" s="10">
        <f t="shared" si="57"/>
        <v>16434222</v>
      </c>
      <c r="O370" s="11">
        <f t="shared" si="58"/>
        <v>19564.55</v>
      </c>
      <c r="P370" s="23">
        <f t="shared" si="54"/>
        <v>242150454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>
        <v>1200000</v>
      </c>
      <c r="D371" s="39">
        <f t="shared" si="51"/>
        <v>1257900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>
        <f t="shared" si="55"/>
        <v>496</v>
      </c>
      <c r="J371" s="20">
        <f t="shared" si="56"/>
        <v>14</v>
      </c>
      <c r="K371" s="19">
        <f t="shared" si="53"/>
        <v>70</v>
      </c>
      <c r="L371" s="8">
        <f t="shared" si="59"/>
        <v>1.0604006677796327</v>
      </c>
      <c r="M371" s="9">
        <f t="shared" si="60"/>
        <v>17610600</v>
      </c>
      <c r="N371" s="10">
        <f t="shared" si="57"/>
        <v>1063692</v>
      </c>
      <c r="O371" s="11">
        <f t="shared" si="58"/>
        <v>15195.6</v>
      </c>
      <c r="P371" s="23">
        <f t="shared" si="54"/>
        <v>18674292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>
        <v>2657000</v>
      </c>
      <c r="D372" s="39">
        <f t="shared" si="51"/>
        <v>2784236.5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>
        <f t="shared" si="55"/>
        <v>2157.6</v>
      </c>
      <c r="J372" s="20">
        <f t="shared" si="56"/>
        <v>28</v>
      </c>
      <c r="K372" s="19">
        <f t="shared" si="53"/>
        <v>280</v>
      </c>
      <c r="L372" s="8">
        <f t="shared" si="59"/>
        <v>1.0518529945283024</v>
      </c>
      <c r="M372" s="9">
        <f t="shared" si="60"/>
        <v>77958622</v>
      </c>
      <c r="N372" s="10">
        <f t="shared" si="57"/>
        <v>4042388</v>
      </c>
      <c r="O372" s="11">
        <f t="shared" si="58"/>
        <v>14437.1</v>
      </c>
      <c r="P372" s="23">
        <f t="shared" si="54"/>
        <v>82001010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>
        <v>2670000</v>
      </c>
      <c r="D373" s="39">
        <f t="shared" si="51"/>
        <v>2797815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>
        <f t="shared" si="55"/>
        <v>3778.9999999999995</v>
      </c>
      <c r="J373" s="20">
        <f t="shared" si="56"/>
        <v>49</v>
      </c>
      <c r="K373" s="19">
        <f t="shared" si="53"/>
        <v>490</v>
      </c>
      <c r="L373" s="8">
        <f t="shared" si="59"/>
        <v>1.1502275883144526</v>
      </c>
      <c r="M373" s="9">
        <f t="shared" si="60"/>
        <v>137092935</v>
      </c>
      <c r="N373" s="10">
        <f t="shared" si="57"/>
        <v>20595141</v>
      </c>
      <c r="O373" s="11">
        <f t="shared" si="58"/>
        <v>42030.9</v>
      </c>
      <c r="P373" s="23">
        <f t="shared" si="54"/>
        <v>157688076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>
        <v>539000</v>
      </c>
      <c r="D374" s="39">
        <f t="shared" si="51"/>
        <v>567485.5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>
        <f t="shared" si="55"/>
        <v>231.6</v>
      </c>
      <c r="J374" s="20">
        <f t="shared" si="56"/>
        <v>14</v>
      </c>
      <c r="K374" s="19">
        <f t="shared" si="53"/>
        <v>70</v>
      </c>
      <c r="L374" s="8">
        <f t="shared" si="59"/>
        <v>1.2628075959650071</v>
      </c>
      <c r="M374" s="9">
        <f t="shared" si="60"/>
        <v>7944797</v>
      </c>
      <c r="N374" s="10">
        <f t="shared" si="57"/>
        <v>2087953</v>
      </c>
      <c r="O374" s="11">
        <f t="shared" si="58"/>
        <v>29827.9</v>
      </c>
      <c r="P374" s="23">
        <f t="shared" si="54"/>
        <v>10032750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>
        <v>497800</v>
      </c>
      <c r="D375" s="39">
        <f t="shared" si="51"/>
        <v>524452.1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>
        <f t="shared" si="55"/>
        <v>522.79999999999995</v>
      </c>
      <c r="J375" s="20">
        <f t="shared" si="56"/>
        <v>35</v>
      </c>
      <c r="K375" s="19">
        <f t="shared" si="53"/>
        <v>175</v>
      </c>
      <c r="L375" s="8">
        <f t="shared" si="59"/>
        <v>0.7378700552443207</v>
      </c>
      <c r="M375" s="9">
        <f t="shared" si="60"/>
        <v>18355823.5</v>
      </c>
      <c r="N375" s="10">
        <f t="shared" si="57"/>
        <v>-4811610.9999999991</v>
      </c>
      <c r="O375" s="11">
        <f t="shared" si="58"/>
        <v>-27494.919999999995</v>
      </c>
      <c r="P375" s="23">
        <f t="shared" si="54"/>
        <v>13544212.5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>
        <v>617700</v>
      </c>
      <c r="D376" s="39">
        <f t="shared" si="51"/>
        <v>649687.65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>
        <f t="shared" si="55"/>
        <v>263.08000000000004</v>
      </c>
      <c r="J376" s="20">
        <f t="shared" si="56"/>
        <v>14</v>
      </c>
      <c r="K376" s="19">
        <f t="shared" si="53"/>
        <v>70</v>
      </c>
      <c r="L376" s="8">
        <f t="shared" si="59"/>
        <v>1.433497850851867</v>
      </c>
      <c r="M376" s="9">
        <f t="shared" si="60"/>
        <v>9095627.0999999996</v>
      </c>
      <c r="N376" s="10">
        <f t="shared" si="57"/>
        <v>3942934.7999999993</v>
      </c>
      <c r="O376" s="11">
        <f t="shared" si="58"/>
        <v>56327.639999999992</v>
      </c>
      <c r="P376" s="23">
        <f t="shared" si="54"/>
        <v>13038561.899999999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>
        <v>860000</v>
      </c>
      <c r="D377" s="39">
        <f t="shared" si="51"/>
        <v>902770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>
        <f t="shared" si="55"/>
        <v>885</v>
      </c>
      <c r="J377" s="20">
        <f t="shared" si="56"/>
        <v>35</v>
      </c>
      <c r="K377" s="19">
        <f t="shared" si="53"/>
        <v>175</v>
      </c>
      <c r="L377" s="8">
        <f t="shared" si="59"/>
        <v>1.1864766219524352</v>
      </c>
      <c r="M377" s="9">
        <f t="shared" si="60"/>
        <v>31596950</v>
      </c>
      <c r="N377" s="10">
        <f t="shared" si="57"/>
        <v>5892092.5</v>
      </c>
      <c r="O377" s="11">
        <f t="shared" si="58"/>
        <v>33669.1</v>
      </c>
      <c r="P377" s="23">
        <f t="shared" si="54"/>
        <v>37489042.5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>
        <v>1302000</v>
      </c>
      <c r="D378" s="39">
        <f t="shared" si="51"/>
        <v>1364439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>
        <f t="shared" si="55"/>
        <v>4224.3999999999996</v>
      </c>
      <c r="J378" s="20">
        <f t="shared" si="56"/>
        <v>112</v>
      </c>
      <c r="K378" s="19">
        <f t="shared" si="53"/>
        <v>560</v>
      </c>
      <c r="L378" s="8">
        <f t="shared" si="59"/>
        <v>1.8907770886056467</v>
      </c>
      <c r="M378" s="9">
        <f t="shared" si="60"/>
        <v>152817168</v>
      </c>
      <c r="N378" s="10">
        <f t="shared" si="57"/>
        <v>136126032</v>
      </c>
      <c r="O378" s="11">
        <f t="shared" si="58"/>
        <v>243082.2</v>
      </c>
      <c r="P378" s="23">
        <f t="shared" si="54"/>
        <v>288943200</v>
      </c>
      <c r="Q378">
        <f>VLOOKUP(B378,Buylist!B:B,1,FALSE)</f>
        <v>22291</v>
      </c>
      <c r="R378" t="str">
        <f>VLOOKUP(B378,Buylist!B:M,12,FALSE)</f>
        <v>x</v>
      </c>
    </row>
    <row r="379" spans="1:18">
      <c r="A379" s="25" t="s">
        <v>6486</v>
      </c>
      <c r="B379" s="73">
        <f>VLOOKUP(A379,TypeIDs!B:C,2,FALSE)</f>
        <v>15681</v>
      </c>
      <c r="C379" s="39">
        <v>98000000</v>
      </c>
      <c r="D379" s="39">
        <f t="shared" si="51"/>
        <v>102365500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>
        <f t="shared" si="55"/>
        <v>19613</v>
      </c>
      <c r="J379" s="20">
        <f t="shared" si="56"/>
        <v>7</v>
      </c>
      <c r="K379" s="19">
        <f t="shared" si="53"/>
        <v>35</v>
      </c>
      <c r="L379" s="8">
        <f t="shared" si="59"/>
        <v>1.0174277466529251</v>
      </c>
      <c r="M379" s="9">
        <f t="shared" si="60"/>
        <v>716558500</v>
      </c>
      <c r="N379" s="10">
        <f t="shared" si="57"/>
        <v>12488000</v>
      </c>
      <c r="O379" s="11">
        <f t="shared" si="58"/>
        <v>356800</v>
      </c>
      <c r="P379" s="23">
        <f t="shared" si="54"/>
        <v>729046500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>
        <v>3394000</v>
      </c>
      <c r="D380" s="39">
        <f t="shared" si="51"/>
        <v>3549533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>
        <f t="shared" si="55"/>
        <v>2737.2</v>
      </c>
      <c r="J380" s="20">
        <f t="shared" si="56"/>
        <v>28</v>
      </c>
      <c r="K380" s="19">
        <f t="shared" si="53"/>
        <v>140</v>
      </c>
      <c r="L380" s="8">
        <f t="shared" si="59"/>
        <v>1.655251409129032</v>
      </c>
      <c r="M380" s="9">
        <f t="shared" si="60"/>
        <v>99386924</v>
      </c>
      <c r="N380" s="10">
        <f t="shared" si="57"/>
        <v>65123422</v>
      </c>
      <c r="O380" s="11">
        <f t="shared" si="58"/>
        <v>465167.3</v>
      </c>
      <c r="P380" s="23">
        <f t="shared" si="54"/>
        <v>164510346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>
        <v>1330000</v>
      </c>
      <c r="D381" s="39">
        <f t="shared" si="51"/>
        <v>1393685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>
        <f t="shared" si="55"/>
        <v>2700</v>
      </c>
      <c r="J381" s="20">
        <f t="shared" si="56"/>
        <v>70</v>
      </c>
      <c r="K381" s="19">
        <f t="shared" si="53"/>
        <v>350</v>
      </c>
      <c r="L381" s="8">
        <f t="shared" si="59"/>
        <v>1.0002794749172159</v>
      </c>
      <c r="M381" s="9">
        <f t="shared" si="60"/>
        <v>97557950</v>
      </c>
      <c r="N381" s="10">
        <f t="shared" si="57"/>
        <v>27265</v>
      </c>
      <c r="O381" s="11">
        <f t="shared" si="58"/>
        <v>77.900000000000006</v>
      </c>
      <c r="P381" s="23">
        <f t="shared" si="54"/>
        <v>97585215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>
        <v>97930000</v>
      </c>
      <c r="D382" s="39">
        <f t="shared" si="51"/>
        <v>102292385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>
        <f t="shared" si="55"/>
        <v>3927.7999999999997</v>
      </c>
      <c r="J382" s="20">
        <f t="shared" si="56"/>
        <v>1.4000000000000001</v>
      </c>
      <c r="K382" s="19">
        <f t="shared" si="53"/>
        <v>7</v>
      </c>
      <c r="L382" s="8">
        <f t="shared" si="59"/>
        <v>1.0620570631919473</v>
      </c>
      <c r="M382" s="9">
        <f t="shared" si="60"/>
        <v>143209339</v>
      </c>
      <c r="N382" s="10">
        <f t="shared" si="57"/>
        <v>8887151</v>
      </c>
      <c r="O382" s="11">
        <f t="shared" si="58"/>
        <v>1269593</v>
      </c>
      <c r="P382" s="23">
        <f t="shared" si="54"/>
        <v>152096490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>
        <v>1160000</v>
      </c>
      <c r="D383" s="39">
        <f t="shared" si="51"/>
        <v>1216120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>
        <f t="shared" si="55"/>
        <v>950</v>
      </c>
      <c r="J383" s="20">
        <f t="shared" si="56"/>
        <v>28</v>
      </c>
      <c r="K383" s="19">
        <f t="shared" si="53"/>
        <v>140</v>
      </c>
      <c r="L383" s="8">
        <f t="shared" si="59"/>
        <v>0.91454955103114821</v>
      </c>
      <c r="M383" s="9">
        <f t="shared" si="60"/>
        <v>34051360</v>
      </c>
      <c r="N383" s="10">
        <f t="shared" si="57"/>
        <v>-2909704</v>
      </c>
      <c r="O383" s="11">
        <f t="shared" si="58"/>
        <v>-20783.599999999999</v>
      </c>
      <c r="P383" s="23">
        <f t="shared" si="54"/>
        <v>31141656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>
        <v>1199000</v>
      </c>
      <c r="D384" s="39">
        <f t="shared" si="51"/>
        <v>1256855.5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>
        <f t="shared" si="55"/>
        <v>2923.6</v>
      </c>
      <c r="J384" s="20">
        <f t="shared" si="56"/>
        <v>84</v>
      </c>
      <c r="K384" s="19">
        <f t="shared" si="53"/>
        <v>420</v>
      </c>
      <c r="L384" s="8">
        <f t="shared" si="59"/>
        <v>1.3304035348534498</v>
      </c>
      <c r="M384" s="9">
        <f t="shared" si="60"/>
        <v>105575862</v>
      </c>
      <c r="N384" s="10">
        <f t="shared" si="57"/>
        <v>34882638</v>
      </c>
      <c r="O384" s="11">
        <f t="shared" si="58"/>
        <v>83053.899999999994</v>
      </c>
      <c r="P384" s="23">
        <f t="shared" si="54"/>
        <v>140458500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>
        <v>1970000</v>
      </c>
      <c r="D385" s="39">
        <f t="shared" si="51"/>
        <v>2062165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>
        <f t="shared" si="55"/>
        <v>1995</v>
      </c>
      <c r="J385" s="20">
        <f t="shared" si="56"/>
        <v>35</v>
      </c>
      <c r="K385" s="19">
        <f t="shared" si="53"/>
        <v>175</v>
      </c>
      <c r="L385" s="8">
        <f t="shared" si="59"/>
        <v>1.3182250207912558</v>
      </c>
      <c r="M385" s="9">
        <f t="shared" si="60"/>
        <v>72175775</v>
      </c>
      <c r="N385" s="10">
        <f t="shared" si="57"/>
        <v>22968137.5</v>
      </c>
      <c r="O385" s="11">
        <f t="shared" si="58"/>
        <v>131246.5</v>
      </c>
      <c r="P385" s="23">
        <f t="shared" si="54"/>
        <v>95143912.5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>
        <v>1709000</v>
      </c>
      <c r="D386" s="39">
        <f t="shared" ref="D386:D400" si="61">(C386+(C386*TaxRate))+(G386*ShippingCost)</f>
        <v>1789550.5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>
        <f t="shared" si="55"/>
        <v>1734</v>
      </c>
      <c r="J386" s="20">
        <f t="shared" si="56"/>
        <v>35</v>
      </c>
      <c r="K386" s="19">
        <f t="shared" ref="K386:K400" si="63">(G386*H386)*7</f>
        <v>175</v>
      </c>
      <c r="L386" s="8">
        <f t="shared" si="59"/>
        <v>1.0331602824284645</v>
      </c>
      <c r="M386" s="9">
        <f t="shared" si="60"/>
        <v>62634267.5</v>
      </c>
      <c r="N386" s="10">
        <f t="shared" si="57"/>
        <v>2076970</v>
      </c>
      <c r="O386" s="11">
        <f t="shared" si="58"/>
        <v>11868.4</v>
      </c>
      <c r="P386" s="23">
        <f t="shared" ref="P386:P400" si="64">M386+N386</f>
        <v>64711237.5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>
        <v>1006000</v>
      </c>
      <c r="D387" s="39">
        <f t="shared" si="61"/>
        <v>1055267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>
        <f t="shared" ref="I387:I400" si="65">((C387/(5000/H387))+(G387*2)+(H387*3))</f>
        <v>826.8</v>
      </c>
      <c r="J387" s="20">
        <f t="shared" ref="J387:J400" si="66">H387*7</f>
        <v>28</v>
      </c>
      <c r="K387" s="19">
        <f t="shared" si="63"/>
        <v>140</v>
      </c>
      <c r="L387" s="8">
        <f t="shared" si="59"/>
        <v>1.173473632739392</v>
      </c>
      <c r="M387" s="9">
        <f t="shared" si="60"/>
        <v>29547476</v>
      </c>
      <c r="N387" s="10">
        <f t="shared" ref="N387:N400" si="67">(F387-D387)*J387</f>
        <v>5125708</v>
      </c>
      <c r="O387" s="11">
        <f t="shared" ref="O387:O400" si="68">(F387-D387)/G387</f>
        <v>36612.199999999997</v>
      </c>
      <c r="P387" s="23">
        <f t="shared" si="64"/>
        <v>34673184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>
        <v>2190000</v>
      </c>
      <c r="D388" s="39">
        <f t="shared" si="61"/>
        <v>2288355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>
        <f t="shared" si="65"/>
        <v>884</v>
      </c>
      <c r="J388" s="20">
        <f t="shared" si="66"/>
        <v>14</v>
      </c>
      <c r="K388" s="19">
        <f t="shared" si="63"/>
        <v>14</v>
      </c>
      <c r="L388" s="8">
        <f t="shared" ref="L388:L400" si="69">F388/D388</f>
        <v>1.6693603046730074</v>
      </c>
      <c r="M388" s="9">
        <f t="shared" ref="M388:M400" si="70">D388*J388</f>
        <v>32036970</v>
      </c>
      <c r="N388" s="10">
        <f t="shared" si="67"/>
        <v>21444276</v>
      </c>
      <c r="O388" s="11">
        <f t="shared" si="68"/>
        <v>1531734</v>
      </c>
      <c r="P388" s="23">
        <f t="shared" si="64"/>
        <v>53481246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>
        <v>2319000</v>
      </c>
      <c r="D389" s="39">
        <f t="shared" si="61"/>
        <v>2423095.5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>
        <f t="shared" si="65"/>
        <v>935.6</v>
      </c>
      <c r="J389" s="20">
        <f t="shared" si="66"/>
        <v>14</v>
      </c>
      <c r="K389" s="19">
        <f t="shared" si="63"/>
        <v>14</v>
      </c>
      <c r="L389" s="8">
        <f t="shared" si="69"/>
        <v>1.182990930402867</v>
      </c>
      <c r="M389" s="9">
        <f t="shared" si="70"/>
        <v>33923337</v>
      </c>
      <c r="N389" s="10">
        <f t="shared" si="67"/>
        <v>6207663</v>
      </c>
      <c r="O389" s="11">
        <f t="shared" si="68"/>
        <v>443404.5</v>
      </c>
      <c r="P389" s="23">
        <f t="shared" si="64"/>
        <v>40131000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>
        <v>2390000</v>
      </c>
      <c r="D390" s="39">
        <f t="shared" si="61"/>
        <v>2497255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>
        <f t="shared" si="65"/>
        <v>1445</v>
      </c>
      <c r="J390" s="20">
        <f t="shared" si="66"/>
        <v>21</v>
      </c>
      <c r="K390" s="19">
        <f t="shared" si="63"/>
        <v>21</v>
      </c>
      <c r="L390" s="8">
        <f t="shared" si="69"/>
        <v>0.76370975330913338</v>
      </c>
      <c r="M390" s="9">
        <f t="shared" si="70"/>
        <v>52442355</v>
      </c>
      <c r="N390" s="10">
        <f t="shared" si="67"/>
        <v>-12391617</v>
      </c>
      <c r="O390" s="11">
        <f t="shared" si="68"/>
        <v>-590077</v>
      </c>
      <c r="P390" s="23">
        <f t="shared" si="64"/>
        <v>40050738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>
        <v>17640000</v>
      </c>
      <c r="D391" s="39">
        <f t="shared" si="61"/>
        <v>18425880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>
        <f t="shared" si="65"/>
        <v>7064</v>
      </c>
      <c r="J391" s="20">
        <f t="shared" si="66"/>
        <v>14</v>
      </c>
      <c r="K391" s="19">
        <f t="shared" si="63"/>
        <v>14</v>
      </c>
      <c r="L391" s="8">
        <f t="shared" si="69"/>
        <v>1.0884660596942994</v>
      </c>
      <c r="M391" s="9">
        <f t="shared" si="70"/>
        <v>257962320</v>
      </c>
      <c r="N391" s="10">
        <f t="shared" si="67"/>
        <v>22820910</v>
      </c>
      <c r="O391" s="11">
        <f t="shared" si="68"/>
        <v>1630065</v>
      </c>
      <c r="P391" s="23">
        <f t="shared" si="64"/>
        <v>280783230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>
        <v>3815000</v>
      </c>
      <c r="D392" s="39">
        <f t="shared" si="61"/>
        <v>3985667.5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>
        <f t="shared" si="65"/>
        <v>3832</v>
      </c>
      <c r="J392" s="20">
        <f t="shared" si="66"/>
        <v>35</v>
      </c>
      <c r="K392" s="19">
        <f t="shared" si="63"/>
        <v>35</v>
      </c>
      <c r="L392" s="8">
        <f t="shared" si="69"/>
        <v>0.95174396760392077</v>
      </c>
      <c r="M392" s="9">
        <f t="shared" si="70"/>
        <v>139498362.5</v>
      </c>
      <c r="N392" s="10">
        <f t="shared" si="67"/>
        <v>-6731637.5</v>
      </c>
      <c r="O392" s="11">
        <f t="shared" si="68"/>
        <v>-192332.5</v>
      </c>
      <c r="P392" s="23">
        <f t="shared" si="64"/>
        <v>132766725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>
        <v>2995000</v>
      </c>
      <c r="D393" s="39">
        <f t="shared" si="61"/>
        <v>3129177.5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>
        <f t="shared" si="65"/>
        <v>1808</v>
      </c>
      <c r="J393" s="20">
        <f t="shared" si="66"/>
        <v>21</v>
      </c>
      <c r="K393" s="19">
        <f t="shared" si="63"/>
        <v>21</v>
      </c>
      <c r="L393" s="8">
        <f t="shared" si="69"/>
        <v>1.1298016811126885</v>
      </c>
      <c r="M393" s="9">
        <f t="shared" si="70"/>
        <v>65712727.5</v>
      </c>
      <c r="N393" s="10">
        <f t="shared" si="67"/>
        <v>8529622.5</v>
      </c>
      <c r="O393" s="11">
        <f t="shared" si="68"/>
        <v>406172.5</v>
      </c>
      <c r="P393" s="23">
        <f t="shared" si="64"/>
        <v>74242350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>
        <v>4123000</v>
      </c>
      <c r="D394" s="39">
        <f t="shared" si="61"/>
        <v>4307373.5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>
        <f t="shared" si="65"/>
        <v>2484.7999999999997</v>
      </c>
      <c r="J394" s="20">
        <f t="shared" si="66"/>
        <v>21</v>
      </c>
      <c r="K394" s="19">
        <f t="shared" si="63"/>
        <v>21</v>
      </c>
      <c r="L394" s="8">
        <f t="shared" si="69"/>
        <v>1.385765246501145</v>
      </c>
      <c r="M394" s="9">
        <f t="shared" si="70"/>
        <v>90454843.5</v>
      </c>
      <c r="N394" s="10">
        <f t="shared" si="67"/>
        <v>34894335</v>
      </c>
      <c r="O394" s="11">
        <f t="shared" si="68"/>
        <v>1661635</v>
      </c>
      <c r="P394" s="23">
        <f t="shared" si="64"/>
        <v>125349178.5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>
        <v>205000</v>
      </c>
      <c r="D395" s="39">
        <f t="shared" si="61"/>
        <v>215022.5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>
        <f t="shared" si="65"/>
        <v>134</v>
      </c>
      <c r="J395" s="20">
        <f t="shared" si="66"/>
        <v>21</v>
      </c>
      <c r="K395" s="19">
        <f t="shared" si="63"/>
        <v>21</v>
      </c>
      <c r="L395" s="8">
        <f t="shared" si="69"/>
        <v>1.1998046716041344</v>
      </c>
      <c r="M395" s="9">
        <f t="shared" si="70"/>
        <v>4515472.5</v>
      </c>
      <c r="N395" s="10">
        <f t="shared" si="67"/>
        <v>902212.5</v>
      </c>
      <c r="O395" s="11">
        <f t="shared" si="68"/>
        <v>42962.5</v>
      </c>
      <c r="P395" s="23">
        <f t="shared" si="64"/>
        <v>5417685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>
        <v>3720000</v>
      </c>
      <c r="D396" s="39">
        <f t="shared" si="61"/>
        <v>3886440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>
        <f t="shared" si="65"/>
        <v>2243</v>
      </c>
      <c r="J396" s="20">
        <f t="shared" si="66"/>
        <v>21</v>
      </c>
      <c r="K396" s="19">
        <f t="shared" si="63"/>
        <v>21</v>
      </c>
      <c r="L396" s="8">
        <f t="shared" si="69"/>
        <v>1.5292169697718221</v>
      </c>
      <c r="M396" s="9">
        <f t="shared" si="70"/>
        <v>81615240</v>
      </c>
      <c r="N396" s="10">
        <f t="shared" si="67"/>
        <v>43192170</v>
      </c>
      <c r="O396" s="11">
        <f t="shared" si="68"/>
        <v>2056770</v>
      </c>
      <c r="P396" s="23">
        <f t="shared" si="64"/>
        <v>124807410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#N/A</v>
      </c>
      <c r="D397" s="39" t="e">
        <f t="shared" si="61"/>
        <v>#N/A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#N/A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#N/A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#N/A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#N/A</v>
      </c>
      <c r="D398" s="39" t="e">
        <f t="shared" si="61"/>
        <v>#N/A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#N/A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#N/A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#N/A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#N/A</v>
      </c>
      <c r="D399" s="39" t="e">
        <f t="shared" si="61"/>
        <v>#N/A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#N/A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#N/A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#N/A</v>
      </c>
      <c r="D400" s="39" t="e">
        <f t="shared" si="61"/>
        <v>#N/A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#N/A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#N/A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219" priority="3">
      <formula>$N2&lt;0</formula>
    </cfRule>
  </conditionalFormatting>
  <conditionalFormatting sqref="B2:C500">
    <cfRule type="expression" dxfId="218" priority="2">
      <formula>$B2=$Q2</formula>
    </cfRule>
  </conditionalFormatting>
  <conditionalFormatting sqref="B2:C600">
    <cfRule type="expression" dxfId="217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T78"/>
  <sheetViews>
    <sheetView zoomScale="160" zoomScaleNormal="160" workbookViewId="0">
      <selection activeCell="O37" sqref="O37"/>
    </sheetView>
  </sheetViews>
  <sheetFormatPr defaultRowHeight="15"/>
  <cols>
    <col min="1" max="1" width="39.85546875" style="53" customWidth="1"/>
    <col min="2" max="2" width="2.14062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2.85546875" style="53" customWidth="1"/>
    <col min="13" max="13" width="6.85546875" style="71" customWidth="1"/>
    <col min="14" max="14" width="5.28515625" style="71" customWidth="1"/>
    <col min="16" max="16" width="19.28515625" customWidth="1"/>
    <col min="17" max="17" width="43.85546875" bestFit="1" customWidth="1"/>
    <col min="19" max="19" width="13.140625" bestFit="1" customWidth="1"/>
    <col min="20" max="20" width="14.28515625" bestFit="1" customWidth="1"/>
  </cols>
  <sheetData>
    <row r="1" spans="1:20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47015</v>
      </c>
      <c r="J1" t="s">
        <v>47014</v>
      </c>
      <c r="K1" t="s">
        <v>44378</v>
      </c>
      <c r="L1" t="s">
        <v>44386</v>
      </c>
      <c r="M1" t="s">
        <v>47016</v>
      </c>
      <c r="N1" t="s">
        <v>47017</v>
      </c>
      <c r="O1" s="98" t="s">
        <v>47007</v>
      </c>
      <c r="P1" s="98"/>
    </row>
    <row r="2" spans="1:20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346573.75</v>
      </c>
      <c r="I2" s="53">
        <f>VLOOKUP(B2,TradeSheet!B:F,5,FALSE)*D2</f>
        <v>280716345</v>
      </c>
      <c r="J2" s="55">
        <f>VLOOKUP(B2,TradeSheet!B:E,3,FALSE)*(D2+E2)</f>
        <v>145560975</v>
      </c>
      <c r="K2" s="55">
        <f t="shared" ref="K2:K33" si="1">(I2-J2)</f>
        <v>135155370</v>
      </c>
      <c r="L2" s="56">
        <v>44541</v>
      </c>
      <c r="M2" s="71" t="s">
        <v>47033</v>
      </c>
      <c r="O2" s="16" t="s">
        <v>40258</v>
      </c>
      <c r="P2" s="51">
        <f>SUM(G2:G997)</f>
        <v>48212</v>
      </c>
      <c r="S2" s="86"/>
      <c r="T2" s="86"/>
    </row>
    <row r="3" spans="1:20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>
        <f>VLOOKUP(B3,TradeSheet!B:E,3,FALSE)</f>
        <v>414.26600000000002</v>
      </c>
      <c r="I3" s="53">
        <f>VLOOKUP(B3,TradeSheet!B:F,5,FALSE)*D3</f>
        <v>16319940</v>
      </c>
      <c r="J3" s="55">
        <f>VLOOKUP(B3,TradeSheet!B:E,3,FALSE)*(D3+E3)</f>
        <v>2319889.6</v>
      </c>
      <c r="K3" s="55">
        <f t="shared" si="1"/>
        <v>14000050.4</v>
      </c>
      <c r="L3" s="56">
        <v>44541</v>
      </c>
      <c r="O3" s="16" t="s">
        <v>47008</v>
      </c>
      <c r="P3" s="52">
        <f>SUM(J2:J997)</f>
        <v>2718709512.9289999</v>
      </c>
      <c r="S3" s="86"/>
      <c r="T3" s="86"/>
    </row>
    <row r="4" spans="1:20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17545.805</v>
      </c>
      <c r="I4" s="53">
        <f>VLOOKUP(B4,TradeSheet!B:F,5,FALSE)*D4</f>
        <v>24663843.75</v>
      </c>
      <c r="J4" s="55">
        <f>VLOOKUP(B4,TradeSheet!B:E,3,FALSE)*(D4+E4)</f>
        <v>614103.17500000005</v>
      </c>
      <c r="K4" s="55">
        <f t="shared" si="1"/>
        <v>24049740.574999999</v>
      </c>
      <c r="L4" s="56">
        <v>44541</v>
      </c>
      <c r="O4" s="16" t="s">
        <v>44378</v>
      </c>
      <c r="P4" s="50">
        <f>SUM(K2:K997)</f>
        <v>2151607374.8710003</v>
      </c>
    </row>
    <row r="5" spans="1:20">
      <c r="A5" s="53" t="s">
        <v>10814</v>
      </c>
      <c r="B5" s="60">
        <f>VLOOKUP(A5,TypeIDs!B:C,2,FALSE)</f>
        <v>22291</v>
      </c>
      <c r="C5" s="53" t="s">
        <v>47013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>
        <f>VLOOKUP(B5,TradeSheet!B:E,3,FALSE)</f>
        <v>1364439</v>
      </c>
      <c r="I5" s="53">
        <f>VLOOKUP(B5,TradeSheet!B:F,5,FALSE)*D5</f>
        <v>288943200</v>
      </c>
      <c r="J5" s="55">
        <f>VLOOKUP(B5,TradeSheet!B:E,3,FALSE)*(D5+E5)</f>
        <v>152817168</v>
      </c>
      <c r="K5" s="55">
        <f t="shared" si="1"/>
        <v>136126032</v>
      </c>
      <c r="L5" s="56">
        <v>44541</v>
      </c>
      <c r="M5" s="71" t="s">
        <v>47033</v>
      </c>
      <c r="S5" s="86"/>
      <c r="T5" s="86"/>
    </row>
    <row r="6" spans="1:20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327.10679999999996</v>
      </c>
      <c r="I6" s="53">
        <f>VLOOKUP(B6,TradeSheet!B:F,5,FALSE)*D6</f>
        <v>23911387.5</v>
      </c>
      <c r="J6" s="55">
        <f>VLOOKUP(B6,TradeSheet!B:E,3,FALSE)*(D6+E6)</f>
        <v>12593611.799999999</v>
      </c>
      <c r="K6" s="55">
        <f t="shared" si="1"/>
        <v>11317775.700000001</v>
      </c>
      <c r="L6" s="56">
        <v>44541</v>
      </c>
      <c r="S6" s="86"/>
      <c r="T6" s="86"/>
    </row>
    <row r="7" spans="1:20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>
        <f>VLOOKUP(B7,TradeSheet!B:E,3,FALSE)</f>
        <v>412.59479999999996</v>
      </c>
      <c r="I7" s="53">
        <f>VLOOKUP(B7,TradeSheet!B:F,5,FALSE)*D7</f>
        <v>9159900.75</v>
      </c>
      <c r="J7" s="55">
        <f>VLOOKUP(B7,TradeSheet!B:E,3,FALSE)*(D7+E7)</f>
        <v>3176979.9599999995</v>
      </c>
      <c r="K7" s="55">
        <f t="shared" si="1"/>
        <v>5982920.790000001</v>
      </c>
      <c r="L7" s="56">
        <v>44541</v>
      </c>
      <c r="S7" s="86"/>
      <c r="T7" s="86"/>
    </row>
    <row r="8" spans="1:20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33206.384999999995</v>
      </c>
      <c r="I8" s="53">
        <f>VLOOKUP(B8,TradeSheet!B:F,5,FALSE)*D8</f>
        <v>7543557.8400000008</v>
      </c>
      <c r="J8" s="55">
        <f>VLOOKUP(B8,TradeSheet!B:E,3,FALSE)*(D8+E8)</f>
        <v>3984766.1999999993</v>
      </c>
      <c r="K8" s="55">
        <f t="shared" si="1"/>
        <v>3558791.6400000015</v>
      </c>
      <c r="L8" s="56">
        <v>44541</v>
      </c>
      <c r="S8" s="86"/>
      <c r="T8" s="86"/>
    </row>
    <row r="9" spans="1:20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9900.9884999999995</v>
      </c>
      <c r="I9" s="53">
        <f>VLOOKUP(B9,TradeSheet!B:F,5,FALSE)*D9</f>
        <v>6660140.7599999998</v>
      </c>
      <c r="J9" s="55">
        <f>VLOOKUP(B9,TradeSheet!B:E,3,FALSE)*(D9+E9)</f>
        <v>1663366.068</v>
      </c>
      <c r="K9" s="55">
        <f t="shared" si="1"/>
        <v>4996774.6919999998</v>
      </c>
      <c r="L9" s="56">
        <v>44541</v>
      </c>
      <c r="S9" s="86"/>
      <c r="T9" s="86"/>
    </row>
    <row r="10" spans="1:20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533.5</v>
      </c>
      <c r="I10" s="53">
        <f>VLOOKUP(B10,TradeSheet!B:F,5,FALSE)*D10</f>
        <v>12841920</v>
      </c>
      <c r="J10" s="55">
        <f>VLOOKUP(B10,TradeSheet!B:E,3,FALSE)*(D10+E10)</f>
        <v>53350000</v>
      </c>
      <c r="K10" s="55">
        <f t="shared" si="1"/>
        <v>-40508080</v>
      </c>
      <c r="L10" s="56">
        <v>44541</v>
      </c>
      <c r="M10" s="71" t="s">
        <v>47033</v>
      </c>
      <c r="S10" s="86"/>
      <c r="T10" s="86"/>
    </row>
    <row r="11" spans="1:20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>
        <f>VLOOKUP(B11,TradeSheet!B:E,3,FALSE)</f>
        <v>157470.54999999999</v>
      </c>
      <c r="I11" s="53">
        <f>VLOOKUP(B11,TradeSheet!B:F,5,FALSE)*D11</f>
        <v>12574380</v>
      </c>
      <c r="J11" s="55">
        <f>VLOOKUP(B11,TradeSheet!B:E,3,FALSE)*(D11+E11)</f>
        <v>5039057.5999999996</v>
      </c>
      <c r="K11" s="55">
        <f t="shared" si="1"/>
        <v>7535322.4000000004</v>
      </c>
      <c r="L11" s="56">
        <v>44541</v>
      </c>
      <c r="S11" s="86"/>
      <c r="T11" s="86"/>
    </row>
    <row r="12" spans="1:20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295.77179999999998</v>
      </c>
      <c r="I12" s="67">
        <f>VLOOKUP(B12,TradeSheet!B:F,5,FALSE)*D12</f>
        <v>10664813.249999998</v>
      </c>
      <c r="J12" s="68">
        <f>VLOOKUP(B12,TradeSheet!B:E,3,FALSE)*(D12+E12)</f>
        <v>10352013</v>
      </c>
      <c r="K12" s="68">
        <f t="shared" si="1"/>
        <v>312800.24999999814</v>
      </c>
      <c r="L12" s="69">
        <v>44541</v>
      </c>
      <c r="M12" s="72"/>
      <c r="N12" s="72"/>
      <c r="S12" s="86"/>
      <c r="T12" s="86"/>
    </row>
    <row r="13" spans="1:20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88.797269999999997</v>
      </c>
      <c r="I13" s="53">
        <f>VLOOKUP(B13,TradeSheet!B:F,5,FALSE)*D13</f>
        <v>3003136.5</v>
      </c>
      <c r="J13" s="55">
        <f>VLOOKUP(B13,TradeSheet!B:E,3,FALSE)*(D13+E13)</f>
        <v>621580.89</v>
      </c>
      <c r="K13" s="55">
        <f t="shared" si="1"/>
        <v>2381555.61</v>
      </c>
      <c r="L13" s="56">
        <v>44541</v>
      </c>
      <c r="M13" s="71" t="s">
        <v>47033</v>
      </c>
      <c r="S13" s="86"/>
      <c r="T13" s="86"/>
    </row>
    <row r="14" spans="1:20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9717.2775000000001</v>
      </c>
      <c r="I14" s="53">
        <f>VLOOKUP(B14,TradeSheet!B:F,5,FALSE)*D14</f>
        <v>496621.125</v>
      </c>
      <c r="J14" s="55">
        <f>VLOOKUP(B14,TradeSheet!B:E,3,FALSE)*(D14+E14)</f>
        <v>340104.71250000002</v>
      </c>
      <c r="K14" s="55">
        <f t="shared" si="1"/>
        <v>156516.41249999998</v>
      </c>
      <c r="L14" s="56">
        <v>44541</v>
      </c>
      <c r="M14" s="71" t="s">
        <v>47033</v>
      </c>
      <c r="S14" s="86"/>
      <c r="T14" s="86"/>
    </row>
    <row r="15" spans="1:20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345529.25</v>
      </c>
      <c r="I15" s="53">
        <f>VLOOKUP(B15,TradeSheet!B:F,5,FALSE)*D15</f>
        <v>139415094</v>
      </c>
      <c r="J15" s="55">
        <f>VLOOKUP(B15,TradeSheet!B:E,3,FALSE)*(D15+E15)</f>
        <v>72561142.5</v>
      </c>
      <c r="K15" s="55">
        <f t="shared" si="1"/>
        <v>66853951.5</v>
      </c>
      <c r="L15" s="56">
        <v>44541</v>
      </c>
      <c r="M15" s="71" t="s">
        <v>47033</v>
      </c>
      <c r="S15" s="86"/>
      <c r="T15" s="86"/>
    </row>
    <row r="16" spans="1:20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362136.8</v>
      </c>
      <c r="I16" s="53">
        <f>VLOOKUP(B16,TradeSheet!B:F,5,FALSE)*D16</f>
        <v>23239193.25</v>
      </c>
      <c r="J16" s="55">
        <f>VLOOKUP(B16,TradeSheet!B:E,3,FALSE)*(D16+E16)</f>
        <v>12674788</v>
      </c>
      <c r="K16" s="55">
        <f t="shared" si="1"/>
        <v>10564405.25</v>
      </c>
      <c r="L16" s="56">
        <v>44541</v>
      </c>
      <c r="S16" s="86"/>
      <c r="T16" s="86"/>
    </row>
    <row r="17" spans="1:20">
      <c r="A17" s="61" t="s">
        <v>12523</v>
      </c>
      <c r="B17" s="62">
        <f>VLOOKUP(A17,TypeIDs!B:C,2,FALSE)</f>
        <v>24499</v>
      </c>
      <c r="C17" s="61" t="s">
        <v>44382</v>
      </c>
      <c r="D17" s="63">
        <f>VLOOKUP(B17,TradeSheet!B:J,9,FALSE)-N17</f>
        <v>49000</v>
      </c>
      <c r="E17" s="64"/>
      <c r="F17" s="70">
        <f>VLOOKUP(B17,TypeIDs!C:D,2,FALSE)</f>
        <v>1.4999999999999999E-2</v>
      </c>
      <c r="G17" s="70">
        <f t="shared" si="0"/>
        <v>735</v>
      </c>
      <c r="H17" s="58">
        <f>VLOOKUP(B17,TradeSheet!B:E,3,FALSE)</f>
        <v>117.76199</v>
      </c>
      <c r="I17" s="67">
        <f>VLOOKUP(B17,TradeSheet!B:F,5,FALSE)*D17</f>
        <v>8427510</v>
      </c>
      <c r="J17" s="68">
        <f>VLOOKUP(B17,TradeSheet!B:E,3,FALSE)*(D17+E17)</f>
        <v>5770337.5099999998</v>
      </c>
      <c r="K17" s="68">
        <f t="shared" si="1"/>
        <v>2657172.4900000002</v>
      </c>
      <c r="L17" s="69">
        <v>44541</v>
      </c>
      <c r="M17" s="72"/>
      <c r="N17" s="72"/>
      <c r="S17" s="86"/>
      <c r="T17" s="86"/>
    </row>
    <row r="18" spans="1:20">
      <c r="A18" s="53" t="s">
        <v>1020</v>
      </c>
      <c r="B18" s="60">
        <f>VLOOKUP(A18,TypeIDs!B:C,2,FALSE)</f>
        <v>2173</v>
      </c>
      <c r="C18" s="53" t="s">
        <v>44383</v>
      </c>
      <c r="D18" s="59">
        <f>VLOOKUP(B18,TradeSheet!B:J,9,FALSE)-N18</f>
        <v>70</v>
      </c>
      <c r="F18" s="57">
        <f>VLOOKUP(B18,TypeIDs!C:D,2,FALSE)</f>
        <v>10</v>
      </c>
      <c r="G18" s="57">
        <f t="shared" si="0"/>
        <v>700</v>
      </c>
      <c r="H18" s="58">
        <f>VLOOKUP(B18,TradeSheet!B:E,3,FALSE)</f>
        <v>43155.15</v>
      </c>
      <c r="I18" s="53">
        <f>VLOOKUP(B18,TradeSheet!B:F,5,FALSE)*D18</f>
        <v>20065500</v>
      </c>
      <c r="J18" s="55">
        <f>VLOOKUP(B18,TradeSheet!B:E,3,FALSE)*(D18+E18)</f>
        <v>3020860.5</v>
      </c>
      <c r="K18" s="55">
        <f t="shared" si="1"/>
        <v>17044639.5</v>
      </c>
      <c r="L18" s="56">
        <v>44541</v>
      </c>
      <c r="S18" s="86"/>
      <c r="T18" s="86"/>
    </row>
    <row r="19" spans="1:20">
      <c r="A19" s="53" t="s">
        <v>1022</v>
      </c>
      <c r="B19" s="60">
        <f>VLOOKUP(A19,TypeIDs!B:C,2,FALSE)</f>
        <v>2175</v>
      </c>
      <c r="C19" s="53" t="s">
        <v>44383</v>
      </c>
      <c r="D19" s="59">
        <f>VLOOKUP(B19,TradeSheet!B:J,9,FALSE)-N19</f>
        <v>350</v>
      </c>
      <c r="F19" s="57">
        <f>VLOOKUP(B19,TypeIDs!C:D,2,FALSE)</f>
        <v>10</v>
      </c>
      <c r="G19" s="57">
        <f t="shared" si="0"/>
        <v>3500</v>
      </c>
      <c r="H19" s="58">
        <f>VLOOKUP(B19,TradeSheet!B:E,3,FALSE)</f>
        <v>948945.55</v>
      </c>
      <c r="I19" s="53">
        <f>VLOOKUP(B19,TradeSheet!B:F,5,FALSE)*D19</f>
        <v>555479925</v>
      </c>
      <c r="J19" s="55">
        <f>VLOOKUP(B19,TradeSheet!B:E,3,FALSE)*(D19+E19)</f>
        <v>332130942.5</v>
      </c>
      <c r="K19" s="55">
        <f t="shared" si="1"/>
        <v>223348982.5</v>
      </c>
      <c r="L19" s="56">
        <v>44541</v>
      </c>
      <c r="M19" s="71" t="s">
        <v>47033</v>
      </c>
    </row>
    <row r="20" spans="1:20">
      <c r="A20" s="53" t="s">
        <v>36942</v>
      </c>
      <c r="B20" s="60">
        <f>VLOOKUP(A20,TypeIDs!B:C,2,FALSE)</f>
        <v>58972</v>
      </c>
      <c r="C20" s="53" t="s">
        <v>47011</v>
      </c>
      <c r="D20" s="59">
        <f>VLOOKUP(B20,TradeSheet!B:J,9,FALSE)-N20</f>
        <v>21</v>
      </c>
      <c r="F20" s="57">
        <f>VLOOKUP(B20,TypeIDs!C:D,2,FALSE)</f>
        <v>5</v>
      </c>
      <c r="G20" s="57">
        <f t="shared" si="0"/>
        <v>105</v>
      </c>
      <c r="H20" s="58">
        <f>VLOOKUP(B20,TradeSheet!B:E,3,FALSE)</f>
        <v>1047433.25</v>
      </c>
      <c r="I20" s="53">
        <f>VLOOKUP(B20,TradeSheet!B:F,5,FALSE)*D20</f>
        <v>70148988</v>
      </c>
      <c r="J20" s="55">
        <f>VLOOKUP(B20,TradeSheet!B:E,3,FALSE)*(D20+E20)</f>
        <v>21996098.25</v>
      </c>
      <c r="K20" s="55">
        <f t="shared" si="1"/>
        <v>48152889.75</v>
      </c>
      <c r="L20" s="56">
        <v>44541</v>
      </c>
      <c r="S20" s="86"/>
      <c r="T20" s="86"/>
    </row>
    <row r="21" spans="1:20">
      <c r="A21" s="53" t="s">
        <v>5096</v>
      </c>
      <c r="B21" s="60">
        <f>VLOOKUP(A21,TypeIDs!B:C,2,FALSE)</f>
        <v>12801</v>
      </c>
      <c r="C21" s="53" t="s">
        <v>44382</v>
      </c>
      <c r="D21" s="59">
        <f>VLOOKUP(B21,TradeSheet!B:J,9,FALSE)-N21</f>
        <v>35000</v>
      </c>
      <c r="F21" s="57">
        <f>VLOOKUP(B21,TypeIDs!C:D,2,FALSE)</f>
        <v>1.2500000000000001E-2</v>
      </c>
      <c r="G21" s="57">
        <f t="shared" si="0"/>
        <v>437.5</v>
      </c>
      <c r="H21" s="58">
        <f>VLOOKUP(B21,TradeSheet!B:E,3,FALSE)</f>
        <v>169.17839999999998</v>
      </c>
      <c r="I21" s="53">
        <f>VLOOKUP(B21,TradeSheet!B:F,5,FALSE)*D21</f>
        <v>10868812.5</v>
      </c>
      <c r="J21" s="55">
        <f>VLOOKUP(B21,TradeSheet!B:E,3,FALSE)*(D21+E21)</f>
        <v>5921243.9999999991</v>
      </c>
      <c r="K21" s="55">
        <f t="shared" si="1"/>
        <v>4947568.5000000009</v>
      </c>
      <c r="L21" s="56">
        <v>44541</v>
      </c>
    </row>
    <row r="22" spans="1:20">
      <c r="A22" s="53" t="s">
        <v>13516</v>
      </c>
      <c r="B22" s="60">
        <f>VLOOKUP(A22,TypeIDs!B:C,2,FALSE)</f>
        <v>25948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2779658</v>
      </c>
      <c r="I22" s="53">
        <f>VLOOKUP(B22,TradeSheet!B:F,5,FALSE)*D22</f>
        <v>56852250</v>
      </c>
      <c r="J22" s="55">
        <f>VLOOKUP(B22,TradeSheet!B:E,3,FALSE)*(D22+E22)</f>
        <v>19457606</v>
      </c>
      <c r="K22" s="55">
        <f t="shared" si="1"/>
        <v>37394644</v>
      </c>
      <c r="L22" s="56">
        <v>44541</v>
      </c>
      <c r="M22" s="71" t="s">
        <v>47033</v>
      </c>
    </row>
    <row r="23" spans="1:20">
      <c r="A23" s="53" t="s">
        <v>13866</v>
      </c>
      <c r="B23" s="60">
        <f>VLOOKUP(A23,TypeIDs!B:C,2,FALSE)</f>
        <v>26374</v>
      </c>
      <c r="C23" s="53" t="s">
        <v>47010</v>
      </c>
      <c r="D23" s="59">
        <f>VLOOKUP(B23,TradeSheet!B:J,9,FALSE)-N23</f>
        <v>7</v>
      </c>
      <c r="F23" s="57">
        <f>VLOOKUP(B23,TypeIDs!C:D,2,FALSE)</f>
        <v>20</v>
      </c>
      <c r="G23" s="57">
        <f t="shared" si="0"/>
        <v>140</v>
      </c>
      <c r="H23" s="58">
        <f>VLOOKUP(B23,TradeSheet!B:E,3,FALSE)</f>
        <v>43385640</v>
      </c>
      <c r="I23" s="53">
        <f>VLOOKUP(B23,TradeSheet!B:F,5,FALSE)*D23</f>
        <v>354490500</v>
      </c>
      <c r="J23" s="55">
        <f>VLOOKUP(B23,TradeSheet!B:E,3,FALSE)*(D23+E23)</f>
        <v>303699480</v>
      </c>
      <c r="K23" s="55">
        <f t="shared" si="1"/>
        <v>50791020</v>
      </c>
      <c r="L23" s="56">
        <v>44541</v>
      </c>
      <c r="M23" s="71" t="s">
        <v>47033</v>
      </c>
      <c r="S23" s="86"/>
      <c r="T23" s="86"/>
    </row>
    <row r="24" spans="1:20">
      <c r="A24" s="53" t="s">
        <v>2236</v>
      </c>
      <c r="B24" s="60">
        <f>VLOOKUP(A24,TypeIDs!B:C,2,FALSE)</f>
        <v>3530</v>
      </c>
      <c r="C24" s="53" t="s">
        <v>47012</v>
      </c>
      <c r="D24" s="59">
        <f>VLOOKUP(B24,TradeSheet!B:J,9,FALSE)-N24</f>
        <v>35</v>
      </c>
      <c r="F24" s="57">
        <f>VLOOKUP(B24,TypeIDs!C:D,2,FALSE)</f>
        <v>10</v>
      </c>
      <c r="G24" s="57">
        <f t="shared" si="0"/>
        <v>350</v>
      </c>
      <c r="H24" s="58">
        <f>VLOOKUP(B24,TradeSheet!B:E,3,FALSE)</f>
        <v>1354316</v>
      </c>
      <c r="I24" s="53">
        <f>VLOOKUP(B24,TradeSheet!B:F,5,FALSE)*D24</f>
        <v>116914980</v>
      </c>
      <c r="J24" s="55">
        <f>VLOOKUP(B24,TradeSheet!B:E,3,FALSE)*(D24+E24)</f>
        <v>47401060</v>
      </c>
      <c r="K24" s="55">
        <f t="shared" si="1"/>
        <v>69513920</v>
      </c>
      <c r="L24" s="56">
        <v>44541</v>
      </c>
      <c r="M24" s="71" t="s">
        <v>47033</v>
      </c>
      <c r="S24" s="86"/>
      <c r="T24" s="86"/>
    </row>
    <row r="25" spans="1:20">
      <c r="A25" s="53" t="s">
        <v>17360</v>
      </c>
      <c r="B25" s="60">
        <f>VLOOKUP(A25,TypeIDs!B:C,2,FALSE)</f>
        <v>31047</v>
      </c>
      <c r="C25" s="53" t="s">
        <v>47010</v>
      </c>
      <c r="D25" s="59">
        <f>VLOOKUP(B25,TradeSheet!B:J,9,FALSE)-N25</f>
        <v>28</v>
      </c>
      <c r="F25" s="57">
        <f>VLOOKUP(B25,TypeIDs!C:D,2,FALSE)</f>
        <v>10</v>
      </c>
      <c r="G25" s="57">
        <f t="shared" si="0"/>
        <v>280</v>
      </c>
      <c r="H25" s="58">
        <f>VLOOKUP(B25,TradeSheet!B:E,3,FALSE)</f>
        <v>1364761</v>
      </c>
      <c r="I25" s="53">
        <f>VLOOKUP(B25,TradeSheet!B:F,5,FALSE)*D25</f>
        <v>106694952</v>
      </c>
      <c r="J25" s="55">
        <f>VLOOKUP(B25,TradeSheet!B:E,3,FALSE)*(D25+E25)</f>
        <v>38213308</v>
      </c>
      <c r="K25" s="55">
        <f t="shared" si="1"/>
        <v>68481644</v>
      </c>
      <c r="L25" s="56">
        <v>44541</v>
      </c>
    </row>
    <row r="26" spans="1:20">
      <c r="A26" s="53" t="s">
        <v>17423</v>
      </c>
      <c r="B26" s="60">
        <f>VLOOKUP(A26,TypeIDs!B:C,2,FALSE)</f>
        <v>31119</v>
      </c>
      <c r="C26" s="53" t="s">
        <v>47010</v>
      </c>
      <c r="D26" s="59">
        <f>VLOOKUP(B26,TradeSheet!B:J,9,FALSE)-N26</f>
        <v>42</v>
      </c>
      <c r="E26" s="12">
        <v>3</v>
      </c>
      <c r="F26" s="57">
        <f>VLOOKUP(B26,TypeIDs!C:D,2,FALSE)</f>
        <v>10</v>
      </c>
      <c r="G26" s="57">
        <f t="shared" si="0"/>
        <v>450</v>
      </c>
      <c r="H26" s="58">
        <f>VLOOKUP(B26,TradeSheet!B:E,3,FALSE)</f>
        <v>219989</v>
      </c>
      <c r="I26" s="53">
        <f>VLOOKUP(B26,TradeSheet!B:F,5,FALSE)*D26</f>
        <v>36117900</v>
      </c>
      <c r="J26" s="55">
        <f>VLOOKUP(B26,TradeSheet!B:E,3,FALSE)*(D26+E26)</f>
        <v>9899505</v>
      </c>
      <c r="K26" s="55">
        <f t="shared" si="1"/>
        <v>26218395</v>
      </c>
      <c r="L26" s="56">
        <v>44541</v>
      </c>
      <c r="S26" s="86"/>
      <c r="T26" s="86"/>
    </row>
    <row r="27" spans="1:20">
      <c r="A27" s="53" t="s">
        <v>18093</v>
      </c>
      <c r="B27" s="60">
        <f>VLOOKUP(A27,TypeIDs!B:C,2,FALSE)</f>
        <v>31790</v>
      </c>
      <c r="C27" s="53" t="s">
        <v>47010</v>
      </c>
      <c r="D27" s="59">
        <f>VLOOKUP(B27,TradeSheet!B:J,9,FALSE)-N27</f>
        <v>168</v>
      </c>
      <c r="F27" s="57">
        <f>VLOOKUP(B27,TypeIDs!C:D,2,FALSE)</f>
        <v>10</v>
      </c>
      <c r="G27" s="57">
        <f t="shared" si="0"/>
        <v>1680</v>
      </c>
      <c r="H27" s="58">
        <f>VLOOKUP(B27,TradeSheet!B:E,3,FALSE)</f>
        <v>846480.1</v>
      </c>
      <c r="I27" s="53">
        <f>VLOOKUP(B27,TradeSheet!B:F,5,FALSE)*D27</f>
        <v>221523120</v>
      </c>
      <c r="J27" s="55">
        <f>VLOOKUP(B27,TradeSheet!B:E,3,FALSE)*(D27+E27)</f>
        <v>142208656.79999998</v>
      </c>
      <c r="K27" s="55">
        <f t="shared" si="1"/>
        <v>79314463.200000018</v>
      </c>
      <c r="L27" s="56">
        <v>44541</v>
      </c>
    </row>
    <row r="28" spans="1:20">
      <c r="A28" s="53" t="s">
        <v>18254</v>
      </c>
      <c r="B28" s="60">
        <f>VLOOKUP(A28,TypeIDs!B:C,2,FALSE)</f>
        <v>32043</v>
      </c>
      <c r="C28" s="53" t="s">
        <v>47010</v>
      </c>
      <c r="D28" s="59">
        <f>VLOOKUP(B28,TradeSheet!B:J,9,FALSE)-N28</f>
        <v>7</v>
      </c>
      <c r="F28" s="57">
        <f>VLOOKUP(B28,TypeIDs!C:D,2,FALSE)</f>
        <v>10</v>
      </c>
      <c r="G28" s="57">
        <f t="shared" si="0"/>
        <v>70</v>
      </c>
      <c r="H28" s="58">
        <f>VLOOKUP(B28,TradeSheet!B:E,3,FALSE)</f>
        <v>943200.8</v>
      </c>
      <c r="I28" s="53">
        <f>VLOOKUP(B28,TradeSheet!B:F,5,FALSE)*D28</f>
        <v>36766684.5</v>
      </c>
      <c r="J28" s="55">
        <f>VLOOKUP(B28,TradeSheet!B:E,3,FALSE)*(D28+E28)</f>
        <v>6602405.6000000006</v>
      </c>
      <c r="K28" s="55">
        <f t="shared" si="1"/>
        <v>30164278.899999999</v>
      </c>
      <c r="L28" s="56">
        <v>44541</v>
      </c>
      <c r="S28" s="86"/>
      <c r="T28" s="86"/>
    </row>
    <row r="29" spans="1:20">
      <c r="A29" s="53" t="s">
        <v>18021</v>
      </c>
      <c r="B29" s="60">
        <f>VLOOKUP(A29,TypeIDs!B:C,2,FALSE)</f>
        <v>31718</v>
      </c>
      <c r="C29" s="53" t="s">
        <v>47010</v>
      </c>
      <c r="D29" s="59">
        <f>VLOOKUP(B29,TradeSheet!B:J,9,FALSE)-N29</f>
        <v>63</v>
      </c>
      <c r="E29" s="12">
        <v>2</v>
      </c>
      <c r="F29" s="57">
        <f>VLOOKUP(B29,TypeIDs!C:D,2,FALSE)</f>
        <v>10</v>
      </c>
      <c r="G29" s="57">
        <f t="shared" si="0"/>
        <v>650</v>
      </c>
      <c r="H29" s="58">
        <f>VLOOKUP(B29,TradeSheet!B:E,3,FALSE)</f>
        <v>135802.29999999999</v>
      </c>
      <c r="I29" s="53">
        <f>VLOOKUP(B29,TradeSheet!B:F,5,FALSE)*D29</f>
        <v>24060541.049999997</v>
      </c>
      <c r="J29" s="55">
        <f>VLOOKUP(B29,TradeSheet!B:E,3,FALSE)*(D29+E29)</f>
        <v>8827149.5</v>
      </c>
      <c r="K29" s="55">
        <f t="shared" si="1"/>
        <v>15233391.549999997</v>
      </c>
      <c r="L29" s="56">
        <v>44541</v>
      </c>
      <c r="S29" s="86"/>
      <c r="T29" s="86"/>
    </row>
    <row r="30" spans="1:20">
      <c r="A30" s="53" t="s">
        <v>17324</v>
      </c>
      <c r="B30" s="60">
        <f>VLOOKUP(A30,TypeIDs!B:C,2,FALSE)</f>
        <v>31011</v>
      </c>
      <c r="C30" s="53" t="s">
        <v>47010</v>
      </c>
      <c r="D30" s="59">
        <f>VLOOKUP(B30,TradeSheet!B:J,9,FALSE)-N30</f>
        <v>21</v>
      </c>
      <c r="F30" s="57">
        <f>VLOOKUP(B30,TypeIDs!C:D,2,FALSE)</f>
        <v>10</v>
      </c>
      <c r="G30" s="57">
        <f t="shared" si="0"/>
        <v>210</v>
      </c>
      <c r="H30" s="58">
        <f>VLOOKUP(B30,TradeSheet!B:E,3,FALSE)</f>
        <v>1121392.5</v>
      </c>
      <c r="I30" s="53">
        <f>VLOOKUP(B30,TradeSheet!B:F,5,FALSE)*D30</f>
        <v>63186259.5</v>
      </c>
      <c r="J30" s="55">
        <f>VLOOKUP(B30,TradeSheet!B:E,3,FALSE)*(D30+E30)</f>
        <v>23549242.5</v>
      </c>
      <c r="K30" s="55">
        <f t="shared" si="1"/>
        <v>39637017</v>
      </c>
      <c r="L30" s="56">
        <v>44541</v>
      </c>
      <c r="S30" s="86"/>
      <c r="T30" s="86"/>
    </row>
    <row r="31" spans="1:20">
      <c r="A31" s="53" t="s">
        <v>17465</v>
      </c>
      <c r="B31" s="60">
        <f>VLOOKUP(A31,TypeIDs!B:C,2,FALSE)</f>
        <v>31161</v>
      </c>
      <c r="C31" s="53" t="s">
        <v>47010</v>
      </c>
      <c r="D31" s="59">
        <f>VLOOKUP(B31,TradeSheet!B:J,9,FALSE)-N31</f>
        <v>42</v>
      </c>
      <c r="F31" s="57">
        <f>VLOOKUP(B31,TypeIDs!C:D,2,FALSE)</f>
        <v>10</v>
      </c>
      <c r="G31" s="57">
        <f t="shared" si="0"/>
        <v>420</v>
      </c>
      <c r="H31" s="58">
        <f>VLOOKUP(B31,TradeSheet!B:E,3,FALSE)</f>
        <v>739941.1</v>
      </c>
      <c r="I31" s="53">
        <f>VLOOKUP(B31,TradeSheet!B:F,5,FALSE)*D31</f>
        <v>58149819</v>
      </c>
      <c r="J31" s="55">
        <f>VLOOKUP(B31,TradeSheet!B:E,3,FALSE)*(D31+E31)</f>
        <v>31077526.199999999</v>
      </c>
      <c r="K31" s="55">
        <f t="shared" si="1"/>
        <v>27072292.800000001</v>
      </c>
      <c r="L31" s="56">
        <v>44541</v>
      </c>
    </row>
    <row r="32" spans="1:20">
      <c r="A32" s="53" t="s">
        <v>18692</v>
      </c>
      <c r="B32" s="60">
        <f>VLOOKUP(A32,TypeIDs!B:C,2,FALSE)</f>
        <v>32819</v>
      </c>
      <c r="C32" s="53" t="s">
        <v>47010</v>
      </c>
      <c r="D32" s="59">
        <f>VLOOKUP(B32,TradeSheet!B:J,9,FALSE)-N32</f>
        <v>56</v>
      </c>
      <c r="F32" s="57">
        <f>VLOOKUP(B32,TypeIDs!C:D,2,FALSE)</f>
        <v>10</v>
      </c>
      <c r="G32" s="57">
        <f t="shared" si="0"/>
        <v>560</v>
      </c>
      <c r="H32" s="58">
        <f>VLOOKUP(B32,TradeSheet!B:E,3,FALSE)</f>
        <v>572821.1</v>
      </c>
      <c r="I32" s="53">
        <f>VLOOKUP(B32,TradeSheet!B:F,5,FALSE)*D32</f>
        <v>63621012</v>
      </c>
      <c r="J32" s="55">
        <f>VLOOKUP(B32,TradeSheet!B:E,3,FALSE)*(D32+E32)</f>
        <v>32077981.599999998</v>
      </c>
      <c r="K32" s="55">
        <f t="shared" si="1"/>
        <v>31543030.400000002</v>
      </c>
      <c r="L32" s="56">
        <v>44541</v>
      </c>
      <c r="S32" s="86"/>
      <c r="T32" s="86"/>
    </row>
    <row r="33" spans="1:20">
      <c r="A33" s="53" t="s">
        <v>17459</v>
      </c>
      <c r="B33" s="60">
        <f>VLOOKUP(A33,TypeIDs!B:C,2,FALSE)</f>
        <v>31155</v>
      </c>
      <c r="C33" s="53" t="s">
        <v>47010</v>
      </c>
      <c r="D33" s="59">
        <f>VLOOKUP(B33,TradeSheet!B:J,9,FALSE)-N33</f>
        <v>63</v>
      </c>
      <c r="F33" s="57">
        <f>VLOOKUP(B33,TypeIDs!C:D,2,FALSE)</f>
        <v>10</v>
      </c>
      <c r="G33" s="57">
        <f t="shared" si="0"/>
        <v>630</v>
      </c>
      <c r="H33" s="58">
        <f>VLOOKUP(B33,TradeSheet!B:E,3,FALSE)</f>
        <v>693356.4</v>
      </c>
      <c r="I33" s="53">
        <f>VLOOKUP(B33,TradeSheet!B:F,5,FALSE)*D33</f>
        <v>107691538.5</v>
      </c>
      <c r="J33" s="55">
        <f>VLOOKUP(B33,TradeSheet!B:E,3,FALSE)*(D33+E33)</f>
        <v>43681453.200000003</v>
      </c>
      <c r="K33" s="55">
        <f t="shared" si="1"/>
        <v>64010085.299999997</v>
      </c>
      <c r="L33" s="56">
        <v>44541</v>
      </c>
    </row>
    <row r="34" spans="1:20">
      <c r="A34" s="53" t="s">
        <v>18690</v>
      </c>
      <c r="B34" s="60">
        <f>VLOOKUP(A34,TypeIDs!B:C,2,FALSE)</f>
        <v>32817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493021.3</v>
      </c>
      <c r="I34" s="53">
        <f>VLOOKUP(B34,TradeSheet!B:F,5,FALSE)*D34</f>
        <v>44679180</v>
      </c>
      <c r="J34" s="55">
        <f>VLOOKUP(B34,TradeSheet!B:E,3,FALSE)*(D34+E34)</f>
        <v>6902298.2000000002</v>
      </c>
      <c r="K34" s="55">
        <f t="shared" ref="K34:K65" si="3">(I34-J34)</f>
        <v>37776881.799999997</v>
      </c>
      <c r="L34" s="56">
        <v>44541</v>
      </c>
    </row>
    <row r="35" spans="1:20">
      <c r="A35" s="61" t="s">
        <v>3012</v>
      </c>
      <c r="B35" s="62">
        <f>VLOOKUP(A35,TypeIDs!B:C,2,FALSE)</f>
        <v>4395</v>
      </c>
      <c r="C35" s="61" t="s">
        <v>47010</v>
      </c>
      <c r="D35" s="63">
        <f>VLOOKUP(B35,TradeSheet!B:J,9,FALSE)-N35</f>
        <v>56</v>
      </c>
      <c r="E35" s="64"/>
      <c r="F35" s="70">
        <f>VLOOKUP(B35,TypeIDs!C:D,2,FALSE)</f>
        <v>5</v>
      </c>
      <c r="G35" s="70">
        <f t="shared" si="2"/>
        <v>280</v>
      </c>
      <c r="H35" s="58">
        <f>VLOOKUP(B35,TradeSheet!B:E,3,FALSE)</f>
        <v>265520.55</v>
      </c>
      <c r="I35" s="67">
        <f>VLOOKUP(B35,TradeSheet!B:F,5,FALSE)*D35</f>
        <v>20065500</v>
      </c>
      <c r="J35" s="68">
        <f>VLOOKUP(B35,TradeSheet!B:E,3,FALSE)*(D35+E35)</f>
        <v>14869150.799999999</v>
      </c>
      <c r="K35" s="68">
        <f t="shared" si="3"/>
        <v>5196349.2000000011</v>
      </c>
      <c r="L35" s="69">
        <v>44541</v>
      </c>
      <c r="M35" s="72"/>
      <c r="N35" s="72"/>
    </row>
    <row r="36" spans="1:20">
      <c r="A36" s="53" t="s">
        <v>17913</v>
      </c>
      <c r="B36" s="60">
        <f>VLOOKUP(A36,TypeIDs!B:C,2,FALSE)</f>
        <v>31610</v>
      </c>
      <c r="C36" s="53" t="s">
        <v>47010</v>
      </c>
      <c r="D36" s="59">
        <f>VLOOKUP(B36,TradeSheet!B:J,9,FALSE)-N36</f>
        <v>14</v>
      </c>
      <c r="F36" s="57">
        <f>VLOOKUP(B36,TypeIDs!C:D,2,FALSE)</f>
        <v>10</v>
      </c>
      <c r="G36" s="57">
        <f t="shared" si="2"/>
        <v>140</v>
      </c>
      <c r="H36" s="58">
        <f>VLOOKUP(B36,TradeSheet!B:E,3,FALSE)</f>
        <v>677375.55</v>
      </c>
      <c r="I36" s="53">
        <f>VLOOKUP(B36,TradeSheet!B:F,5,FALSE)*D36</f>
        <v>40117623</v>
      </c>
      <c r="J36" s="55">
        <f>VLOOKUP(B36,TradeSheet!B:E,3,FALSE)*(D36+E36)</f>
        <v>9483257.7000000011</v>
      </c>
      <c r="K36" s="55">
        <f t="shared" si="3"/>
        <v>30634365.299999997</v>
      </c>
      <c r="L36" s="56">
        <v>44541</v>
      </c>
    </row>
    <row r="37" spans="1:20">
      <c r="A37" s="53" t="s">
        <v>17711</v>
      </c>
      <c r="B37" s="60">
        <f>VLOOKUP(A37,TypeIDs!B:C,2,FALSE)</f>
        <v>31408</v>
      </c>
      <c r="C37" s="53" t="s">
        <v>47010</v>
      </c>
      <c r="D37" s="59">
        <f>VLOOKUP(B37,TradeSheet!B:J,9,FALSE)-N37</f>
        <v>7</v>
      </c>
      <c r="F37" s="57">
        <f>VLOOKUP(B37,TypeIDs!C:D,2,FALSE)</f>
        <v>10</v>
      </c>
      <c r="G37" s="57">
        <f t="shared" si="2"/>
        <v>70</v>
      </c>
      <c r="H37" s="58">
        <f>VLOOKUP(B37,TradeSheet!B:E,3,FALSE)</f>
        <v>1128704</v>
      </c>
      <c r="I37" s="53">
        <f>VLOOKUP(B37,TradeSheet!B:F,5,FALSE)*D37</f>
        <v>20754415.5</v>
      </c>
      <c r="J37" s="55">
        <f>VLOOKUP(B37,TradeSheet!B:E,3,FALSE)*(D37+E37)</f>
        <v>7900928</v>
      </c>
      <c r="K37" s="55">
        <f t="shared" si="3"/>
        <v>12853487.5</v>
      </c>
      <c r="L37" s="56">
        <v>44541</v>
      </c>
      <c r="M37" s="71" t="s">
        <v>47033</v>
      </c>
      <c r="S37" s="86"/>
      <c r="T37" s="86"/>
    </row>
    <row r="38" spans="1:20">
      <c r="A38" s="53" t="s">
        <v>18057</v>
      </c>
      <c r="B38" s="60">
        <f>VLOOKUP(A38,TypeIDs!B:C,2,FALSE)</f>
        <v>31754</v>
      </c>
      <c r="C38" s="53" t="s">
        <v>47010</v>
      </c>
      <c r="D38" s="59">
        <f>VLOOKUP(B38,TradeSheet!B:J,9,FALSE)-N38</f>
        <v>28</v>
      </c>
      <c r="F38" s="57">
        <f>VLOOKUP(B38,TypeIDs!C:D,2,FALSE)</f>
        <v>10</v>
      </c>
      <c r="G38" s="57">
        <f t="shared" si="2"/>
        <v>280</v>
      </c>
      <c r="H38" s="58">
        <f>VLOOKUP(B38,TradeSheet!B:E,3,FALSE)</f>
        <v>111350.55499999999</v>
      </c>
      <c r="I38" s="53">
        <f>VLOOKUP(B38,TradeSheet!B:F,5,FALSE)*D38</f>
        <v>34566168</v>
      </c>
      <c r="J38" s="55">
        <f>VLOOKUP(B38,TradeSheet!B:E,3,FALSE)*(D38+E38)</f>
        <v>3117815.54</v>
      </c>
      <c r="K38" s="55">
        <f t="shared" si="3"/>
        <v>31448352.460000001</v>
      </c>
      <c r="L38" s="56">
        <v>44541</v>
      </c>
      <c r="S38" s="86"/>
      <c r="T38" s="86"/>
    </row>
    <row r="39" spans="1:20">
      <c r="A39" s="53" t="s">
        <v>17368</v>
      </c>
      <c r="B39" s="60">
        <f>VLOOKUP(A39,TypeIDs!B:C,2,FALSE)</f>
        <v>31055</v>
      </c>
      <c r="C39" s="53" t="s">
        <v>47010</v>
      </c>
      <c r="D39" s="59">
        <f>VLOOKUP(B39,TradeSheet!B:J,9,FALSE)-N39</f>
        <v>35</v>
      </c>
      <c r="F39" s="57">
        <f>VLOOKUP(B39,TypeIDs!C:D,2,FALSE)</f>
        <v>10</v>
      </c>
      <c r="G39" s="57">
        <f t="shared" si="2"/>
        <v>350</v>
      </c>
      <c r="H39" s="58">
        <f>VLOOKUP(B39,TradeSheet!B:E,3,FALSE)</f>
        <v>1245688</v>
      </c>
      <c r="I39" s="53">
        <f>VLOOKUP(B39,TradeSheet!B:F,5,FALSE)*D39</f>
        <v>83539365</v>
      </c>
      <c r="J39" s="55">
        <f>VLOOKUP(B39,TradeSheet!B:E,3,FALSE)*(D39+E39)</f>
        <v>43599080</v>
      </c>
      <c r="K39" s="55">
        <f t="shared" si="3"/>
        <v>39940285</v>
      </c>
      <c r="L39" s="56">
        <v>44541</v>
      </c>
      <c r="S39" s="86"/>
      <c r="T39" s="86"/>
    </row>
    <row r="40" spans="1:20">
      <c r="A40" s="53" t="s">
        <v>27328</v>
      </c>
      <c r="B40" s="60">
        <f>VLOOKUP(A40,TypeIDs!B:C,2,FALSE)</f>
        <v>42831</v>
      </c>
      <c r="C40" s="53" t="s">
        <v>47006</v>
      </c>
      <c r="D40" s="12">
        <f>VLOOKUP(B40,TradeSheet!B:J,9,FALSE)-N40</f>
        <v>35000</v>
      </c>
      <c r="F40" s="57">
        <f>VLOOKUP(B40,TypeIDs!C:D,2,FALSE)</f>
        <v>0.01</v>
      </c>
      <c r="G40" s="57">
        <f t="shared" si="2"/>
        <v>350</v>
      </c>
      <c r="H40" s="58">
        <f>VLOOKUP(B40,TradeSheet!B:E,3,FALSE)</f>
        <v>157.31899999999999</v>
      </c>
      <c r="I40" s="53">
        <f>VLOOKUP(B40,TradeSheet!B:F,5,FALSE)*D40</f>
        <v>9795308.25</v>
      </c>
      <c r="J40" s="55">
        <f>VLOOKUP(B40,TradeSheet!B:E,3,FALSE)*(D40+E40)</f>
        <v>5506165</v>
      </c>
      <c r="K40" s="55">
        <f t="shared" si="3"/>
        <v>4289143.25</v>
      </c>
      <c r="L40" s="56">
        <v>44541</v>
      </c>
      <c r="S40" s="86"/>
      <c r="T40" s="86"/>
    </row>
    <row r="41" spans="1:20">
      <c r="A41" s="53" t="s">
        <v>21250</v>
      </c>
      <c r="B41" s="60">
        <f>VLOOKUP(A41,TypeIDs!B:C,2,FALSE)</f>
        <v>35795</v>
      </c>
      <c r="C41" s="53" t="s">
        <v>47006</v>
      </c>
      <c r="D41" s="59">
        <f>VLOOKUP(B41,TradeSheet!B:J,9,FALSE)-N41</f>
        <v>28</v>
      </c>
      <c r="F41" s="57">
        <f>VLOOKUP(B41,TypeIDs!C:D,2,FALSE)</f>
        <v>1</v>
      </c>
      <c r="G41" s="57">
        <f t="shared" si="2"/>
        <v>28</v>
      </c>
      <c r="H41" s="58">
        <f>VLOOKUP(B41,TradeSheet!B:E,3,FALSE)</f>
        <v>10076.977000000001</v>
      </c>
      <c r="I41" s="53">
        <f>VLOOKUP(B41,TradeSheet!B:F,5,FALSE)*D41</f>
        <v>3611790</v>
      </c>
      <c r="J41" s="55">
        <f>VLOOKUP(B41,TradeSheet!B:E,3,FALSE)*(D41+E41)</f>
        <v>282155.35600000003</v>
      </c>
      <c r="K41" s="55">
        <f t="shared" si="3"/>
        <v>3329634.6439999999</v>
      </c>
      <c r="L41" s="56">
        <v>44541</v>
      </c>
      <c r="S41" s="86"/>
      <c r="T41" s="86"/>
    </row>
    <row r="42" spans="1:20">
      <c r="A42" s="53" t="s">
        <v>21249</v>
      </c>
      <c r="B42" s="60">
        <f>VLOOKUP(A42,TypeIDs!B:C,2,FALSE)</f>
        <v>35794</v>
      </c>
      <c r="C42" s="53" t="s">
        <v>47006</v>
      </c>
      <c r="D42" s="59">
        <f>VLOOKUP(B42,TradeSheet!B:J,9,FALSE)-N42</f>
        <v>49</v>
      </c>
      <c r="F42" s="57">
        <f>VLOOKUP(B42,TypeIDs!C:D,2,FALSE)</f>
        <v>1</v>
      </c>
      <c r="G42" s="57">
        <f t="shared" si="2"/>
        <v>49</v>
      </c>
      <c r="H42" s="58">
        <f>VLOOKUP(B42,TradeSheet!B:E,3,FALSE)</f>
        <v>12838.635</v>
      </c>
      <c r="I42" s="53">
        <f>VLOOKUP(B42,TradeSheet!B:F,5,FALSE)*D42</f>
        <v>1589522.0249999999</v>
      </c>
      <c r="J42" s="55">
        <f>VLOOKUP(B42,TradeSheet!B:E,3,FALSE)*(D42+E42)</f>
        <v>629093.11499999999</v>
      </c>
      <c r="K42" s="55">
        <f t="shared" si="3"/>
        <v>960428.90999999992</v>
      </c>
      <c r="L42" s="56">
        <v>44541</v>
      </c>
      <c r="S42" s="86"/>
      <c r="T42" s="86"/>
    </row>
    <row r="43" spans="1:20">
      <c r="A43" s="53" t="s">
        <v>12559</v>
      </c>
      <c r="B43" s="60">
        <f>VLOOKUP(A43,TypeIDs!B:C,2,FALSE)</f>
        <v>24535</v>
      </c>
      <c r="C43" s="53" t="s">
        <v>44382</v>
      </c>
      <c r="D43" s="59">
        <f>VLOOKUP(B43,TradeSheet!B:J,9,FALSE)-N43</f>
        <v>126000</v>
      </c>
      <c r="F43" s="57">
        <f>VLOOKUP(B43,TypeIDs!C:D,2,FALSE)</f>
        <v>0.05</v>
      </c>
      <c r="G43" s="57">
        <f t="shared" si="2"/>
        <v>6300</v>
      </c>
      <c r="H43" s="58">
        <f>VLOOKUP(B43,TradeSheet!B:E,3,FALSE)</f>
        <v>703.97505000000001</v>
      </c>
      <c r="I43" s="53">
        <f>VLOOKUP(B43,TradeSheet!B:F,5,FALSE)*D43</f>
        <v>118069415.09999999</v>
      </c>
      <c r="J43" s="55">
        <f>VLOOKUP(B43,TradeSheet!B:E,3,FALSE)*(D43+E43)</f>
        <v>88700856.299999997</v>
      </c>
      <c r="K43" s="55">
        <f t="shared" si="3"/>
        <v>29368558.799999997</v>
      </c>
      <c r="L43" s="56">
        <v>44541</v>
      </c>
      <c r="S43" s="86"/>
      <c r="T43" s="86"/>
    </row>
    <row r="44" spans="1:20">
      <c r="A44" s="53" t="s">
        <v>12533</v>
      </c>
      <c r="B44" s="60">
        <f>VLOOKUP(A44,TypeIDs!B:C,2,FALSE)</f>
        <v>24509</v>
      </c>
      <c r="C44" s="53" t="s">
        <v>44382</v>
      </c>
      <c r="D44" s="59">
        <f>VLOOKUP(B44,TradeSheet!B:J,9,FALSE)-N44</f>
        <v>112000</v>
      </c>
      <c r="E44" s="12">
        <v>18000</v>
      </c>
      <c r="F44" s="57">
        <f>VLOOKUP(B44,TypeIDs!C:D,2,FALSE)</f>
        <v>0.03</v>
      </c>
      <c r="G44" s="57">
        <f t="shared" si="2"/>
        <v>3900</v>
      </c>
      <c r="H44" s="58">
        <f>VLOOKUP(B44,TradeSheet!B:E,3,FALSE)</f>
        <v>809.74829999999997</v>
      </c>
      <c r="I44" s="53">
        <f>VLOOKUP(B44,TradeSheet!B:F,5,FALSE)*D44</f>
        <v>100306096.8</v>
      </c>
      <c r="J44" s="55">
        <f>VLOOKUP(B44,TradeSheet!B:E,3,FALSE)*(D44+E44)</f>
        <v>105267279</v>
      </c>
      <c r="K44" s="55">
        <f t="shared" si="3"/>
        <v>-4961182.200000003</v>
      </c>
      <c r="L44" s="56">
        <v>44541</v>
      </c>
      <c r="S44" s="86"/>
      <c r="T44" s="86"/>
    </row>
    <row r="45" spans="1:20">
      <c r="A45" s="61" t="s">
        <v>1371</v>
      </c>
      <c r="B45" s="62">
        <f>VLOOKUP(A45,TypeIDs!B:C,2,FALSE)</f>
        <v>2613</v>
      </c>
      <c r="C45" s="61" t="s">
        <v>44382</v>
      </c>
      <c r="D45" s="63">
        <f>VLOOKUP(B45,TradeSheet!B:J,9,FALSE)-N45</f>
        <v>38500</v>
      </c>
      <c r="E45" s="64"/>
      <c r="F45" s="70">
        <f>VLOOKUP(B45,TypeIDs!C:D,2,FALSE)</f>
        <v>1.4999999999999999E-2</v>
      </c>
      <c r="G45" s="70">
        <f t="shared" si="2"/>
        <v>577.5</v>
      </c>
      <c r="H45" s="58">
        <f>VLOOKUP(B45,TradeSheet!B:E,3,FALSE)</f>
        <v>112.71705499999999</v>
      </c>
      <c r="I45" s="67">
        <f>VLOOKUP(B45,TradeSheet!B:F,5,FALSE)*D45</f>
        <v>4778598.8250000002</v>
      </c>
      <c r="J45" s="68">
        <f>VLOOKUP(B45,TradeSheet!B:E,3,FALSE)*(D45+E45)</f>
        <v>4339606.6174999997</v>
      </c>
      <c r="K45" s="68">
        <f t="shared" si="3"/>
        <v>438992.20750000048</v>
      </c>
      <c r="L45" s="69">
        <v>44541</v>
      </c>
      <c r="M45" s="72"/>
      <c r="N45" s="72"/>
      <c r="S45" s="86"/>
      <c r="T45" s="86"/>
    </row>
    <row r="46" spans="1:20">
      <c r="A46" s="53" t="s">
        <v>132</v>
      </c>
      <c r="B46" s="60">
        <f>VLOOKUP(A46,TypeIDs!B:C,2,FALSE)</f>
        <v>207</v>
      </c>
      <c r="D46" s="59">
        <f>VLOOKUP(B46,TradeSheet!B:J,9,FALSE)-N46</f>
        <v>70000</v>
      </c>
      <c r="F46" s="57">
        <f>VLOOKUP(B46,TypeIDs!C:D,2,FALSE)</f>
        <v>0.03</v>
      </c>
      <c r="G46" s="57">
        <f t="shared" si="2"/>
        <v>2100</v>
      </c>
      <c r="H46" s="58">
        <f>VLOOKUP(B46,TradeSheet!B:E,3,FALSE)</f>
        <v>301.18124999999998</v>
      </c>
      <c r="I46" s="53">
        <f>VLOOKUP(B46,TradeSheet!B:F,5,FALSE)*D46</f>
        <v>25215645</v>
      </c>
      <c r="J46" s="55">
        <f>VLOOKUP(B46,TradeSheet!B:E,3,FALSE)*(D46+E46)</f>
        <v>21082687.5</v>
      </c>
      <c r="K46" s="55">
        <f t="shared" si="3"/>
        <v>4132957.5</v>
      </c>
      <c r="L46" s="56">
        <v>44541</v>
      </c>
      <c r="S46" s="86"/>
      <c r="T46" s="86"/>
    </row>
    <row r="47" spans="1:20">
      <c r="A47" s="61" t="s">
        <v>12547</v>
      </c>
      <c r="B47" s="62">
        <f>VLOOKUP(A47,TypeIDs!B:C,2,FALSE)</f>
        <v>24523</v>
      </c>
      <c r="C47" s="61" t="s">
        <v>44382</v>
      </c>
      <c r="D47" s="63">
        <f>VLOOKUP(B47,TradeSheet!B:J,9,FALSE)-N47</f>
        <v>84000</v>
      </c>
      <c r="E47" s="64"/>
      <c r="F47" s="70">
        <f>VLOOKUP(B47,TypeIDs!C:D,2,FALSE)</f>
        <v>0.05</v>
      </c>
      <c r="G47" s="70">
        <f t="shared" si="2"/>
        <v>4200</v>
      </c>
      <c r="H47" s="58">
        <f>VLOOKUP(B47,TradeSheet!B:E,3,FALSE)</f>
        <v>1826.9169999999999</v>
      </c>
      <c r="I47" s="67">
        <f>VLOOKUP(B47,TradeSheet!B:F,5,FALSE)*D47</f>
        <v>208279890</v>
      </c>
      <c r="J47" s="68">
        <f>VLOOKUP(B47,TradeSheet!B:E,3,FALSE)*(D47+E47)</f>
        <v>153461028</v>
      </c>
      <c r="K47" s="68">
        <f t="shared" si="3"/>
        <v>54818862</v>
      </c>
      <c r="L47" s="69">
        <v>44541</v>
      </c>
      <c r="M47" s="72"/>
      <c r="N47" s="72"/>
      <c r="S47" s="86"/>
      <c r="T47" s="86"/>
    </row>
    <row r="48" spans="1:20">
      <c r="A48" s="53" t="s">
        <v>5082</v>
      </c>
      <c r="B48" s="60">
        <f>VLOOKUP(A48,TypeIDs!B:C,2,FALSE)</f>
        <v>12787</v>
      </c>
      <c r="C48" s="53" t="s">
        <v>44382</v>
      </c>
      <c r="D48" s="59">
        <f>VLOOKUP(B48,TradeSheet!B:J,9,FALSE)-N48</f>
        <v>5600</v>
      </c>
      <c r="E48" s="12">
        <v>400</v>
      </c>
      <c r="F48" s="57">
        <f>VLOOKUP(B48,TypeIDs!C:D,2,FALSE)</f>
        <v>2.5000000000000001E-2</v>
      </c>
      <c r="G48" s="57">
        <f t="shared" si="2"/>
        <v>150</v>
      </c>
      <c r="H48" s="58">
        <f>VLOOKUP(B48,TradeSheet!B:E,3,FALSE)</f>
        <v>448.65600000000001</v>
      </c>
      <c r="I48" s="53">
        <f>VLOOKUP(B48,TradeSheet!B:F,5,FALSE)*D48</f>
        <v>5350800</v>
      </c>
      <c r="J48" s="55">
        <f>VLOOKUP(B48,TradeSheet!B:E,3,FALSE)*(D48+E48)</f>
        <v>2691936</v>
      </c>
      <c r="K48" s="55">
        <f t="shared" si="3"/>
        <v>2658864</v>
      </c>
      <c r="L48" s="56">
        <v>44541</v>
      </c>
      <c r="M48" s="71" t="s">
        <v>47033</v>
      </c>
      <c r="S48" s="86"/>
      <c r="T48" s="86"/>
    </row>
    <row r="49" spans="1:20">
      <c r="A49" s="53" t="s">
        <v>1227</v>
      </c>
      <c r="B49" s="60">
        <f>VLOOKUP(A49,TypeIDs!B:C,2,FALSE)</f>
        <v>2446</v>
      </c>
      <c r="C49" s="53" t="s">
        <v>44383</v>
      </c>
      <c r="D49" s="59">
        <f>VLOOKUP(B49,TradeSheet!B:J,9,FALSE)-N49</f>
        <v>70</v>
      </c>
      <c r="F49" s="57">
        <f>VLOOKUP(B49,TypeIDs!C:D,2,FALSE)</f>
        <v>25</v>
      </c>
      <c r="G49" s="57">
        <f t="shared" si="2"/>
        <v>1750</v>
      </c>
      <c r="H49" s="58">
        <f>VLOOKUP(B49,TradeSheet!B:E,3,FALSE)</f>
        <v>1448242.5</v>
      </c>
      <c r="I49" s="53">
        <f>VLOOKUP(B49,TradeSheet!B:F,5,FALSE)*D49</f>
        <v>160055805</v>
      </c>
      <c r="J49" s="55">
        <f>VLOOKUP(B49,TradeSheet!B:E,3,FALSE)*(D49+E49)</f>
        <v>101376975</v>
      </c>
      <c r="K49" s="55">
        <f t="shared" si="3"/>
        <v>58678830</v>
      </c>
      <c r="L49" s="56">
        <v>44541</v>
      </c>
      <c r="S49" s="86"/>
      <c r="T49" s="86"/>
    </row>
    <row r="50" spans="1:20">
      <c r="A50" s="53" t="s">
        <v>32710</v>
      </c>
      <c r="B50" s="60">
        <f>VLOOKUP(A50,TypeIDs!B:C,2,FALSE)</f>
        <v>49742</v>
      </c>
      <c r="C50" s="53" t="s">
        <v>44384</v>
      </c>
      <c r="D50" s="12">
        <f>VLOOKUP(B50,TradeSheet!B:J,9,FALSE)-N50</f>
        <v>7</v>
      </c>
      <c r="E50" s="12">
        <v>3</v>
      </c>
      <c r="F50" s="57">
        <f>VLOOKUP(B50,TypeIDs!C:D,2,FALSE)</f>
        <v>0.01</v>
      </c>
      <c r="G50" s="57">
        <f t="shared" si="2"/>
        <v>0.1</v>
      </c>
      <c r="H50" s="58">
        <f>VLOOKUP(B50,TradeSheet!B:E,3,FALSE)</f>
        <v>520170</v>
      </c>
      <c r="I50" s="53">
        <f>VLOOKUP(B50,TradeSheet!B:F,5,FALSE)*D50</f>
        <v>26667049.5</v>
      </c>
      <c r="J50" s="55">
        <f>VLOOKUP(B50,TradeSheet!B:E,3,FALSE)*(D50+E50)</f>
        <v>5201700</v>
      </c>
      <c r="K50" s="55">
        <f t="shared" si="3"/>
        <v>21465349.5</v>
      </c>
      <c r="L50" s="56">
        <v>44541</v>
      </c>
      <c r="S50" s="86"/>
      <c r="T50" s="86"/>
    </row>
    <row r="51" spans="1:20">
      <c r="A51" s="53" t="s">
        <v>31363</v>
      </c>
      <c r="B51" s="60">
        <f>VLOOKUP(A51,TypeIDs!B:C,2,FALSE)</f>
        <v>47867</v>
      </c>
      <c r="C51" s="53" t="s">
        <v>44384</v>
      </c>
      <c r="D51" s="12">
        <f>VLOOKUP(B51,TradeSheet!B:J,9,FALSE)-N51</f>
        <v>7</v>
      </c>
      <c r="E51" s="12">
        <v>3</v>
      </c>
      <c r="F51" s="54">
        <f>VLOOKUP(B51,TypeIDs!C:D,2,FALSE)</f>
        <v>0.01</v>
      </c>
      <c r="G51" s="54">
        <f t="shared" si="2"/>
        <v>0.1</v>
      </c>
      <c r="H51" s="58">
        <f>VLOOKUP(B51,TradeSheet!B:E,3,FALSE)</f>
        <v>93825.99</v>
      </c>
      <c r="I51" s="53">
        <f>VLOOKUP(B51,TradeSheet!B:F,5,FALSE)*D51</f>
        <v>5683887.2999999998</v>
      </c>
      <c r="J51" s="55">
        <f>VLOOKUP(B51,TradeSheet!B:E,3,FALSE)*(D51+E51)</f>
        <v>938259.9</v>
      </c>
      <c r="K51" s="55">
        <f t="shared" si="3"/>
        <v>4745627.3999999994</v>
      </c>
      <c r="L51" s="56">
        <v>44541</v>
      </c>
      <c r="S51" s="86"/>
      <c r="T51" s="86"/>
    </row>
    <row r="52" spans="1:20">
      <c r="A52" s="53" t="s">
        <v>27337</v>
      </c>
      <c r="B52" s="60">
        <f>VLOOKUP(A52,TypeIDs!B:C,2,FALSE)</f>
        <v>42840</v>
      </c>
      <c r="C52" s="53" t="s">
        <v>47006</v>
      </c>
      <c r="D52" s="59">
        <f>VLOOKUP(B52,TradeSheet!B:J,9,FALSE)-N52</f>
        <v>6300</v>
      </c>
      <c r="F52" s="57">
        <f>VLOOKUP(B52,TypeIDs!C:D,2,FALSE)</f>
        <v>0.01</v>
      </c>
      <c r="G52" s="57">
        <f t="shared" si="2"/>
        <v>63</v>
      </c>
      <c r="H52" s="58">
        <f>VLOOKUP(B52,TradeSheet!B:E,3,FALSE)</f>
        <v>479.02499999999998</v>
      </c>
      <c r="I52" s="53">
        <f>VLOOKUP(B52,TradeSheet!B:F,5,FALSE)*D52</f>
        <v>9023455.3499999996</v>
      </c>
      <c r="J52" s="55">
        <f>VLOOKUP(B52,TradeSheet!B:E,3,FALSE)*(D52+E52)</f>
        <v>3017857.5</v>
      </c>
      <c r="K52" s="55">
        <f t="shared" si="3"/>
        <v>6005597.8499999996</v>
      </c>
      <c r="L52" s="56">
        <v>44541</v>
      </c>
      <c r="S52" s="86"/>
      <c r="T52" s="86"/>
    </row>
    <row r="53" spans="1:20">
      <c r="A53" s="53" t="s">
        <v>668</v>
      </c>
      <c r="B53" s="60">
        <f>VLOOKUP(A53,TypeIDs!B:C,2,FALSE)</f>
        <v>1335</v>
      </c>
      <c r="C53" s="53" t="s">
        <v>47011</v>
      </c>
      <c r="D53" s="59">
        <f>VLOOKUP(B53,TradeSheet!B:J,9,FALSE)-N53</f>
        <v>35</v>
      </c>
      <c r="F53" s="57">
        <f>VLOOKUP(B53,TypeIDs!C:D,2,FALSE)</f>
        <v>5</v>
      </c>
      <c r="G53" s="57">
        <f t="shared" si="2"/>
        <v>175</v>
      </c>
      <c r="H53" s="58">
        <f>VLOOKUP(B53,TradeSheet!B:E,3,FALSE)</f>
        <v>373521.85</v>
      </c>
      <c r="I53" s="53">
        <f>VLOOKUP(B53,TradeSheet!B:F,5,FALSE)*D53</f>
        <v>32328864.75</v>
      </c>
      <c r="J53" s="55">
        <f>VLOOKUP(B53,TradeSheet!B:E,3,FALSE)*(D53+E53)</f>
        <v>13073264.75</v>
      </c>
      <c r="K53" s="55">
        <f t="shared" si="3"/>
        <v>19255600</v>
      </c>
      <c r="L53" s="56">
        <v>44541</v>
      </c>
      <c r="S53" s="86"/>
      <c r="T53" s="86"/>
    </row>
    <row r="54" spans="1:20">
      <c r="A54" s="53" t="s">
        <v>15367</v>
      </c>
      <c r="B54" s="60">
        <f>VLOOKUP(A54,TypeIDs!B:C,2,FALSE)</f>
        <v>28326</v>
      </c>
      <c r="C54" s="53" t="s">
        <v>44382</v>
      </c>
      <c r="D54" s="59">
        <f>VLOOKUP(B54,TradeSheet!B:J,9,FALSE)-N54</f>
        <v>7000</v>
      </c>
      <c r="E54" s="12">
        <v>400</v>
      </c>
      <c r="F54" s="57">
        <f>VLOOKUP(B54,TypeIDs!C:D,2,FALSE)</f>
        <v>1.2500000000000001E-2</v>
      </c>
      <c r="G54" s="57">
        <f t="shared" si="2"/>
        <v>92.5</v>
      </c>
      <c r="H54" s="58">
        <f>VLOOKUP(B54,TradeSheet!B:E,3,FALSE)</f>
        <v>441.79289999999997</v>
      </c>
      <c r="I54" s="53">
        <f>VLOOKUP(B54,TradeSheet!B:F,5,FALSE)*D54</f>
        <v>4601688</v>
      </c>
      <c r="J54" s="55">
        <f>VLOOKUP(B54,TradeSheet!B:E,3,FALSE)*(D54+E54)</f>
        <v>3269267.46</v>
      </c>
      <c r="K54" s="55">
        <f t="shared" si="3"/>
        <v>1332420.54</v>
      </c>
      <c r="L54" s="56">
        <v>44541</v>
      </c>
      <c r="M54" s="71" t="s">
        <v>47033</v>
      </c>
      <c r="S54" s="86"/>
      <c r="T54" s="86"/>
    </row>
    <row r="55" spans="1:20">
      <c r="A55" s="53" t="s">
        <v>15375</v>
      </c>
      <c r="B55" s="60">
        <f>VLOOKUP(A55,TypeIDs!B:C,2,FALSE)</f>
        <v>28334</v>
      </c>
      <c r="C55" s="53" t="s">
        <v>44382</v>
      </c>
      <c r="D55" s="59">
        <f>VLOOKUP(B55,TradeSheet!B:J,9,FALSE)-N55</f>
        <v>42000</v>
      </c>
      <c r="F55" s="57">
        <f>VLOOKUP(B55,TypeIDs!C:D,2,FALSE)</f>
        <v>1.2500000000000001E-2</v>
      </c>
      <c r="G55" s="57">
        <f t="shared" si="2"/>
        <v>525</v>
      </c>
      <c r="H55" s="58">
        <f>VLOOKUP(B55,TradeSheet!B:E,3,FALSE)</f>
        <v>734.14845000000003</v>
      </c>
      <c r="I55" s="53">
        <f>VLOOKUP(B55,TradeSheet!B:F,5,FALSE)*D55</f>
        <v>49320999</v>
      </c>
      <c r="J55" s="55">
        <f>VLOOKUP(B55,TradeSheet!B:E,3,FALSE)*(D55+E55)</f>
        <v>30834234.900000002</v>
      </c>
      <c r="K55" s="55">
        <f t="shared" si="3"/>
        <v>18486764.099999998</v>
      </c>
      <c r="L55" s="56">
        <v>44541</v>
      </c>
      <c r="S55" s="86"/>
      <c r="T55" s="86"/>
    </row>
    <row r="56" spans="1:20">
      <c r="A56" s="53" t="s">
        <v>15922</v>
      </c>
      <c r="B56" s="60">
        <f>VLOOKUP(A56,TypeIDs!B:C,2,FALSE)</f>
        <v>29011</v>
      </c>
      <c r="C56" s="53" t="s">
        <v>47006</v>
      </c>
      <c r="D56" s="59">
        <f>VLOOKUP(B56,TradeSheet!B:J,9,FALSE)-N56</f>
        <v>49</v>
      </c>
      <c r="F56" s="57">
        <f>VLOOKUP(B56,TypeIDs!C:D,2,FALSE)</f>
        <v>1</v>
      </c>
      <c r="G56" s="57">
        <f t="shared" si="2"/>
        <v>49</v>
      </c>
      <c r="H56" s="58">
        <f>VLOOKUP(B56,TradeSheet!B:E,3,FALSE)</f>
        <v>16525.72</v>
      </c>
      <c r="I56" s="53">
        <f>VLOOKUP(B56,TradeSheet!B:F,5,FALSE)*D56</f>
        <v>28087018.049999997</v>
      </c>
      <c r="J56" s="55">
        <f>VLOOKUP(B56,TradeSheet!B:E,3,FALSE)*(D56+E56)</f>
        <v>809760.28</v>
      </c>
      <c r="K56" s="55">
        <f t="shared" si="3"/>
        <v>27277257.769999996</v>
      </c>
      <c r="L56" s="56">
        <v>44541</v>
      </c>
      <c r="S56" s="86"/>
      <c r="T56" s="86"/>
    </row>
    <row r="57" spans="1:20">
      <c r="A57" s="53" t="s">
        <v>12516</v>
      </c>
      <c r="B57" s="60">
        <f>VLOOKUP(A57,TypeIDs!B:C,2,FALSE)</f>
        <v>24492</v>
      </c>
      <c r="C57" s="53" t="s">
        <v>44382</v>
      </c>
      <c r="D57" s="59">
        <f>VLOOKUP(B57,TradeSheet!B:J,9,FALSE)-N57</f>
        <v>26600</v>
      </c>
      <c r="E57" s="12">
        <v>400</v>
      </c>
      <c r="F57" s="57">
        <f>VLOOKUP(B57,TypeIDs!C:D,2,FALSE)</f>
        <v>1.4999999999999999E-2</v>
      </c>
      <c r="G57" s="57">
        <f t="shared" si="2"/>
        <v>405</v>
      </c>
      <c r="H57" s="58">
        <f>VLOOKUP(B57,TradeSheet!B:E,3,FALSE)</f>
        <v>136.64654999999999</v>
      </c>
      <c r="I57" s="53">
        <f>VLOOKUP(B57,TradeSheet!B:F,5,FALSE)*D57</f>
        <v>9353198.4000000004</v>
      </c>
      <c r="J57" s="55">
        <f>VLOOKUP(B57,TradeSheet!B:E,3,FALSE)*(D57+E57)</f>
        <v>3689456.8499999996</v>
      </c>
      <c r="K57" s="55">
        <f t="shared" si="3"/>
        <v>5663741.5500000007</v>
      </c>
      <c r="L57" s="56">
        <v>44541</v>
      </c>
    </row>
    <row r="58" spans="1:20">
      <c r="A58" s="53" t="s">
        <v>1427</v>
      </c>
      <c r="B58" s="60">
        <f>VLOOKUP(A58,TypeIDs!B:C,2,FALSE)</f>
        <v>2679</v>
      </c>
      <c r="C58" s="53" t="s">
        <v>44382</v>
      </c>
      <c r="D58" s="59">
        <f>VLOOKUP(B58,TradeSheet!B:J,9,FALSE)-N58</f>
        <v>112000</v>
      </c>
      <c r="E58" s="12">
        <v>-700</v>
      </c>
      <c r="F58" s="57">
        <f>VLOOKUP(B58,TypeIDs!C:D,2,FALSE)</f>
        <v>1.4999999999999999E-2</v>
      </c>
      <c r="G58" s="57">
        <f t="shared" si="2"/>
        <v>1669.5</v>
      </c>
      <c r="H58" s="58">
        <f>VLOOKUP(B58,TradeSheet!B:E,3,FALSE)</f>
        <v>118.9945</v>
      </c>
      <c r="I58" s="53">
        <f>VLOOKUP(B58,TradeSheet!B:F,5,FALSE)*D58</f>
        <v>80262000</v>
      </c>
      <c r="J58" s="55">
        <f>VLOOKUP(B58,TradeSheet!B:E,3,FALSE)*(D58+E58)</f>
        <v>13244087.85</v>
      </c>
      <c r="K58" s="55">
        <f t="shared" si="3"/>
        <v>67017912.149999999</v>
      </c>
      <c r="L58" s="56">
        <v>44541</v>
      </c>
      <c r="S58" s="86"/>
      <c r="T58" s="86"/>
    </row>
    <row r="59" spans="1:20">
      <c r="A59" s="53" t="s">
        <v>27208</v>
      </c>
      <c r="B59" s="60">
        <f>VLOOKUP(A59,TypeIDs!B:C,2,FALSE)</f>
        <v>42696</v>
      </c>
      <c r="C59" s="53" t="s">
        <v>47006</v>
      </c>
      <c r="D59" s="12">
        <f>VLOOKUP(B59,TradeSheet!B:J,9,FALSE)-N59</f>
        <v>5600</v>
      </c>
      <c r="E59" s="12">
        <v>200</v>
      </c>
      <c r="F59" s="57">
        <f>VLOOKUP(B59,TypeIDs!C:D,2,FALSE)</f>
        <v>0.01</v>
      </c>
      <c r="G59" s="57">
        <f t="shared" si="2"/>
        <v>58</v>
      </c>
      <c r="H59" s="58">
        <f>VLOOKUP(B59,TradeSheet!B:E,3,FALSE)</f>
        <v>597.47129999999993</v>
      </c>
      <c r="I59" s="53">
        <f>VLOOKUP(B59,TradeSheet!B:F,5,FALSE)*D59</f>
        <v>5720005.2000000002</v>
      </c>
      <c r="J59" s="55">
        <f>VLOOKUP(B59,TradeSheet!B:E,3,FALSE)*(D59+E59)</f>
        <v>3465333.5399999996</v>
      </c>
      <c r="K59" s="55">
        <f t="shared" si="3"/>
        <v>2254671.6600000006</v>
      </c>
      <c r="L59" s="56">
        <v>44541</v>
      </c>
      <c r="S59" s="86"/>
      <c r="T59" s="86"/>
    </row>
    <row r="60" spans="1:20">
      <c r="A60" s="53" t="s">
        <v>27207</v>
      </c>
      <c r="B60" s="60">
        <f>VLOOKUP(A60,TypeIDs!B:C,2,FALSE)</f>
        <v>42695</v>
      </c>
      <c r="C60" s="53" t="s">
        <v>47006</v>
      </c>
      <c r="D60" s="59">
        <f>VLOOKUP(B60,TradeSheet!B:J,9,FALSE)-N60</f>
        <v>5600</v>
      </c>
      <c r="F60" s="57">
        <f>VLOOKUP(B60,TypeIDs!C:D,2,FALSE)</f>
        <v>0.01</v>
      </c>
      <c r="G60" s="57">
        <f t="shared" si="2"/>
        <v>56</v>
      </c>
      <c r="H60" s="58">
        <f>VLOOKUP(B60,TradeSheet!B:E,3,FALSE)</f>
        <v>510.36</v>
      </c>
      <c r="I60" s="53">
        <f>VLOOKUP(B60,TradeSheet!B:F,5,FALSE)*D60</f>
        <v>6956040.0000000009</v>
      </c>
      <c r="J60" s="55">
        <f>VLOOKUP(B60,TradeSheet!B:E,3,FALSE)*(D60+E60)</f>
        <v>2858016</v>
      </c>
      <c r="K60" s="55">
        <f t="shared" si="3"/>
        <v>4098024.0000000009</v>
      </c>
      <c r="L60" s="56">
        <v>44541</v>
      </c>
      <c r="S60" s="86"/>
      <c r="T60" s="86"/>
    </row>
    <row r="61" spans="1:20">
      <c r="A61" s="53" t="s">
        <v>17421</v>
      </c>
      <c r="B61" s="60">
        <f>VLOOKUP(A61,TypeIDs!B:C,2,FALSE)</f>
        <v>31117</v>
      </c>
      <c r="C61" s="53" t="s">
        <v>47010</v>
      </c>
      <c r="D61" s="59">
        <f>VLOOKUP(B61,TradeSheet!B:J,9,FALSE)-N61</f>
        <v>35</v>
      </c>
      <c r="F61" s="57">
        <f>VLOOKUP(B61,TypeIDs!C:D,2,FALSE)</f>
        <v>5</v>
      </c>
      <c r="G61" s="57">
        <f t="shared" si="2"/>
        <v>175</v>
      </c>
      <c r="H61" s="58">
        <f>VLOOKUP(B61,TradeSheet!B:E,3,FALSE)</f>
        <v>52547</v>
      </c>
      <c r="I61" s="53">
        <f>VLOOKUP(B61,TradeSheet!B:F,5,FALSE)*D61</f>
        <v>19396650</v>
      </c>
      <c r="J61" s="55">
        <f>VLOOKUP(B61,TradeSheet!B:E,3,FALSE)*(D61+E61)</f>
        <v>1839145</v>
      </c>
      <c r="K61" s="55">
        <f t="shared" si="3"/>
        <v>17557505</v>
      </c>
      <c r="L61" s="56">
        <v>44541</v>
      </c>
      <c r="M61" s="71" t="s">
        <v>47033</v>
      </c>
    </row>
    <row r="62" spans="1:20">
      <c r="A62" s="61" t="s">
        <v>18091</v>
      </c>
      <c r="B62" s="62">
        <f>VLOOKUP(A62,TypeIDs!B:C,2,FALSE)</f>
        <v>31788</v>
      </c>
      <c r="C62" s="61" t="s">
        <v>47010</v>
      </c>
      <c r="D62" s="63">
        <f>VLOOKUP(B62,TradeSheet!B:J,9,FALSE)-N62</f>
        <v>42</v>
      </c>
      <c r="E62" s="64"/>
      <c r="F62" s="70">
        <f>VLOOKUP(B62,TypeIDs!C:D,2,FALSE)</f>
        <v>5</v>
      </c>
      <c r="G62" s="70">
        <f t="shared" si="2"/>
        <v>210</v>
      </c>
      <c r="H62" s="58">
        <f>VLOOKUP(B62,TradeSheet!B:E,3,FALSE)</f>
        <v>171411.1</v>
      </c>
      <c r="I62" s="67">
        <f>VLOOKUP(B62,TradeSheet!B:F,5,FALSE)*D62</f>
        <v>13267308.6</v>
      </c>
      <c r="J62" s="68">
        <f>VLOOKUP(B62,TradeSheet!B:E,3,FALSE)*(D62+E62)</f>
        <v>7199266.2000000002</v>
      </c>
      <c r="K62" s="68">
        <f t="shared" si="3"/>
        <v>6068042.3999999994</v>
      </c>
      <c r="L62" s="69">
        <v>44541</v>
      </c>
      <c r="M62" s="72" t="s">
        <v>47033</v>
      </c>
      <c r="N62" s="72"/>
      <c r="S62" s="86"/>
      <c r="T62" s="86"/>
    </row>
    <row r="63" spans="1:20">
      <c r="A63" s="61" t="s">
        <v>18025</v>
      </c>
      <c r="B63" s="62">
        <f>VLOOKUP(A63,TypeIDs!B:C,2,FALSE)</f>
        <v>31722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1660032.5</v>
      </c>
      <c r="I63" s="67">
        <f>VLOOKUP(B63,TradeSheet!B:F,5,FALSE)*D63</f>
        <v>66216150</v>
      </c>
      <c r="J63" s="68">
        <f>VLOOKUP(B63,TradeSheet!B:E,3,FALSE)*(D63+E63)</f>
        <v>34860682.5</v>
      </c>
      <c r="K63" s="68">
        <f t="shared" si="3"/>
        <v>31355467.5</v>
      </c>
      <c r="L63" s="69">
        <v>44541</v>
      </c>
      <c r="M63" s="72" t="s">
        <v>47033</v>
      </c>
      <c r="N63" s="72"/>
      <c r="S63" s="86"/>
      <c r="T63" s="86"/>
    </row>
    <row r="64" spans="1:20">
      <c r="A64" s="61" t="s">
        <v>5147</v>
      </c>
      <c r="B64" s="62">
        <f>VLOOKUP(A64,TypeIDs!B:C,2,FALSE)</f>
        <v>13001</v>
      </c>
      <c r="C64" s="61" t="s">
        <v>47013</v>
      </c>
      <c r="D64" s="63">
        <f>VLOOKUP(B64,TradeSheet!B:J,9,FALSE)-N64</f>
        <v>14</v>
      </c>
      <c r="E64" s="64"/>
      <c r="F64" s="70">
        <f>VLOOKUP(B64,TypeIDs!C:D,2,FALSE)</f>
        <v>5</v>
      </c>
      <c r="G64" s="70">
        <f t="shared" si="2"/>
        <v>70</v>
      </c>
      <c r="H64" s="58">
        <f>VLOOKUP(B64,TradeSheet!B:E,3,FALSE)</f>
        <v>2431918</v>
      </c>
      <c r="I64" s="67">
        <f>VLOOKUP(B64,TradeSheet!B:F,5,FALSE)*D64</f>
        <v>39448773</v>
      </c>
      <c r="J64" s="68">
        <f>VLOOKUP(B64,TradeSheet!B:E,3,FALSE)*(D64+E64)</f>
        <v>34046852</v>
      </c>
      <c r="K64" s="68">
        <f t="shared" si="3"/>
        <v>5401921</v>
      </c>
      <c r="L64" s="69">
        <v>44541</v>
      </c>
      <c r="M64" s="72"/>
      <c r="N64" s="72"/>
      <c r="S64" s="86"/>
      <c r="T64" s="86"/>
    </row>
    <row r="65" spans="1:20">
      <c r="A65" s="61" t="s">
        <v>5147</v>
      </c>
      <c r="B65" s="62">
        <f>VLOOKUP(A65,TypeIDs!B:C,2,FALSE)</f>
        <v>13001</v>
      </c>
      <c r="C65" s="61" t="s">
        <v>47011</v>
      </c>
      <c r="D65" s="63">
        <f>VLOOKUP(B65,TradeSheet!B:J,9,FALSE)-N65</f>
        <v>14</v>
      </c>
      <c r="E65" s="64"/>
      <c r="F65" s="70">
        <f>VLOOKUP(B65,TypeIDs!C:D,2,FALSE)</f>
        <v>5</v>
      </c>
      <c r="G65" s="70">
        <f t="shared" si="2"/>
        <v>70</v>
      </c>
      <c r="H65" s="58">
        <f>VLOOKUP(B65,TradeSheet!B:E,3,FALSE)</f>
        <v>2431918</v>
      </c>
      <c r="I65" s="67">
        <f>VLOOKUP(B65,TradeSheet!B:F,5,FALSE)*D65</f>
        <v>39448773</v>
      </c>
      <c r="J65" s="68">
        <f>VLOOKUP(B65,TradeSheet!B:E,3,FALSE)*(D65+E65)</f>
        <v>34046852</v>
      </c>
      <c r="K65" s="68">
        <f t="shared" si="3"/>
        <v>5401921</v>
      </c>
      <c r="L65" s="69">
        <v>44541</v>
      </c>
      <c r="M65" s="72"/>
      <c r="N65" s="72"/>
    </row>
    <row r="66" spans="1:20">
      <c r="A66" s="53" t="s">
        <v>17517</v>
      </c>
      <c r="B66" s="60">
        <f>VLOOKUP(A66,TypeIDs!B:C,2,FALSE)</f>
        <v>31213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8" si="4">F66*(D66+E66)</f>
        <v>105</v>
      </c>
      <c r="H66" s="58">
        <f>VLOOKUP(B66,TradeSheet!B:E,3,FALSE)</f>
        <v>29912.685000000001</v>
      </c>
      <c r="I66" s="53">
        <f>VLOOKUP(B66,TradeSheet!B:F,5,FALSE)*D66</f>
        <v>3928824.9</v>
      </c>
      <c r="J66" s="55">
        <f>VLOOKUP(B66,TradeSheet!B:E,3,FALSE)*(D66+E66)</f>
        <v>628166.38500000001</v>
      </c>
      <c r="K66" s="55">
        <f t="shared" ref="K66:K78" si="5">(I66-J66)</f>
        <v>3300658.5149999997</v>
      </c>
      <c r="L66" s="56">
        <v>44541</v>
      </c>
    </row>
    <row r="67" spans="1:20" ht="14.25" customHeight="1">
      <c r="A67" s="61" t="s">
        <v>17469</v>
      </c>
      <c r="B67" s="62">
        <f>VLOOKUP(A67,TypeIDs!B:C,2,FALSE)</f>
        <v>31165</v>
      </c>
      <c r="C67" s="61" t="s">
        <v>47010</v>
      </c>
      <c r="D67" s="63">
        <f>VLOOKUP(B67,TradeSheet!B:J,9,FALSE)-N67</f>
        <v>21</v>
      </c>
      <c r="E67" s="64"/>
      <c r="F67" s="70">
        <f>VLOOKUP(B67,TypeIDs!C:D,2,FALSE)</f>
        <v>5</v>
      </c>
      <c r="G67" s="70">
        <f t="shared" si="4"/>
        <v>105</v>
      </c>
      <c r="H67" s="58">
        <f>VLOOKUP(B67,TradeSheet!B:E,3,FALSE)</f>
        <v>1927424.5</v>
      </c>
      <c r="I67" s="67">
        <f>VLOOKUP(B67,TradeSheet!B:F,5,FALSE)*D67</f>
        <v>52150234.5</v>
      </c>
      <c r="J67" s="68">
        <f>VLOOKUP(B67,TradeSheet!B:E,3,FALSE)*(D67+E67)</f>
        <v>40475914.5</v>
      </c>
      <c r="K67" s="68">
        <f t="shared" si="5"/>
        <v>11674320</v>
      </c>
      <c r="L67" s="69">
        <v>44541</v>
      </c>
      <c r="M67" s="72" t="s">
        <v>47033</v>
      </c>
      <c r="N67" s="72"/>
      <c r="S67" s="86"/>
      <c r="T67" s="86"/>
    </row>
    <row r="68" spans="1:20">
      <c r="A68" s="53" t="s">
        <v>17457</v>
      </c>
      <c r="B68" s="60">
        <f>VLOOKUP(A68,TypeIDs!B:C,2,FALSE)</f>
        <v>31153</v>
      </c>
      <c r="C68" s="53" t="s">
        <v>47010</v>
      </c>
      <c r="D68" s="59">
        <f>VLOOKUP(B68,TradeSheet!B:J,9,FALSE)-N68</f>
        <v>21</v>
      </c>
      <c r="F68" s="57">
        <f>VLOOKUP(B68,TypeIDs!C:D,2,FALSE)</f>
        <v>5</v>
      </c>
      <c r="G68" s="57">
        <f t="shared" si="4"/>
        <v>105</v>
      </c>
      <c r="H68" s="58">
        <f>VLOOKUP(B68,TradeSheet!B:E,3,FALSE)</f>
        <v>157728.15</v>
      </c>
      <c r="I68" s="53">
        <f>VLOOKUP(B68,TradeSheet!B:F,5,FALSE)*D68</f>
        <v>8525830.9500000011</v>
      </c>
      <c r="J68" s="55">
        <f>VLOOKUP(B68,TradeSheet!B:E,3,FALSE)*(D68+E68)</f>
        <v>3312291.15</v>
      </c>
      <c r="K68" s="55">
        <f t="shared" si="5"/>
        <v>5213539.8000000007</v>
      </c>
      <c r="L68" s="56">
        <v>44541</v>
      </c>
    </row>
    <row r="69" spans="1:20">
      <c r="A69" s="53" t="s">
        <v>17481</v>
      </c>
      <c r="B69" s="60">
        <f>VLOOKUP(A69,TypeIDs!B:C,2,FALSE)</f>
        <v>31177</v>
      </c>
      <c r="C69" s="53" t="s">
        <v>47010</v>
      </c>
      <c r="D69" s="59">
        <f>VLOOKUP(B69,TradeSheet!B:J,9,FALSE)-N69</f>
        <v>21</v>
      </c>
      <c r="E69" s="12">
        <v>4</v>
      </c>
      <c r="F69" s="65">
        <f>VLOOKUP(B69,TypeIDs!C:D,2,FALSE)</f>
        <v>5</v>
      </c>
      <c r="G69" s="65">
        <f t="shared" si="4"/>
        <v>125</v>
      </c>
      <c r="H69" s="66">
        <f>VLOOKUP(B69,TradeSheet!B:E,3,FALSE)</f>
        <v>242541.55</v>
      </c>
      <c r="I69" s="53">
        <f>VLOOKUP(B69,TradeSheet!B:F,5,FALSE)*D69</f>
        <v>19551823.199999999</v>
      </c>
      <c r="J69" s="55">
        <f>VLOOKUP(B69,TradeSheet!B:E,3,FALSE)*(D69+E69)</f>
        <v>6063538.75</v>
      </c>
      <c r="K69" s="55">
        <f t="shared" si="5"/>
        <v>13488284.449999999</v>
      </c>
      <c r="L69" s="56">
        <v>44541</v>
      </c>
      <c r="S69" s="86"/>
      <c r="T69" s="86"/>
    </row>
    <row r="70" spans="1:20">
      <c r="A70" s="53" t="s">
        <v>17487</v>
      </c>
      <c r="B70" s="60">
        <f>VLOOKUP(A70,TypeIDs!B:C,2,FALSE)</f>
        <v>31183</v>
      </c>
      <c r="C70" s="53" t="s">
        <v>47010</v>
      </c>
      <c r="D70" s="59">
        <f>VLOOKUP(B70,TradeSheet!B:J,9,FALSE)-N70</f>
        <v>21</v>
      </c>
      <c r="F70" s="65">
        <f>VLOOKUP(B70,TypeIDs!C:D,2,FALSE)</f>
        <v>5</v>
      </c>
      <c r="G70" s="65">
        <f t="shared" si="4"/>
        <v>105</v>
      </c>
      <c r="H70" s="66">
        <f>VLOOKUP(B70,TradeSheet!B:E,3,FALSE)</f>
        <v>2070521</v>
      </c>
      <c r="I70" s="53">
        <f>VLOOKUP(B70,TradeSheet!B:F,5,FALSE)*D70</f>
        <v>163614087</v>
      </c>
      <c r="J70" s="55">
        <f>VLOOKUP(B70,TradeSheet!B:E,3,FALSE)*(D70+E70)</f>
        <v>43480941</v>
      </c>
      <c r="K70" s="55">
        <f t="shared" si="5"/>
        <v>120133146</v>
      </c>
      <c r="L70" s="56">
        <v>44541</v>
      </c>
      <c r="S70" s="86"/>
      <c r="T70" s="86"/>
    </row>
    <row r="71" spans="1:20">
      <c r="A71" s="53" t="s">
        <v>14309</v>
      </c>
      <c r="B71" s="60">
        <f>VLOOKUP(A71,TypeIDs!B:C,2,FALSE)</f>
        <v>26929</v>
      </c>
      <c r="C71" s="53" t="s">
        <v>47010</v>
      </c>
      <c r="D71" s="59">
        <f>VLOOKUP(B71,TradeSheet!B:J,9,FALSE)-N71</f>
        <v>28</v>
      </c>
      <c r="F71" s="65">
        <f>VLOOKUP(B71,TypeIDs!C:D,2,FALSE)</f>
        <v>5</v>
      </c>
      <c r="G71" s="65">
        <f t="shared" si="4"/>
        <v>140</v>
      </c>
      <c r="H71" s="66">
        <f>VLOOKUP(B71,TradeSheet!B:E,3,FALSE)</f>
        <v>57685.94</v>
      </c>
      <c r="I71" s="53">
        <f>VLOOKUP(B71,TradeSheet!B:F,5,FALSE)*D71</f>
        <v>5481894.6000000006</v>
      </c>
      <c r="J71" s="55">
        <f>VLOOKUP(B71,TradeSheet!B:E,3,FALSE)*(D71+E71)</f>
        <v>1615206.32</v>
      </c>
      <c r="K71" s="55">
        <f t="shared" si="5"/>
        <v>3866688.2800000003</v>
      </c>
      <c r="L71" s="56">
        <v>44541</v>
      </c>
      <c r="S71" s="86"/>
      <c r="T71" s="86"/>
    </row>
    <row r="72" spans="1:20">
      <c r="A72" s="53" t="s">
        <v>17396</v>
      </c>
      <c r="B72" s="60">
        <f>VLOOKUP(A72,TypeIDs!B:C,2,FALSE)</f>
        <v>31083</v>
      </c>
      <c r="C72" s="53" t="s">
        <v>47010</v>
      </c>
      <c r="D72" s="59">
        <f>VLOOKUP(B72,TradeSheet!B:J,9,FALSE)-N72</f>
        <v>17.5</v>
      </c>
      <c r="F72" s="65">
        <f>VLOOKUP(B72,TypeIDs!C:D,2,FALSE)</f>
        <v>5</v>
      </c>
      <c r="G72" s="65">
        <f t="shared" si="4"/>
        <v>87.5</v>
      </c>
      <c r="H72" s="66">
        <f>VLOOKUP(B72,TradeSheet!B:E,3,FALSE)</f>
        <v>413317.3</v>
      </c>
      <c r="I72" s="53">
        <f>VLOOKUP(B72,TradeSheet!B:F,5,FALSE)*D72</f>
        <v>15049125</v>
      </c>
      <c r="J72" s="55">
        <f>VLOOKUP(B72,TradeSheet!B:E,3,FALSE)*(D72+E72)</f>
        <v>7233052.75</v>
      </c>
      <c r="K72" s="55">
        <f t="shared" si="5"/>
        <v>7816072.25</v>
      </c>
      <c r="L72" s="56">
        <v>44541</v>
      </c>
    </row>
    <row r="73" spans="1:20">
      <c r="A73" s="53" t="s">
        <v>35891</v>
      </c>
      <c r="B73" s="60">
        <f>VLOOKUP(A73,TypeIDs!B:C,2,FALSE)</f>
        <v>56748</v>
      </c>
      <c r="C73" s="53" t="s">
        <v>47006</v>
      </c>
      <c r="D73" s="59">
        <f>VLOOKUP(B73,TradeSheet!B:J,9,FALSE)-N73</f>
        <v>70</v>
      </c>
      <c r="E73" s="12">
        <v>10</v>
      </c>
      <c r="F73" s="65">
        <f>VLOOKUP(B73,TypeIDs!C:D,2,FALSE)</f>
        <v>3</v>
      </c>
      <c r="G73" s="65">
        <f t="shared" si="4"/>
        <v>240</v>
      </c>
      <c r="H73" s="66">
        <f>VLOOKUP(B73,TradeSheet!B:E,3,FALSE)</f>
        <v>68503.5</v>
      </c>
      <c r="I73" s="53">
        <f>VLOOKUP(B73,TradeSheet!B:F,5,FALSE)*D73</f>
        <v>10634715</v>
      </c>
      <c r="J73" s="55">
        <f>VLOOKUP(B73,TradeSheet!B:E,3,FALSE)*(D73+E73)</f>
        <v>5480280</v>
      </c>
      <c r="K73" s="55">
        <f t="shared" si="5"/>
        <v>5154435</v>
      </c>
      <c r="L73" s="56">
        <v>44541</v>
      </c>
      <c r="M73" s="71" t="s">
        <v>47033</v>
      </c>
      <c r="S73" s="86"/>
      <c r="T73" s="86"/>
    </row>
    <row r="74" spans="1:20">
      <c r="A74" s="53" t="s">
        <v>10259</v>
      </c>
      <c r="B74" s="60">
        <f>VLOOKUP(A74,TypeIDs!B:C,2,FALSE)</f>
        <v>21640</v>
      </c>
      <c r="C74" s="53" t="s">
        <v>44383</v>
      </c>
      <c r="D74" s="59">
        <f>VLOOKUP(B74,TradeSheet!B:J,9,FALSE)-N74</f>
        <v>105</v>
      </c>
      <c r="F74" s="65">
        <f>VLOOKUP(B74,TypeIDs!C:D,2,FALSE)</f>
        <v>10</v>
      </c>
      <c r="G74" s="65">
        <f t="shared" si="4"/>
        <v>1050</v>
      </c>
      <c r="H74" s="66">
        <f>VLOOKUP(B74,TradeSheet!B:E,3,FALSE)</f>
        <v>905076.55</v>
      </c>
      <c r="I74" s="53">
        <f>VLOOKUP(B74,TradeSheet!B:F,5,FALSE)*D74</f>
        <v>190622250</v>
      </c>
      <c r="J74" s="55">
        <f>VLOOKUP(B74,TradeSheet!B:E,3,FALSE)*(D74+E74)</f>
        <v>95033037.75</v>
      </c>
      <c r="K74" s="55">
        <f t="shared" si="5"/>
        <v>95589212.25</v>
      </c>
      <c r="L74" s="56">
        <v>44541</v>
      </c>
      <c r="S74" s="86"/>
      <c r="T74" s="86"/>
    </row>
    <row r="75" spans="1:20">
      <c r="A75" s="53" t="s">
        <v>11838</v>
      </c>
      <c r="B75" s="60">
        <f>VLOOKUP(A75,TypeIDs!B:C,2,FALSE)</f>
        <v>23705</v>
      </c>
      <c r="C75" s="53" t="s">
        <v>44383</v>
      </c>
      <c r="D75" s="59">
        <f>VLOOKUP(B75,TradeSheet!B:J,9,FALSE)-N75</f>
        <v>70</v>
      </c>
      <c r="F75" s="65">
        <f>VLOOKUP(B75,TypeIDs!C:D,2,FALSE)</f>
        <v>10</v>
      </c>
      <c r="G75" s="65">
        <f t="shared" si="4"/>
        <v>700</v>
      </c>
      <c r="H75" s="66">
        <f>VLOOKUP(B75,TradeSheet!B:E,3,FALSE)</f>
        <v>71544.66</v>
      </c>
      <c r="I75" s="53">
        <f>VLOOKUP(B75,TradeSheet!B:F,5,FALSE)*D75</f>
        <v>14714700</v>
      </c>
      <c r="J75" s="55">
        <f>VLOOKUP(B75,TradeSheet!B:E,3,FALSE)*(D75+E75)</f>
        <v>5008126.2</v>
      </c>
      <c r="K75" s="55">
        <f t="shared" si="5"/>
        <v>9706573.8000000007</v>
      </c>
      <c r="L75" s="56">
        <v>44541</v>
      </c>
      <c r="S75" s="86"/>
      <c r="T75" s="86"/>
    </row>
    <row r="76" spans="1:20">
      <c r="A76" s="53" t="s">
        <v>5084</v>
      </c>
      <c r="B76" s="60">
        <f>VLOOKUP(A76,TypeIDs!B:C,2,FALSE)</f>
        <v>12789</v>
      </c>
      <c r="C76" s="53" t="s">
        <v>44382</v>
      </c>
      <c r="D76" s="59">
        <f>VLOOKUP(B76,TradeSheet!B:J,9,FALSE)-N76</f>
        <v>38500</v>
      </c>
      <c r="F76" s="65">
        <f>VLOOKUP(B76,TypeIDs!C:D,2,FALSE)</f>
        <v>1.2500000000000001E-2</v>
      </c>
      <c r="G76" s="65">
        <f t="shared" si="4"/>
        <v>481.25</v>
      </c>
      <c r="H76" s="66">
        <f>VLOOKUP(B76,TradeSheet!B:E,3,FALSE)</f>
        <v>177.32550000000001</v>
      </c>
      <c r="I76" s="53">
        <f>VLOOKUP(B76,TradeSheet!B:F,5,FALSE)*D76</f>
        <v>27144942.824999999</v>
      </c>
      <c r="J76" s="55">
        <f>VLOOKUP(B76,TradeSheet!B:E,3,FALSE)*(D76+E76)</f>
        <v>6827031.75</v>
      </c>
      <c r="K76" s="55">
        <f t="shared" si="5"/>
        <v>20317911.074999999</v>
      </c>
      <c r="L76" s="56">
        <v>44541</v>
      </c>
      <c r="S76" s="86"/>
      <c r="T76" s="86"/>
    </row>
    <row r="77" spans="1:20">
      <c r="A77" s="53" t="s">
        <v>1267</v>
      </c>
      <c r="B77" s="60">
        <f>VLOOKUP(A77,TypeIDs!B:C,2,FALSE)</f>
        <v>2486</v>
      </c>
      <c r="C77" s="53" t="s">
        <v>44383</v>
      </c>
      <c r="D77" s="59">
        <f>VLOOKUP(B77,TradeSheet!B:J,9,FALSE)-N77</f>
        <v>35</v>
      </c>
      <c r="F77" s="65">
        <f>VLOOKUP(B77,TypeIDs!C:D,2,FALSE)</f>
        <v>5</v>
      </c>
      <c r="G77" s="65">
        <f t="shared" si="4"/>
        <v>175</v>
      </c>
      <c r="H77" s="66">
        <f>VLOOKUP(B77,TradeSheet!B:E,3,FALSE)</f>
        <v>13879.61</v>
      </c>
      <c r="I77" s="53">
        <f>VLOOKUP(B77,TradeSheet!B:F,5,FALSE)*D77</f>
        <v>544443.9</v>
      </c>
      <c r="J77" s="55">
        <f>VLOOKUP(B77,TradeSheet!B:E,3,FALSE)*(D77+E77)</f>
        <v>485786.35000000003</v>
      </c>
      <c r="K77" s="55">
        <f t="shared" si="5"/>
        <v>58657.549999999988</v>
      </c>
      <c r="L77" s="56">
        <v>44541</v>
      </c>
      <c r="M77" s="71" t="s">
        <v>47033</v>
      </c>
      <c r="T77" s="86"/>
    </row>
    <row r="78" spans="1:20">
      <c r="A78" s="53" t="s">
        <v>1269</v>
      </c>
      <c r="B78" s="60">
        <f>VLOOKUP(A78,TypeIDs!B:C,2,FALSE)</f>
        <v>2488</v>
      </c>
      <c r="C78" s="53" t="s">
        <v>44383</v>
      </c>
      <c r="D78" s="59">
        <f>VLOOKUP(B78,TradeSheet!B:J,9,FALSE)-N78</f>
        <v>525</v>
      </c>
      <c r="F78" s="65">
        <f>VLOOKUP(B78,TypeIDs!C:D,2,FALSE)</f>
        <v>5</v>
      </c>
      <c r="G78" s="65">
        <f t="shared" si="4"/>
        <v>2625</v>
      </c>
      <c r="H78" s="66">
        <f>VLOOKUP(B78,TradeSheet!B:E,3,FALSE)</f>
        <v>358585.5</v>
      </c>
      <c r="I78" s="53">
        <f>VLOOKUP(B78,TradeSheet!B:F,5,FALSE)*D78</f>
        <v>270583267.5</v>
      </c>
      <c r="J78" s="55">
        <f>VLOOKUP(B78,TradeSheet!B:E,3,FALSE)*(D78+E78)</f>
        <v>188257387.5</v>
      </c>
      <c r="K78" s="55">
        <f t="shared" si="5"/>
        <v>82325880</v>
      </c>
      <c r="L78" s="56">
        <v>44541</v>
      </c>
    </row>
  </sheetData>
  <mergeCells count="1">
    <mergeCell ref="O1:P1"/>
  </mergeCells>
  <conditionalFormatting sqref="A2:C1000">
    <cfRule type="expression" dxfId="216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47018</v>
      </c>
      <c r="G1" t="s">
        <v>47019</v>
      </c>
      <c r="H1" t="s">
        <v>47020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E12" sqref="E1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20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V1502"/>
  <sheetViews>
    <sheetView tabSelected="1" zoomScale="160" zoomScaleNormal="160" workbookViewId="0">
      <selection activeCell="H11" sqref="H11"/>
    </sheetView>
  </sheetViews>
  <sheetFormatPr defaultRowHeight="15"/>
  <cols>
    <col min="1" max="1" width="13.140625" customWidth="1"/>
    <col min="2" max="2" width="18.85546875" bestFit="1" customWidth="1"/>
    <col min="3" max="3" width="17.85546875" bestFit="1" customWidth="1"/>
    <col min="4" max="4" width="22.85546875" bestFit="1" customWidth="1"/>
    <col min="5" max="5" width="18.5703125" bestFit="1" customWidth="1"/>
    <col min="6" max="6" width="11" bestFit="1" customWidth="1"/>
    <col min="7" max="8" width="11.140625" bestFit="1" customWidth="1"/>
    <col min="9" max="9" width="15.140625" customWidth="1"/>
    <col min="10" max="10" width="11.7109375" customWidth="1"/>
    <col min="11" max="11" width="2.42578125" customWidth="1"/>
    <col min="12" max="12" width="5.85546875" customWidth="1"/>
    <col min="13" max="13" width="23.7109375" customWidth="1"/>
  </cols>
  <sheetData>
    <row r="1" spans="1:22">
      <c r="A1" s="76" t="s">
        <v>47028</v>
      </c>
      <c r="B1" s="76" t="str">
        <f>CONCATENATE(J7,J6)</f>
        <v>https://esi.evetech.net/latest/markets/10000021/history/?datasource=tranquility&amp;type_id=</v>
      </c>
      <c r="C1" s="76"/>
      <c r="D1" s="76"/>
      <c r="E1" s="76"/>
      <c r="F1" s="76"/>
      <c r="G1" s="78" t="s">
        <v>47029</v>
      </c>
      <c r="H1" s="78" t="s">
        <v>47030</v>
      </c>
      <c r="I1" s="78"/>
      <c r="J1" s="77"/>
      <c r="K1" s="77"/>
      <c r="L1" s="77"/>
      <c r="M1" s="77"/>
      <c r="N1" s="77"/>
      <c r="O1" s="77"/>
      <c r="P1" s="82" t="s">
        <v>47036</v>
      </c>
      <c r="Q1" s="81"/>
      <c r="R1" s="81"/>
      <c r="S1" s="81"/>
      <c r="T1" s="81"/>
      <c r="U1" s="81"/>
      <c r="V1" s="81"/>
    </row>
    <row r="2" spans="1:22">
      <c r="A2" s="74"/>
      <c r="G2" s="5"/>
    </row>
    <row r="3" spans="1:22">
      <c r="A3" s="75">
        <f>VLOOKUP(TradeSheet!A2,TypeIDs!B:C,2,FALSE)</f>
        <v>2048</v>
      </c>
      <c r="B3" t="s">
        <v>47021</v>
      </c>
      <c r="C3" t="s">
        <v>47022</v>
      </c>
      <c r="D3" t="s">
        <v>47023</v>
      </c>
      <c r="E3" t="s">
        <v>47024</v>
      </c>
      <c r="F3" t="s">
        <v>47035</v>
      </c>
      <c r="G3" t="s">
        <v>47034</v>
      </c>
      <c r="I3" s="92" t="s">
        <v>47037</v>
      </c>
      <c r="J3" s="92"/>
      <c r="K3" s="92"/>
      <c r="L3" s="92"/>
      <c r="M3" s="92"/>
    </row>
    <row r="4" spans="1:22">
      <c r="A4" s="75" t="str">
        <f>CONCATENATE(SwaggerURL,input001)</f>
        <v>https://esi.evetech.net/latest/markets/10000021/history/?datasource=tranquility&amp;type_id=2048</v>
      </c>
      <c r="B4">
        <v>372843.59</v>
      </c>
      <c r="C4">
        <v>370000</v>
      </c>
      <c r="D4">
        <v>32</v>
      </c>
      <c r="E4">
        <v>39</v>
      </c>
      <c r="F4" s="80">
        <v>44535</v>
      </c>
      <c r="G4" t="str">
        <f>IFERROR(IF((F4-F3)&gt;1,(LARGE(F4:$F4,1)-LARGE(F4:$F$4,2)),""),"")</f>
        <v/>
      </c>
      <c r="H4" t="str">
        <f t="array" ref="H4">IFERROR((LARGE(F4:$F$4,1)-LARGE(F4:$F$4,2)-1),"")</f>
        <v/>
      </c>
      <c r="I4" s="84" t="s">
        <v>47042</v>
      </c>
      <c r="J4" s="14">
        <v>10000021</v>
      </c>
      <c r="K4" s="14"/>
      <c r="L4" s="14" t="s">
        <v>40265</v>
      </c>
      <c r="M4" s="14"/>
    </row>
    <row r="5" spans="1:22">
      <c r="A5" s="91" t="s">
        <v>47045</v>
      </c>
      <c r="B5">
        <v>321677.78000000003</v>
      </c>
      <c r="C5">
        <v>299900</v>
      </c>
      <c r="D5">
        <v>24</v>
      </c>
      <c r="E5">
        <v>27</v>
      </c>
      <c r="F5" s="80">
        <v>44536</v>
      </c>
      <c r="G5" t="str">
        <f>IFERROR(IF((F5-F4)&gt;1,(LARGE(F5:$F5,1)-LARGE(F$4:$F5,2)),""),"")</f>
        <v/>
      </c>
      <c r="I5" s="83" t="s">
        <v>47038</v>
      </c>
      <c r="J5" s="3" t="s">
        <v>47040</v>
      </c>
      <c r="K5" s="3"/>
      <c r="L5" s="3"/>
      <c r="M5" s="3"/>
    </row>
    <row r="6" spans="1:22">
      <c r="A6" s="90">
        <f ca="1">MAX(0,(CurrentDate-1)-F17)</f>
        <v>1.0941305555606959</v>
      </c>
      <c r="B6">
        <v>352753.33</v>
      </c>
      <c r="C6">
        <v>341000</v>
      </c>
      <c r="D6">
        <v>27</v>
      </c>
      <c r="E6">
        <v>30</v>
      </c>
      <c r="F6" s="80">
        <v>44537</v>
      </c>
      <c r="G6" t="str">
        <f>IFERROR(IF((F6-F5)&gt;1,(LARGE(F6:$F6,1)-LARGE(F$4:$F6,2)),""),"")</f>
        <v/>
      </c>
      <c r="I6" s="83" t="s">
        <v>47039</v>
      </c>
      <c r="J6" s="3" t="s">
        <v>47041</v>
      </c>
      <c r="K6" s="3"/>
      <c r="L6" s="3"/>
      <c r="M6" s="3"/>
    </row>
    <row r="7" spans="1:22">
      <c r="A7" s="91" t="s">
        <v>47031</v>
      </c>
      <c r="B7">
        <v>351945.45</v>
      </c>
      <c r="C7">
        <v>349900</v>
      </c>
      <c r="D7">
        <v>36</v>
      </c>
      <c r="E7">
        <v>44</v>
      </c>
      <c r="F7" s="80">
        <v>44538</v>
      </c>
      <c r="G7" t="str">
        <f>IFERROR(IF((F7-F6)&gt;1,(LARGE(F7:$F7,1)-LARGE(F$4:$F7,2)),""),"")</f>
        <v/>
      </c>
      <c r="I7" s="83" t="s">
        <v>47043</v>
      </c>
      <c r="J7" s="3" t="str">
        <f>CONCATENATE(J5,J4)</f>
        <v>https://esi.evetech.net/latest/markets/10000021</v>
      </c>
      <c r="K7" s="3"/>
      <c r="L7" s="3"/>
      <c r="M7" s="3"/>
    </row>
    <row r="8" spans="1:22">
      <c r="A8" s="88">
        <f ca="1">(SUM(E4:E17)/(A6+14)+SUM(G4:G17))</f>
        <v>39.883052407958829</v>
      </c>
      <c r="B8">
        <v>422860.71</v>
      </c>
      <c r="C8">
        <v>410000</v>
      </c>
      <c r="D8">
        <v>44</v>
      </c>
      <c r="E8">
        <v>84</v>
      </c>
      <c r="F8" s="80">
        <v>44539</v>
      </c>
      <c r="G8" t="str">
        <f>IFERROR(IF((F8-F7)&gt;1,(LARGE(F8:$F8,1)-LARGE(F$4:$F8,2)),""),"")</f>
        <v/>
      </c>
      <c r="I8" s="84" t="s">
        <v>47046</v>
      </c>
      <c r="J8" s="87">
        <v>5</v>
      </c>
      <c r="K8" s="14"/>
      <c r="L8" s="14" t="s">
        <v>47047</v>
      </c>
      <c r="M8" s="14"/>
    </row>
    <row r="9" spans="1:22">
      <c r="A9" s="88">
        <f ca="1">(SUM(E10:E17)/(A6+7)+SUM(G10:G17))</f>
        <v>43.364756423265469</v>
      </c>
      <c r="B9">
        <v>428474.07</v>
      </c>
      <c r="C9">
        <v>425000</v>
      </c>
      <c r="D9">
        <v>24</v>
      </c>
      <c r="E9">
        <v>27</v>
      </c>
      <c r="F9" s="80">
        <v>44540</v>
      </c>
      <c r="G9" t="str">
        <f>IFERROR(IF((F9-F8)&gt;1,(LARGE(F9:$F9,1)-LARGE(F$4:$F9,2)),""),"")</f>
        <v/>
      </c>
      <c r="I9" s="83" t="s">
        <v>47044</v>
      </c>
      <c r="J9" s="85">
        <f ca="1">(NOW()+TIME(ABS(TimeZone),0,0))</f>
        <v>44550.094130555561</v>
      </c>
      <c r="K9" s="3"/>
      <c r="L9" s="3" t="s">
        <v>47048</v>
      </c>
      <c r="M9" s="3"/>
    </row>
    <row r="10" spans="1:22">
      <c r="A10" s="89">
        <f ca="1">AVERAGE(A8,A9)</f>
        <v>41.623904415612145</v>
      </c>
      <c r="B10">
        <v>424994.44</v>
      </c>
      <c r="C10">
        <v>424900</v>
      </c>
      <c r="D10">
        <v>25</v>
      </c>
      <c r="E10">
        <v>36</v>
      </c>
      <c r="F10" s="80">
        <v>44541</v>
      </c>
      <c r="G10" t="str">
        <f>IFERROR(IF((F10-F9)&gt;1,(LARGE(F10:$F10,1)-LARGE(F$4:$F10,2)),""),"")</f>
        <v/>
      </c>
    </row>
    <row r="11" spans="1:22">
      <c r="B11">
        <v>428845.07</v>
      </c>
      <c r="C11">
        <v>425000</v>
      </c>
      <c r="D11">
        <v>37</v>
      </c>
      <c r="E11">
        <v>71</v>
      </c>
      <c r="F11" s="80">
        <v>44542</v>
      </c>
      <c r="G11" t="str">
        <f>IFERROR(IF((F11-F10)&gt;1,(LARGE(F11:$F11,1)-LARGE(F$4:$F11,2)),""),"")</f>
        <v/>
      </c>
    </row>
    <row r="12" spans="1:22">
      <c r="B12">
        <v>427444.44</v>
      </c>
      <c r="C12">
        <v>350000</v>
      </c>
      <c r="D12">
        <v>18</v>
      </c>
      <c r="E12">
        <v>18</v>
      </c>
      <c r="F12" s="80">
        <v>44543</v>
      </c>
      <c r="G12" t="str">
        <f>IFERROR(IF((F12-F11)&gt;1,(LARGE(F12:$F12,1)-LARGE(F$4:$F12,2)),""),"")</f>
        <v/>
      </c>
    </row>
    <row r="13" spans="1:22">
      <c r="B13">
        <v>431891.89</v>
      </c>
      <c r="C13">
        <v>431000</v>
      </c>
      <c r="D13">
        <v>28</v>
      </c>
      <c r="E13">
        <v>37</v>
      </c>
      <c r="F13" s="80">
        <v>44544</v>
      </c>
      <c r="G13" t="str">
        <f>IFERROR(IF((F13-F12)&gt;1,(LARGE(F13:$F13,1)-LARGE(F$4:$F13,2)),""),"")</f>
        <v/>
      </c>
    </row>
    <row r="14" spans="1:22">
      <c r="B14">
        <v>431530.77</v>
      </c>
      <c r="C14">
        <v>431200</v>
      </c>
      <c r="D14">
        <v>34</v>
      </c>
      <c r="E14">
        <v>39</v>
      </c>
      <c r="F14" s="80">
        <v>44545</v>
      </c>
      <c r="G14" t="str">
        <f>IFERROR(IF((F14-F13)&gt;1,(LARGE(F14:$F14,1)-LARGE(F$4:$F14,2)),""),"")</f>
        <v/>
      </c>
    </row>
    <row r="15" spans="1:22">
      <c r="B15">
        <v>431566.67</v>
      </c>
      <c r="C15">
        <v>430000</v>
      </c>
      <c r="D15">
        <v>43</v>
      </c>
      <c r="E15">
        <v>60</v>
      </c>
      <c r="F15" s="80">
        <v>44546</v>
      </c>
      <c r="G15" t="str">
        <f>IFERROR(IF((F15-F14)&gt;1,(LARGE(F15:$F15,1)-LARGE(F$4:$F15,2)),""),"")</f>
        <v/>
      </c>
    </row>
    <row r="16" spans="1:22">
      <c r="B16">
        <v>433066.67</v>
      </c>
      <c r="C16">
        <v>432000</v>
      </c>
      <c r="D16">
        <v>30</v>
      </c>
      <c r="E16">
        <v>39</v>
      </c>
      <c r="F16" s="80">
        <v>44547</v>
      </c>
      <c r="G16" t="str">
        <f>IFERROR(IF((F16-F15)&gt;1,(LARGE(F16:$F16,1)-LARGE(F$4:$F16,2)),""),"")</f>
        <v/>
      </c>
    </row>
    <row r="17" spans="1:7">
      <c r="B17">
        <v>432062.75</v>
      </c>
      <c r="C17">
        <v>431900</v>
      </c>
      <c r="D17">
        <v>48</v>
      </c>
      <c r="E17">
        <v>51</v>
      </c>
      <c r="F17" s="80">
        <v>44548</v>
      </c>
      <c r="G17" t="str">
        <f>IFERROR(IF((F17-F16)&gt;1,(LARGE(F17:$F17,1)-LARGE(F$4:$F17,2)),""),"")</f>
        <v/>
      </c>
    </row>
    <row r="18" spans="1:7">
      <c r="A18" s="75">
        <f>VLOOKUP(TradeSheet!A3,TypeIDs!B:C,2,FALSE)</f>
        <v>28668</v>
      </c>
      <c r="B18" t="s">
        <v>47021</v>
      </c>
      <c r="C18" t="s">
        <v>47022</v>
      </c>
      <c r="D18" t="s">
        <v>47023</v>
      </c>
      <c r="E18" t="s">
        <v>47024</v>
      </c>
      <c r="F18" t="s">
        <v>47035</v>
      </c>
      <c r="G18" t="s">
        <v>47034</v>
      </c>
    </row>
    <row r="19" spans="1:7">
      <c r="A19" s="75" t="str" cm="1">
        <f t="array" ref="A19">CONCATENATE(SwaggerURL,input002)</f>
        <v>https://esi.evetech.net/latest/markets/10000021/history/?datasource=tranquility&amp;type_id=28668</v>
      </c>
      <c r="B19">
        <v>19240</v>
      </c>
      <c r="C19">
        <v>19240</v>
      </c>
      <c r="D19">
        <v>27</v>
      </c>
      <c r="E19">
        <v>5493</v>
      </c>
      <c r="F19" s="80">
        <v>44535</v>
      </c>
      <c r="G19" t="str">
        <f>IFERROR(IF((F19-F18)&gt;1,(LARGE(F19:$F19,1)-LARGE(F$19:$F19,2))-1,""),"")</f>
        <v/>
      </c>
    </row>
    <row r="20" spans="1:7">
      <c r="A20" s="91" t="s">
        <v>47045</v>
      </c>
      <c r="B20">
        <v>19140</v>
      </c>
      <c r="C20">
        <v>19140</v>
      </c>
      <c r="D20">
        <v>26</v>
      </c>
      <c r="E20">
        <v>5485</v>
      </c>
      <c r="F20" s="80">
        <v>44536</v>
      </c>
      <c r="G20" t="str">
        <f>IFERROR(IF((F20-F19)&gt;1,(LARGE(F20:$F20,1)-LARGE(F$19:$F20,2))-1,""),"")</f>
        <v/>
      </c>
    </row>
    <row r="21" spans="1:7">
      <c r="A21" s="90">
        <f ca="1">MAX(0,(CurrentDate-1)-F32)</f>
        <v>1.0941305555606959</v>
      </c>
      <c r="B21">
        <v>19100</v>
      </c>
      <c r="C21">
        <v>19100</v>
      </c>
      <c r="D21">
        <v>16</v>
      </c>
      <c r="E21">
        <v>1502</v>
      </c>
      <c r="F21" s="80">
        <v>44537</v>
      </c>
      <c r="G21" t="str">
        <f>IFERROR(IF((F21-F20)&gt;1,(LARGE(F21:$F21,1)-LARGE(F$19:$F21,2))-1,""),"")</f>
        <v/>
      </c>
    </row>
    <row r="22" spans="1:7">
      <c r="A22" s="91" t="s">
        <v>47031</v>
      </c>
      <c r="B22">
        <v>19000</v>
      </c>
      <c r="C22">
        <v>19000</v>
      </c>
      <c r="D22">
        <v>24</v>
      </c>
      <c r="E22">
        <v>2752</v>
      </c>
      <c r="F22" s="80">
        <v>44538</v>
      </c>
      <c r="G22" t="str">
        <f>IFERROR(IF((F22-F21)&gt;1,(LARGE(F22:$F22,1)-LARGE(F$19:$F22,2))-1,""),"")</f>
        <v/>
      </c>
    </row>
    <row r="23" spans="1:7">
      <c r="A23" s="88">
        <f ca="1">(SUM(E19:E32)/(A21+14)+SUM(G19:G32))</f>
        <v>6802.7104722618287</v>
      </c>
      <c r="B23">
        <v>19150</v>
      </c>
      <c r="C23">
        <v>19150</v>
      </c>
      <c r="D23">
        <v>32</v>
      </c>
      <c r="E23">
        <v>6816</v>
      </c>
      <c r="F23" s="80">
        <v>44539</v>
      </c>
      <c r="G23" t="str">
        <f>IFERROR(IF((F23-F22)&gt;1,(LARGE(F23:$F23,1)-LARGE(F$19:$F23,2))-1,""),"")</f>
        <v/>
      </c>
    </row>
    <row r="24" spans="1:7">
      <c r="A24" s="88">
        <f ca="1">(SUM(E25:E32)/(A21+7)+SUM(G25:G32))</f>
        <v>5103.8218022835326</v>
      </c>
      <c r="B24">
        <v>19300</v>
      </c>
      <c r="C24">
        <v>19240</v>
      </c>
      <c r="D24">
        <v>35</v>
      </c>
      <c r="E24">
        <v>39322</v>
      </c>
      <c r="F24" s="80">
        <v>44540</v>
      </c>
      <c r="G24" t="str">
        <f>IFERROR(IF((F24-F23)&gt;1,(LARGE(F24:$F24,1)-LARGE(F$19:$F24,2))-1,""),"")</f>
        <v/>
      </c>
    </row>
    <row r="25" spans="1:7">
      <c r="A25" s="89">
        <f ca="1">AVERAGE(A23,A24)</f>
        <v>5953.2661372726807</v>
      </c>
      <c r="B25">
        <v>24880</v>
      </c>
      <c r="C25">
        <v>24880</v>
      </c>
      <c r="D25">
        <v>31</v>
      </c>
      <c r="E25">
        <v>2766</v>
      </c>
      <c r="F25" s="80">
        <v>44541</v>
      </c>
      <c r="G25" t="str">
        <f>IFERROR(IF((F25-F24)&gt;1,(LARGE(F25:$F25,1)-LARGE(F$19:$F25,2))-1,""),"")</f>
        <v/>
      </c>
    </row>
    <row r="26" spans="1:7">
      <c r="B26">
        <v>24880</v>
      </c>
      <c r="C26">
        <v>24880</v>
      </c>
      <c r="D26">
        <v>27</v>
      </c>
      <c r="E26">
        <v>4576</v>
      </c>
      <c r="F26" s="80">
        <v>44542</v>
      </c>
      <c r="G26" t="str">
        <f>IFERROR(IF((F26-F25)&gt;1,(LARGE(F26:$F26,1)-LARGE(F$19:$F26,2))-1,""),"")</f>
        <v/>
      </c>
    </row>
    <row r="27" spans="1:7">
      <c r="B27">
        <v>24800</v>
      </c>
      <c r="C27">
        <v>24800</v>
      </c>
      <c r="D27">
        <v>8</v>
      </c>
      <c r="E27">
        <v>1744</v>
      </c>
      <c r="F27" s="80">
        <v>44543</v>
      </c>
      <c r="G27" t="str">
        <f>IFERROR(IF((F27-F26)&gt;1,(LARGE(F27:$F27,1)-LARGE(F$19:$F27,2))-1,""),"")</f>
        <v/>
      </c>
    </row>
    <row r="28" spans="1:7">
      <c r="B28">
        <v>20000</v>
      </c>
      <c r="C28">
        <v>20000</v>
      </c>
      <c r="D28">
        <v>33</v>
      </c>
      <c r="E28">
        <v>7266</v>
      </c>
      <c r="F28" s="80">
        <v>44544</v>
      </c>
      <c r="G28" t="str">
        <f>IFERROR(IF((F28-F27)&gt;1,(LARGE(F28:$F28,1)-LARGE(F$19:$F28,2))-1,""),"")</f>
        <v/>
      </c>
    </row>
    <row r="29" spans="1:7">
      <c r="B29">
        <v>19500</v>
      </c>
      <c r="C29">
        <v>19500</v>
      </c>
      <c r="D29">
        <v>34</v>
      </c>
      <c r="E29">
        <v>5482</v>
      </c>
      <c r="F29" s="80">
        <v>44545</v>
      </c>
      <c r="G29" t="str">
        <f>IFERROR(IF((F29-F28)&gt;1,(LARGE(F29:$F29,1)-LARGE(F$19:$F29,2))-1,""),"")</f>
        <v/>
      </c>
    </row>
    <row r="30" spans="1:7">
      <c r="B30">
        <v>20000</v>
      </c>
      <c r="C30">
        <v>20000</v>
      </c>
      <c r="D30">
        <v>33</v>
      </c>
      <c r="E30">
        <v>3787</v>
      </c>
      <c r="F30" s="80">
        <v>44546</v>
      </c>
      <c r="G30" t="str">
        <f>IFERROR(IF((F30-F29)&gt;1,(LARGE(F30:$F30,1)-LARGE(F$19:$F30,2))-1,""),"")</f>
        <v/>
      </c>
    </row>
    <row r="31" spans="1:7">
      <c r="B31">
        <v>20000</v>
      </c>
      <c r="C31">
        <v>20000</v>
      </c>
      <c r="D31">
        <v>32</v>
      </c>
      <c r="E31">
        <v>4014</v>
      </c>
      <c r="F31" s="80">
        <v>44547</v>
      </c>
      <c r="G31" t="str">
        <f>IFERROR(IF((F31-F30)&gt;1,(LARGE(F31:$F31,1)-LARGE(F$19:$F31,2))-1,""),"")</f>
        <v/>
      </c>
    </row>
    <row r="32" spans="1:7">
      <c r="B32">
        <v>19400</v>
      </c>
      <c r="C32">
        <v>19400</v>
      </c>
      <c r="D32">
        <v>80</v>
      </c>
      <c r="E32">
        <v>11676</v>
      </c>
      <c r="F32" s="80">
        <v>44548</v>
      </c>
      <c r="G32" t="str">
        <f>IFERROR(IF((F32-F31)&gt;1,(LARGE(F32:$F32,1)-LARGE(F$19:$F32,2))-1,""),"")</f>
        <v/>
      </c>
    </row>
    <row r="33" spans="1:7">
      <c r="A33" s="75">
        <f>VLOOKUP(TradeSheet!A4,TypeIDs!B:C,2,FALSE)</f>
        <v>44992</v>
      </c>
      <c r="B33" t="s">
        <v>47021</v>
      </c>
      <c r="C33" t="s">
        <v>47022</v>
      </c>
      <c r="D33" t="s">
        <v>47023</v>
      </c>
      <c r="E33" t="s">
        <v>47024</v>
      </c>
      <c r="F33" t="s">
        <v>47035</v>
      </c>
      <c r="G33" t="s">
        <v>47034</v>
      </c>
    </row>
    <row r="34" spans="1:7">
      <c r="A34" s="75" t="str">
        <f>CONCATENATE(SwaggerURL,input003)</f>
        <v>https://esi.evetech.net/latest/markets/10000021/history/?datasource=tranquility&amp;type_id=44992</v>
      </c>
      <c r="B34">
        <v>2707000</v>
      </c>
      <c r="C34">
        <v>2707000</v>
      </c>
      <c r="D34">
        <v>7</v>
      </c>
      <c r="E34">
        <v>2485</v>
      </c>
      <c r="F34" s="80">
        <v>44535</v>
      </c>
      <c r="G34" t="str">
        <f>IFERROR(IF((F34-F33)&gt;1,(LARGE(F34:$F34,1)-LARGE(F$34:$F34,2))-1,""),"")</f>
        <v/>
      </c>
    </row>
    <row r="35" spans="1:7">
      <c r="A35" s="91" t="s">
        <v>47045</v>
      </c>
      <c r="B35">
        <v>2615000</v>
      </c>
      <c r="C35">
        <v>2510000</v>
      </c>
      <c r="D35">
        <v>24</v>
      </c>
      <c r="E35">
        <v>9430</v>
      </c>
      <c r="F35" s="80">
        <v>44536</v>
      </c>
      <c r="G35" t="str">
        <f>IFERROR(IF((F35-F34)&gt;1,(LARGE(F35:$F35,1)-LARGE(F$34:$F35,2))-1,""),"")</f>
        <v/>
      </c>
    </row>
    <row r="36" spans="1:7">
      <c r="A36" s="90">
        <f ca="1">MAX(0,(CurrentDate-1)-F47)</f>
        <v>1.0941305555606959</v>
      </c>
      <c r="B36">
        <v>2601000</v>
      </c>
      <c r="C36">
        <v>2601000</v>
      </c>
      <c r="D36">
        <v>2</v>
      </c>
      <c r="E36">
        <v>700</v>
      </c>
      <c r="F36" s="80">
        <v>44537</v>
      </c>
      <c r="G36" t="str">
        <f>IFERROR(IF((F36-F35)&gt;1,(LARGE(F36:$F36,1)-LARGE(F$34:$F36,2))-1,""),"")</f>
        <v/>
      </c>
    </row>
    <row r="37" spans="1:7">
      <c r="A37" s="91" t="s">
        <v>47031</v>
      </c>
      <c r="B37">
        <v>2895000</v>
      </c>
      <c r="C37">
        <v>2800000</v>
      </c>
      <c r="D37">
        <v>3</v>
      </c>
      <c r="E37">
        <v>1000</v>
      </c>
      <c r="F37" s="80">
        <v>44538</v>
      </c>
      <c r="G37" t="str">
        <f>IFERROR(IF((F37-F36)&gt;1,(LARGE(F37:$F37,1)-LARGE(F$34:$F37,2))-1,""),"")</f>
        <v/>
      </c>
    </row>
    <row r="38" spans="1:7">
      <c r="A38" s="88">
        <f ca="1">(SUM(E34:E47)/(A36+14)+SUM(G34:G47))</f>
        <v>2221.8570242619858</v>
      </c>
      <c r="B38">
        <v>2990000</v>
      </c>
      <c r="C38">
        <v>2990000</v>
      </c>
      <c r="D38">
        <v>9</v>
      </c>
      <c r="E38">
        <v>2080</v>
      </c>
      <c r="F38" s="80">
        <v>44539</v>
      </c>
      <c r="G38" t="str">
        <f>IFERROR(IF((F38-F37)&gt;1,(LARGE(F38:$F38,1)-LARGE(F$34:$F38,2))-1,""),"")</f>
        <v/>
      </c>
    </row>
    <row r="39" spans="1:7">
      <c r="A39" s="88">
        <f ca="1">(SUM(E40:E47)/(A36+7)+SUM(G40:G47))</f>
        <v>2105.5998396630011</v>
      </c>
      <c r="B39">
        <v>2990000</v>
      </c>
      <c r="C39">
        <v>2990000</v>
      </c>
      <c r="D39">
        <v>7</v>
      </c>
      <c r="E39">
        <v>799</v>
      </c>
      <c r="F39" s="80">
        <v>44540</v>
      </c>
      <c r="G39" t="str">
        <f>IFERROR(IF((F39-F38)&gt;1,(LARGE(F39:$F39,1)-LARGE(F$34:$F39,2))-1,""),"")</f>
        <v/>
      </c>
    </row>
    <row r="40" spans="1:7">
      <c r="A40" s="89">
        <f ca="1">AVERAGE(A38,A39)</f>
        <v>2163.7284319624932</v>
      </c>
      <c r="B40">
        <v>2650000</v>
      </c>
      <c r="C40">
        <v>2626000</v>
      </c>
      <c r="D40">
        <v>15</v>
      </c>
      <c r="E40">
        <v>5260</v>
      </c>
      <c r="F40" s="80">
        <v>44541</v>
      </c>
      <c r="G40" t="str">
        <f>IFERROR(IF((F40-F39)&gt;1,(LARGE(F40:$F40,1)-LARGE(F$34:$F40,2))-1,""),"")</f>
        <v/>
      </c>
    </row>
    <row r="41" spans="1:7">
      <c r="B41">
        <v>2990000</v>
      </c>
      <c r="C41">
        <v>2655000</v>
      </c>
      <c r="D41">
        <v>17</v>
      </c>
      <c r="E41">
        <v>4140</v>
      </c>
      <c r="F41" s="80">
        <v>44542</v>
      </c>
      <c r="G41" t="str">
        <f>IFERROR(IF((F41-F40)&gt;1,(LARGE(F41:$F41,1)-LARGE(F$34:$F41,2))-1,""),"")</f>
        <v/>
      </c>
    </row>
    <row r="42" spans="1:7">
      <c r="B42">
        <v>2622000</v>
      </c>
      <c r="C42">
        <v>2622000</v>
      </c>
      <c r="D42">
        <v>1</v>
      </c>
      <c r="E42">
        <v>500</v>
      </c>
      <c r="F42" s="80">
        <v>44543</v>
      </c>
      <c r="G42" t="str">
        <f>IFERROR(IF((F42-F41)&gt;1,(LARGE(F42:$F42,1)-LARGE(F$34:$F42,2))-1,""),"")</f>
        <v/>
      </c>
    </row>
    <row r="43" spans="1:7">
      <c r="B43">
        <v>2630000</v>
      </c>
      <c r="C43">
        <v>2630000</v>
      </c>
      <c r="D43">
        <v>6</v>
      </c>
      <c r="E43">
        <v>1604</v>
      </c>
      <c r="F43" s="80">
        <v>44544</v>
      </c>
      <c r="G43" t="str">
        <f>IFERROR(IF((F43-F42)&gt;1,(LARGE(F43:$F43,1)-LARGE(F$34:$F43,2))-1,""),"")</f>
        <v/>
      </c>
    </row>
    <row r="44" spans="1:7">
      <c r="B44">
        <v>2655000</v>
      </c>
      <c r="C44">
        <v>2655000</v>
      </c>
      <c r="D44">
        <v>4</v>
      </c>
      <c r="E44">
        <v>1161</v>
      </c>
      <c r="F44" s="80">
        <v>44545</v>
      </c>
      <c r="G44" t="str">
        <f>IFERROR(IF((F44-F43)&gt;1,(LARGE(F44:$F44,1)-LARGE(F$34:$F44,2))-1,""),"")</f>
        <v/>
      </c>
    </row>
    <row r="45" spans="1:7">
      <c r="B45">
        <v>2653000</v>
      </c>
      <c r="C45">
        <v>2653000</v>
      </c>
      <c r="D45">
        <v>1</v>
      </c>
      <c r="E45">
        <v>240</v>
      </c>
      <c r="F45" s="80">
        <v>44546</v>
      </c>
      <c r="G45" t="str">
        <f>IFERROR(IF((F45-F44)&gt;1,(LARGE(F45:$F45,1)-LARGE(F$34:$F45,2))-1,""),"")</f>
        <v/>
      </c>
    </row>
    <row r="46" spans="1:7">
      <c r="B46">
        <v>2659000</v>
      </c>
      <c r="C46">
        <v>2659000</v>
      </c>
      <c r="D46">
        <v>7</v>
      </c>
      <c r="E46">
        <v>2925</v>
      </c>
      <c r="F46" s="80">
        <v>44547</v>
      </c>
      <c r="G46" t="str">
        <f>IFERROR(IF((F46-F45)&gt;1,(LARGE(F46:$F46,1)-LARGE(F$34:$F46,2))-1,""),"")</f>
        <v/>
      </c>
    </row>
    <row r="47" spans="1:7">
      <c r="B47">
        <v>3200000</v>
      </c>
      <c r="C47">
        <v>3200000</v>
      </c>
      <c r="D47">
        <v>9</v>
      </c>
      <c r="E47">
        <v>1213</v>
      </c>
      <c r="F47" s="80">
        <v>44548</v>
      </c>
      <c r="G47" t="str">
        <f>IFERROR(IF((F47-F46)&gt;1,(LARGE(F47:$F47,1)-LARGE(F$34:$F47,2))-1,""),"")</f>
        <v/>
      </c>
    </row>
    <row r="48" spans="1:7">
      <c r="A48" s="75">
        <f>VLOOKUP(TradeSheet!A5,TypeIDs!B:C,2,FALSE)</f>
        <v>47867</v>
      </c>
      <c r="B48" t="s">
        <v>47021</v>
      </c>
      <c r="C48" t="s">
        <v>47022</v>
      </c>
      <c r="D48" t="s">
        <v>47023</v>
      </c>
      <c r="E48" t="s">
        <v>47024</v>
      </c>
      <c r="F48" t="s">
        <v>47035</v>
      </c>
      <c r="G48" t="s">
        <v>47034</v>
      </c>
    </row>
    <row r="49" spans="1:7">
      <c r="A49" s="75" t="str">
        <f>CONCATENATE(SwaggerURL,input004)</f>
        <v>https://esi.evetech.net/latest/markets/10000021/history/?datasource=tranquility&amp;type_id=47867</v>
      </c>
      <c r="B49">
        <v>819950</v>
      </c>
      <c r="C49">
        <v>800000</v>
      </c>
      <c r="D49">
        <v>2</v>
      </c>
      <c r="E49">
        <v>2</v>
      </c>
      <c r="F49" s="80">
        <v>44509</v>
      </c>
      <c r="G49" t="str">
        <f>IFERROR(IF((F49-F48)&gt;1,(LARGE(F49:$F49,1)-LARGE(F$49:$F49,2))-1,""),"")</f>
        <v/>
      </c>
    </row>
    <row r="50" spans="1:7">
      <c r="A50" s="91" t="s">
        <v>47045</v>
      </c>
      <c r="B50">
        <v>800000</v>
      </c>
      <c r="C50">
        <v>800000</v>
      </c>
      <c r="D50">
        <v>1</v>
      </c>
      <c r="E50">
        <v>1</v>
      </c>
      <c r="F50" s="80">
        <v>44513</v>
      </c>
      <c r="G50">
        <f>IFERROR(IF((F50-F49)&gt;1,(LARGE(F50:$F50,1)-LARGE(F$49:$F50,2))-1,""),"")</f>
        <v>3</v>
      </c>
    </row>
    <row r="51" spans="1:7">
      <c r="A51" s="90">
        <f ca="1">MAX(0,(CurrentDate-1)-F62)</f>
        <v>1.0941305555606959</v>
      </c>
      <c r="B51">
        <v>844850</v>
      </c>
      <c r="C51">
        <v>839900</v>
      </c>
      <c r="D51">
        <v>2</v>
      </c>
      <c r="E51">
        <v>2</v>
      </c>
      <c r="F51" s="80">
        <v>44516</v>
      </c>
      <c r="G51">
        <f>IFERROR(IF((F51-F50)&gt;1,(LARGE(F51:$F51,1)-LARGE(F$49:$F51,2))-1,""),"")</f>
        <v>2</v>
      </c>
    </row>
    <row r="52" spans="1:7">
      <c r="A52" s="91" t="s">
        <v>47031</v>
      </c>
      <c r="B52">
        <v>849800</v>
      </c>
      <c r="C52">
        <v>849800</v>
      </c>
      <c r="D52">
        <v>1</v>
      </c>
      <c r="E52">
        <v>1</v>
      </c>
      <c r="F52" s="80">
        <v>44519</v>
      </c>
      <c r="G52">
        <f>IFERROR(IF((F52-F51)&gt;1,(LARGE(F52:$F52,1)-LARGE(F$49:$F52,2))-1,""),"")</f>
        <v>2</v>
      </c>
    </row>
    <row r="53" spans="1:7">
      <c r="A53" s="88">
        <f ca="1">(SUM(E49:E62)/(A51+14)+SUM(G49:G62))</f>
        <v>27.192516517181492</v>
      </c>
      <c r="B53">
        <v>849800</v>
      </c>
      <c r="C53">
        <v>849800</v>
      </c>
      <c r="D53">
        <v>1</v>
      </c>
      <c r="E53">
        <v>1</v>
      </c>
      <c r="F53" s="80">
        <v>44521</v>
      </c>
      <c r="G53">
        <f>IFERROR(IF((F53-F52)&gt;1,(LARGE(F53:$F53,1)-LARGE(F$49:$F53,2))-1,""),"")</f>
        <v>1</v>
      </c>
    </row>
    <row r="54" spans="1:7">
      <c r="A54" s="88">
        <f ca="1">(SUM(E55:E62)/(A51+7)+SUM(G55:G62))</f>
        <v>16.23546314596198</v>
      </c>
      <c r="B54">
        <v>849700</v>
      </c>
      <c r="C54">
        <v>849700</v>
      </c>
      <c r="D54">
        <v>1</v>
      </c>
      <c r="E54">
        <v>1</v>
      </c>
      <c r="F54" s="80">
        <v>44525</v>
      </c>
      <c r="G54">
        <f>IFERROR(IF((F54-F53)&gt;1,(LARGE(F54:$F54,1)-LARGE(F$49:$F54,2))-1,""),"")</f>
        <v>3</v>
      </c>
    </row>
    <row r="55" spans="1:7">
      <c r="A55" s="89">
        <f ca="1">AVERAGE(A53,A54)</f>
        <v>21.713989831571737</v>
      </c>
      <c r="B55">
        <v>849700</v>
      </c>
      <c r="C55">
        <v>849700</v>
      </c>
      <c r="D55">
        <v>2</v>
      </c>
      <c r="E55">
        <v>2</v>
      </c>
      <c r="F55" s="80">
        <v>44530</v>
      </c>
      <c r="G55">
        <f>IFERROR(IF((F55-F54)&gt;1,(LARGE(F55:$F55,1)-LARGE(F$49:$F55,2))-1,""),"")</f>
        <v>4</v>
      </c>
    </row>
    <row r="56" spans="1:7">
      <c r="B56">
        <v>849700</v>
      </c>
      <c r="C56">
        <v>849700</v>
      </c>
      <c r="D56">
        <v>1</v>
      </c>
      <c r="E56">
        <v>1</v>
      </c>
      <c r="F56" s="80">
        <v>44531</v>
      </c>
      <c r="G56" t="str">
        <f>IFERROR(IF((F56-F55)&gt;1,(LARGE(F56:$F56,1)-LARGE(F$49:$F56,2))-1,""),"")</f>
        <v/>
      </c>
    </row>
    <row r="57" spans="1:7">
      <c r="B57">
        <v>849700</v>
      </c>
      <c r="C57">
        <v>849700</v>
      </c>
      <c r="D57">
        <v>1</v>
      </c>
      <c r="E57">
        <v>1</v>
      </c>
      <c r="F57" s="80">
        <v>44532</v>
      </c>
      <c r="G57" t="str">
        <f>IFERROR(IF((F57-F56)&gt;1,(LARGE(F57:$F57,1)-LARGE(F$49:$F57,2))-1,""),"")</f>
        <v/>
      </c>
    </row>
    <row r="58" spans="1:7">
      <c r="B58">
        <v>849750</v>
      </c>
      <c r="C58">
        <v>849700</v>
      </c>
      <c r="D58">
        <v>2</v>
      </c>
      <c r="E58">
        <v>2</v>
      </c>
      <c r="F58" s="80">
        <v>44534</v>
      </c>
      <c r="G58">
        <f>IFERROR(IF((F58-F57)&gt;1,(LARGE(F58:$F58,1)-LARGE(F$49:$F58,2))-1,""),"")</f>
        <v>1</v>
      </c>
    </row>
    <row r="59" spans="1:7">
      <c r="B59">
        <v>849800</v>
      </c>
      <c r="C59">
        <v>849800</v>
      </c>
      <c r="D59">
        <v>1</v>
      </c>
      <c r="E59">
        <v>1</v>
      </c>
      <c r="F59" s="80">
        <v>44536</v>
      </c>
      <c r="G59">
        <f>IFERROR(IF((F59-F58)&gt;1,(LARGE(F59:$F59,1)-LARGE(F$49:$F59,2))-1,""),"")</f>
        <v>1</v>
      </c>
    </row>
    <row r="60" spans="1:7">
      <c r="B60">
        <v>849800</v>
      </c>
      <c r="C60">
        <v>849800</v>
      </c>
      <c r="D60">
        <v>1</v>
      </c>
      <c r="E60">
        <v>1</v>
      </c>
      <c r="F60" s="80">
        <v>44538</v>
      </c>
      <c r="G60">
        <f>IFERROR(IF((F60-F59)&gt;1,(LARGE(F60:$F60,1)-LARGE(F$49:$F60,2))-1,""),"")</f>
        <v>1</v>
      </c>
    </row>
    <row r="61" spans="1:7">
      <c r="B61">
        <v>666000</v>
      </c>
      <c r="C61">
        <v>666000</v>
      </c>
      <c r="D61">
        <v>1</v>
      </c>
      <c r="E61">
        <v>1</v>
      </c>
      <c r="F61" s="80">
        <v>44543</v>
      </c>
      <c r="G61">
        <f>IFERROR(IF((F61-F60)&gt;1,(LARGE(F61:$F61,1)-LARGE(F$49:$F61,2))-1,""),"")</f>
        <v>4</v>
      </c>
    </row>
    <row r="62" spans="1:7">
      <c r="B62">
        <v>300000</v>
      </c>
      <c r="C62">
        <v>300000</v>
      </c>
      <c r="D62">
        <v>1</v>
      </c>
      <c r="E62">
        <v>1</v>
      </c>
      <c r="F62" s="80">
        <v>44548</v>
      </c>
      <c r="G62">
        <f>IFERROR(IF((F62-F61)&gt;1,(LARGE(F62:$F62,1)-LARGE(F$49:$F62,2))-1,""),"")</f>
        <v>4</v>
      </c>
    </row>
    <row r="63" spans="1:7">
      <c r="A63" s="75">
        <f>VLOOKUP(TradeSheet!A6,TypeIDs!B:C,2,FALSE)</f>
        <v>49742</v>
      </c>
      <c r="B63" t="s">
        <v>47021</v>
      </c>
      <c r="C63" t="s">
        <v>47022</v>
      </c>
      <c r="D63" t="s">
        <v>47023</v>
      </c>
      <c r="E63" t="s">
        <v>47024</v>
      </c>
      <c r="F63" t="s">
        <v>47035</v>
      </c>
      <c r="G63" t="s">
        <v>47034</v>
      </c>
    </row>
    <row r="64" spans="1:7">
      <c r="A64" s="75" t="str">
        <f>CONCATENATE(SwaggerURL,input005)</f>
        <v>https://esi.evetech.net/latest/markets/10000021/history/?datasource=tranquility&amp;type_id=49742</v>
      </c>
      <c r="B64">
        <v>3987000</v>
      </c>
      <c r="C64">
        <v>3987000</v>
      </c>
      <c r="D64">
        <v>1</v>
      </c>
      <c r="E64">
        <v>1</v>
      </c>
      <c r="F64" s="80">
        <v>44511</v>
      </c>
      <c r="G64" t="str">
        <f>IFERROR(IF((F64-F63)&gt;1,(LARGE(F64:$F64,1)-LARGE(F$64:$F64,2))-1,""),"")</f>
        <v/>
      </c>
    </row>
    <row r="65" spans="1:7">
      <c r="A65" s="91" t="s">
        <v>47045</v>
      </c>
      <c r="B65">
        <v>3900000</v>
      </c>
      <c r="C65">
        <v>3900000</v>
      </c>
      <c r="D65">
        <v>1</v>
      </c>
      <c r="E65">
        <v>1</v>
      </c>
      <c r="F65" s="80">
        <v>44513</v>
      </c>
      <c r="G65">
        <f>IFERROR(IF((F65-F64)&gt;1,(LARGE(F65:$F65,1)-LARGE(F$64:$F65,2))-1,""),"")</f>
        <v>1</v>
      </c>
    </row>
    <row r="66" spans="1:7">
      <c r="A66" s="90">
        <f ca="1">MAX(0,(CurrentDate-1)-F77)</f>
        <v>1.0941305555606959</v>
      </c>
      <c r="B66">
        <v>3900000</v>
      </c>
      <c r="C66">
        <v>3900000</v>
      </c>
      <c r="D66">
        <v>1</v>
      </c>
      <c r="E66">
        <v>1</v>
      </c>
      <c r="F66" s="80">
        <v>44516</v>
      </c>
      <c r="G66">
        <f>IFERROR(IF((F66-F65)&gt;1,(LARGE(F66:$F66,1)-LARGE(F$64:$F66,2))-1,""),"")</f>
        <v>2</v>
      </c>
    </row>
    <row r="67" spans="1:7">
      <c r="A67" s="91" t="s">
        <v>47031</v>
      </c>
      <c r="B67">
        <v>3800000</v>
      </c>
      <c r="C67">
        <v>3800000</v>
      </c>
      <c r="D67">
        <v>1</v>
      </c>
      <c r="E67">
        <v>1</v>
      </c>
      <c r="F67" s="80">
        <v>44519</v>
      </c>
      <c r="G67">
        <f>IFERROR(IF((F67-F66)&gt;1,(LARGE(F67:$F67,1)-LARGE(F$64:$F67,2))-1,""),"")</f>
        <v>2</v>
      </c>
    </row>
    <row r="68" spans="1:7">
      <c r="A68" s="88">
        <f ca="1">(SUM(E64:E77)/(A66+14)+SUM(G64:G77))</f>
        <v>25.192516517181492</v>
      </c>
      <c r="B68">
        <v>3800000</v>
      </c>
      <c r="C68">
        <v>3800000</v>
      </c>
      <c r="D68">
        <v>1</v>
      </c>
      <c r="E68">
        <v>1</v>
      </c>
      <c r="F68" s="80">
        <v>44521</v>
      </c>
      <c r="G68">
        <f>IFERROR(IF((F68-F67)&gt;1,(LARGE(F68:$F68,1)-LARGE(F$64:$F68,2))-1,""),"")</f>
        <v>1</v>
      </c>
    </row>
    <row r="69" spans="1:7">
      <c r="A69" s="88">
        <f ca="1">(SUM(E70:E77)/(A66+7)+SUM(G70:G77))</f>
        <v>16.482555775154374</v>
      </c>
      <c r="B69">
        <v>3800000</v>
      </c>
      <c r="C69">
        <v>3800000</v>
      </c>
      <c r="D69">
        <v>1</v>
      </c>
      <c r="E69">
        <v>1</v>
      </c>
      <c r="F69" s="80">
        <v>44525</v>
      </c>
      <c r="G69">
        <f>IFERROR(IF((F69-F68)&gt;1,(LARGE(F69:$F69,1)-LARGE(F$64:$F69,2))-1,""),"")</f>
        <v>3</v>
      </c>
    </row>
    <row r="70" spans="1:7">
      <c r="A70" s="89">
        <f ca="1">AVERAGE(A68,A69)</f>
        <v>20.837536146167935</v>
      </c>
      <c r="B70">
        <v>3750000</v>
      </c>
      <c r="C70">
        <v>3750000</v>
      </c>
      <c r="D70">
        <v>1</v>
      </c>
      <c r="E70">
        <v>1</v>
      </c>
      <c r="F70" s="80">
        <v>44530</v>
      </c>
      <c r="G70">
        <f>IFERROR(IF((F70-F69)&gt;1,(LARGE(F70:$F70,1)-LARGE(F$64:$F70,2))-1,""),"")</f>
        <v>4</v>
      </c>
    </row>
    <row r="71" spans="1:7">
      <c r="B71">
        <v>3750000</v>
      </c>
      <c r="C71">
        <v>3750000</v>
      </c>
      <c r="D71">
        <v>1</v>
      </c>
      <c r="E71">
        <v>1</v>
      </c>
      <c r="F71" s="80">
        <v>44531</v>
      </c>
      <c r="G71" t="str">
        <f>IFERROR(IF((F71-F70)&gt;1,(LARGE(F71:$F71,1)-LARGE(F$64:$F71,2))-1,""),"")</f>
        <v/>
      </c>
    </row>
    <row r="72" spans="1:7">
      <c r="B72">
        <v>3750000</v>
      </c>
      <c r="C72">
        <v>3750000</v>
      </c>
      <c r="D72">
        <v>1</v>
      </c>
      <c r="E72">
        <v>1</v>
      </c>
      <c r="F72" s="80">
        <v>44532</v>
      </c>
      <c r="G72" t="str">
        <f>IFERROR(IF((F72-F71)&gt;1,(LARGE(F72:$F72,1)-LARGE(F$64:$F72,2))-1,""),"")</f>
        <v/>
      </c>
    </row>
    <row r="73" spans="1:7">
      <c r="B73">
        <v>3786750</v>
      </c>
      <c r="C73">
        <v>3750000</v>
      </c>
      <c r="D73">
        <v>4</v>
      </c>
      <c r="E73">
        <v>4</v>
      </c>
      <c r="F73" s="80">
        <v>44534</v>
      </c>
      <c r="G73">
        <f>IFERROR(IF((F73-F72)&gt;1,(LARGE(F73:$F73,1)-LARGE(F$64:$F73,2))-1,""),"")</f>
        <v>1</v>
      </c>
    </row>
    <row r="74" spans="1:7">
      <c r="B74">
        <v>3849000</v>
      </c>
      <c r="C74">
        <v>3849000</v>
      </c>
      <c r="D74">
        <v>2</v>
      </c>
      <c r="E74">
        <v>2</v>
      </c>
      <c r="F74" s="80">
        <v>44536</v>
      </c>
      <c r="G74">
        <f>IFERROR(IF((F74-F73)&gt;1,(LARGE(F74:$F74,1)-LARGE(F$64:$F74,2))-1,""),"")</f>
        <v>1</v>
      </c>
    </row>
    <row r="75" spans="1:7">
      <c r="B75">
        <v>3849000</v>
      </c>
      <c r="C75">
        <v>3849000</v>
      </c>
      <c r="D75">
        <v>1</v>
      </c>
      <c r="E75">
        <v>1</v>
      </c>
      <c r="F75" s="80">
        <v>44538</v>
      </c>
      <c r="G75">
        <f>IFERROR(IF((F75-F74)&gt;1,(LARGE(F75:$F75,1)-LARGE(F$64:$F75,2))-1,""),"")</f>
        <v>1</v>
      </c>
    </row>
    <row r="76" spans="1:7">
      <c r="B76">
        <v>666000</v>
      </c>
      <c r="C76">
        <v>666000</v>
      </c>
      <c r="D76">
        <v>1</v>
      </c>
      <c r="E76">
        <v>1</v>
      </c>
      <c r="F76" s="80">
        <v>44543</v>
      </c>
      <c r="G76">
        <f>IFERROR(IF((F76-F75)&gt;1,(LARGE(F76:$F76,1)-LARGE(F$64:$F76,2))-1,""),"")</f>
        <v>4</v>
      </c>
    </row>
    <row r="77" spans="1:7">
      <c r="B77">
        <v>3987000</v>
      </c>
      <c r="C77">
        <v>3987000</v>
      </c>
      <c r="D77">
        <v>1</v>
      </c>
      <c r="E77">
        <v>1</v>
      </c>
      <c r="F77" s="80">
        <v>44548</v>
      </c>
      <c r="G77">
        <f>IFERROR(IF((F77-F76)&gt;1,(LARGE(F77:$F77,1)-LARGE(F$64:$F77,2))-1,""),"")</f>
        <v>4</v>
      </c>
    </row>
    <row r="78" spans="1:7">
      <c r="A78" s="75">
        <f>VLOOKUP(TradeSheet!A7,TypeIDs!B:C,2,FALSE)</f>
        <v>32006</v>
      </c>
      <c r="B78" t="s">
        <v>47021</v>
      </c>
      <c r="C78" t="s">
        <v>47022</v>
      </c>
      <c r="D78" t="s">
        <v>47023</v>
      </c>
      <c r="E78" t="s">
        <v>47024</v>
      </c>
      <c r="F78" t="s">
        <v>47035</v>
      </c>
      <c r="G78" t="s">
        <v>47034</v>
      </c>
    </row>
    <row r="79" spans="1:7">
      <c r="A79" s="75" t="str">
        <f>CONCATENATE(SwaggerURL,input006)</f>
        <v>https://esi.evetech.net/latest/markets/10000021/history/?datasource=tranquility&amp;type_id=32006</v>
      </c>
      <c r="B79">
        <v>151200</v>
      </c>
      <c r="C79">
        <v>151200</v>
      </c>
      <c r="D79">
        <v>7</v>
      </c>
      <c r="E79">
        <v>143</v>
      </c>
      <c r="F79" s="80">
        <v>44535</v>
      </c>
      <c r="G79" t="str">
        <f>IFERROR(IF((F79-F78)&gt;1,(LARGE(F79:$F79,1)-LARGE(F$79:$F79,2))-1,""),"")</f>
        <v/>
      </c>
    </row>
    <row r="80" spans="1:7">
      <c r="A80" s="91" t="s">
        <v>47045</v>
      </c>
      <c r="B80">
        <v>151200</v>
      </c>
      <c r="C80">
        <v>151200</v>
      </c>
      <c r="D80">
        <v>3</v>
      </c>
      <c r="E80">
        <v>220</v>
      </c>
      <c r="F80" s="80">
        <v>44536</v>
      </c>
      <c r="G80" t="str">
        <f>IFERROR(IF((F80-F79)&gt;1,(LARGE(F80:$F80,1)-LARGE(F$79:$F80,2))-1,""),"")</f>
        <v/>
      </c>
    </row>
    <row r="81" spans="1:7">
      <c r="A81" s="90">
        <f ca="1">MAX(0,(CurrentDate-1)-F92)</f>
        <v>1.0941305555606959</v>
      </c>
      <c r="B81">
        <v>151200</v>
      </c>
      <c r="C81">
        <v>151200</v>
      </c>
      <c r="D81">
        <v>8</v>
      </c>
      <c r="E81">
        <v>147</v>
      </c>
      <c r="F81" s="80">
        <v>44537</v>
      </c>
      <c r="G81" t="str">
        <f>IFERROR(IF((F81-F80)&gt;1,(LARGE(F81:$F81,1)-LARGE(F$79:$F81,2))-1,""),"")</f>
        <v/>
      </c>
    </row>
    <row r="82" spans="1:7">
      <c r="A82" s="91" t="s">
        <v>47031</v>
      </c>
      <c r="B82">
        <v>151200</v>
      </c>
      <c r="C82">
        <v>151200</v>
      </c>
      <c r="D82">
        <v>7</v>
      </c>
      <c r="E82">
        <v>136</v>
      </c>
      <c r="F82" s="80">
        <v>44538</v>
      </c>
      <c r="G82" t="str">
        <f>IFERROR(IF((F82-F81)&gt;1,(LARGE(F82:$F82,1)-LARGE(F$79:$F82,2))-1,""),"")</f>
        <v/>
      </c>
    </row>
    <row r="83" spans="1:7">
      <c r="A83" s="88">
        <f ca="1">(SUM(E79:E92)/(A81+14)+SUM(G79:G92))</f>
        <v>236.18452131955686</v>
      </c>
      <c r="B83">
        <v>151200</v>
      </c>
      <c r="C83">
        <v>151200</v>
      </c>
      <c r="D83">
        <v>16</v>
      </c>
      <c r="E83">
        <v>425</v>
      </c>
      <c r="F83" s="80">
        <v>44539</v>
      </c>
      <c r="G83" t="str">
        <f>IFERROR(IF((F83-F82)&gt;1,(LARGE(F83:$F83,1)-LARGE(F$79:$F83,2))-1,""),"")</f>
        <v/>
      </c>
    </row>
    <row r="84" spans="1:7">
      <c r="A84" s="88">
        <f ca="1">(SUM(E85:E92)/(A81+7)+SUM(G85:G92))</f>
        <v>300.34109078335717</v>
      </c>
      <c r="B84">
        <v>173065.08</v>
      </c>
      <c r="C84">
        <v>151200</v>
      </c>
      <c r="D84">
        <v>4</v>
      </c>
      <c r="E84">
        <v>63</v>
      </c>
      <c r="F84" s="80">
        <v>44540</v>
      </c>
      <c r="G84" t="str">
        <f>IFERROR(IF((F84-F83)&gt;1,(LARGE(F84:$F84,1)-LARGE(F$79:$F84,2))-1,""),"")</f>
        <v/>
      </c>
    </row>
    <row r="85" spans="1:7">
      <c r="A85" s="89">
        <f ca="1">AVERAGE(A83,A84)</f>
        <v>268.26280605145701</v>
      </c>
      <c r="B85">
        <v>151200</v>
      </c>
      <c r="C85">
        <v>151200</v>
      </c>
      <c r="D85">
        <v>3</v>
      </c>
      <c r="E85">
        <v>66</v>
      </c>
      <c r="F85" s="80">
        <v>44541</v>
      </c>
      <c r="G85" t="str">
        <f>IFERROR(IF((F85-F84)&gt;1,(LARGE(F85:$F85,1)-LARGE(F$79:$F85,2))-1,""),"")</f>
        <v/>
      </c>
    </row>
    <row r="86" spans="1:7">
      <c r="B86">
        <v>151200</v>
      </c>
      <c r="C86">
        <v>151200</v>
      </c>
      <c r="D86">
        <v>6</v>
      </c>
      <c r="E86">
        <v>101</v>
      </c>
      <c r="F86" s="80">
        <v>44542</v>
      </c>
      <c r="G86" t="str">
        <f>IFERROR(IF((F86-F85)&gt;1,(LARGE(F86:$F86,1)-LARGE(F$79:$F86,2))-1,""),"")</f>
        <v/>
      </c>
    </row>
    <row r="87" spans="1:7">
      <c r="B87">
        <v>153987.1</v>
      </c>
      <c r="C87">
        <v>151200</v>
      </c>
      <c r="D87">
        <v>7</v>
      </c>
      <c r="E87">
        <v>62</v>
      </c>
      <c r="F87" s="80">
        <v>44543</v>
      </c>
      <c r="G87" t="str">
        <f>IFERROR(IF((F87-F86)&gt;1,(LARGE(F87:$F87,1)-LARGE(F$79:$F87,2))-1,""),"")</f>
        <v/>
      </c>
    </row>
    <row r="88" spans="1:7">
      <c r="B88">
        <v>180000</v>
      </c>
      <c r="C88">
        <v>180000</v>
      </c>
      <c r="D88">
        <v>8</v>
      </c>
      <c r="E88">
        <v>654</v>
      </c>
      <c r="F88" s="80">
        <v>44544</v>
      </c>
      <c r="G88" t="str">
        <f>IFERROR(IF((F88-F87)&gt;1,(LARGE(F88:$F88,1)-LARGE(F$79:$F88,2))-1,""),"")</f>
        <v/>
      </c>
    </row>
    <row r="89" spans="1:7">
      <c r="B89">
        <v>180000</v>
      </c>
      <c r="C89">
        <v>180000</v>
      </c>
      <c r="D89">
        <v>13</v>
      </c>
      <c r="E89">
        <v>193</v>
      </c>
      <c r="F89" s="80">
        <v>44545</v>
      </c>
      <c r="G89" t="str">
        <f>IFERROR(IF((F89-F88)&gt;1,(LARGE(F89:$F89,1)-LARGE(F$79:$F89,2))-1,""),"")</f>
        <v/>
      </c>
    </row>
    <row r="90" spans="1:7">
      <c r="B90">
        <v>180000</v>
      </c>
      <c r="C90">
        <v>180000</v>
      </c>
      <c r="D90">
        <v>18</v>
      </c>
      <c r="E90">
        <v>762</v>
      </c>
      <c r="F90" s="80">
        <v>44546</v>
      </c>
      <c r="G90" t="str">
        <f>IFERROR(IF((F90-F89)&gt;1,(LARGE(F90:$F90,1)-LARGE(F$79:$F90,2))-1,""),"")</f>
        <v/>
      </c>
    </row>
    <row r="91" spans="1:7">
      <c r="B91">
        <v>223000</v>
      </c>
      <c r="C91">
        <v>222000</v>
      </c>
      <c r="D91">
        <v>19</v>
      </c>
      <c r="E91">
        <v>268</v>
      </c>
      <c r="F91" s="80">
        <v>44547</v>
      </c>
      <c r="G91" t="str">
        <f>IFERROR(IF((F91-F90)&gt;1,(LARGE(F91:$F91,1)-LARGE(F$79:$F91,2))-1,""),"")</f>
        <v/>
      </c>
    </row>
    <row r="92" spans="1:7">
      <c r="B92">
        <v>199000</v>
      </c>
      <c r="C92">
        <v>199000</v>
      </c>
      <c r="D92">
        <v>13</v>
      </c>
      <c r="E92">
        <v>325</v>
      </c>
      <c r="F92" s="80">
        <v>44548</v>
      </c>
      <c r="G92" t="str">
        <f>IFERROR(IF((F92-F91)&gt;1,(LARGE(F92:$F92,1)-LARGE(F$79:$F92,2))-1,""),"")</f>
        <v/>
      </c>
    </row>
    <row r="93" spans="1:7">
      <c r="A93" s="75">
        <f>VLOOKUP(TradeSheet!A8,TypeIDs!B:C,2,FALSE)</f>
        <v>32014</v>
      </c>
      <c r="B93" t="s">
        <v>47021</v>
      </c>
      <c r="C93" t="s">
        <v>47022</v>
      </c>
      <c r="D93" t="s">
        <v>47023</v>
      </c>
      <c r="E93" t="s">
        <v>47024</v>
      </c>
      <c r="F93" t="s">
        <v>47035</v>
      </c>
      <c r="G93" t="s">
        <v>47034</v>
      </c>
    </row>
    <row r="94" spans="1:7">
      <c r="A94" s="75" t="str">
        <f>CONCATENATE(SwaggerURL,input007)</f>
        <v>https://esi.evetech.net/latest/markets/10000021/history/?datasource=tranquility&amp;type_id=32014</v>
      </c>
      <c r="B94">
        <v>276000</v>
      </c>
      <c r="C94">
        <v>276000</v>
      </c>
      <c r="D94">
        <v>9</v>
      </c>
      <c r="E94">
        <v>168</v>
      </c>
      <c r="F94" s="80">
        <v>44534</v>
      </c>
      <c r="G94" t="str">
        <f>IFERROR(IF((F94-F93)&gt;1,(LARGE(F94:$F94,1)-LARGE(F$94:$F94,2))-1,""),"")</f>
        <v/>
      </c>
    </row>
    <row r="95" spans="1:7">
      <c r="A95" s="91" t="s">
        <v>47045</v>
      </c>
      <c r="B95">
        <v>276000</v>
      </c>
      <c r="C95">
        <v>276000</v>
      </c>
      <c r="D95">
        <v>4</v>
      </c>
      <c r="E95">
        <v>90</v>
      </c>
      <c r="F95" s="80">
        <v>44535</v>
      </c>
      <c r="G95" t="str">
        <f>IFERROR(IF((F95-F94)&gt;1,(LARGE(F95:$F95,1)-LARGE(F$94:$F95,2))-1,""),"")</f>
        <v/>
      </c>
    </row>
    <row r="96" spans="1:7">
      <c r="A96" s="90">
        <f ca="1">MAX(0,(CurrentDate-1)-F107)</f>
        <v>1.0941305555606959</v>
      </c>
      <c r="B96">
        <v>275675.68</v>
      </c>
      <c r="C96">
        <v>275000</v>
      </c>
      <c r="D96">
        <v>4</v>
      </c>
      <c r="E96">
        <v>37</v>
      </c>
      <c r="F96" s="80">
        <v>44536</v>
      </c>
      <c r="G96" t="str">
        <f>IFERROR(IF((F96-F95)&gt;1,(LARGE(F96:$F96,1)-LARGE(F$94:$F96,2))-1,""),"")</f>
        <v/>
      </c>
    </row>
    <row r="97" spans="1:7">
      <c r="A97" s="91" t="s">
        <v>47031</v>
      </c>
      <c r="B97">
        <v>276000</v>
      </c>
      <c r="C97">
        <v>276000</v>
      </c>
      <c r="D97">
        <v>9</v>
      </c>
      <c r="E97">
        <v>63</v>
      </c>
      <c r="F97" s="80">
        <v>44537</v>
      </c>
      <c r="G97" t="str">
        <f>IFERROR(IF((F97-F96)&gt;1,(LARGE(F97:$F97,1)-LARGE(F$94:$F97,2))-1,""),"")</f>
        <v/>
      </c>
    </row>
    <row r="98" spans="1:7">
      <c r="A98" s="88">
        <f ca="1">(SUM(E94:E107)/(A96+14)+SUM(G94:G107))</f>
        <v>92.89002274059618</v>
      </c>
      <c r="B98">
        <v>276000</v>
      </c>
      <c r="C98">
        <v>276000</v>
      </c>
      <c r="D98">
        <v>2</v>
      </c>
      <c r="E98">
        <v>130</v>
      </c>
      <c r="F98" s="80">
        <v>44539</v>
      </c>
      <c r="G98">
        <f>IFERROR(IF((F98-F97)&gt;1,(LARGE(F98:$F98,1)-LARGE(F$94:$F98,2))-1,""),"")</f>
        <v>1</v>
      </c>
    </row>
    <row r="99" spans="1:7">
      <c r="A99" s="88">
        <f ca="1">(SUM(E100:E107)/(A96+7)+SUM(G100:G107))</f>
        <v>83.393762352433598</v>
      </c>
      <c r="B99">
        <v>276000</v>
      </c>
      <c r="C99">
        <v>276000</v>
      </c>
      <c r="D99">
        <v>4</v>
      </c>
      <c r="E99">
        <v>224</v>
      </c>
      <c r="F99" s="80">
        <v>44540</v>
      </c>
      <c r="G99" t="str">
        <f>IFERROR(IF((F99-F98)&gt;1,(LARGE(F99:$F99,1)-LARGE(F$94:$F99,2))-1,""),"")</f>
        <v/>
      </c>
    </row>
    <row r="100" spans="1:7">
      <c r="A100" s="89">
        <f ca="1">AVERAGE(A98,A99)</f>
        <v>88.141892546514896</v>
      </c>
      <c r="B100">
        <v>276000</v>
      </c>
      <c r="C100">
        <v>276000</v>
      </c>
      <c r="D100">
        <v>5</v>
      </c>
      <c r="E100">
        <v>83</v>
      </c>
      <c r="F100" s="80">
        <v>44541</v>
      </c>
      <c r="G100" t="str">
        <f>IFERROR(IF((F100-F99)&gt;1,(LARGE(F100:$F100,1)-LARGE(F$94:$F100,2))-1,""),"")</f>
        <v/>
      </c>
    </row>
    <row r="101" spans="1:7">
      <c r="B101">
        <v>276000</v>
      </c>
      <c r="C101">
        <v>276000</v>
      </c>
      <c r="D101">
        <v>10</v>
      </c>
      <c r="E101">
        <v>169</v>
      </c>
      <c r="F101" s="80">
        <v>44542</v>
      </c>
      <c r="G101" t="str">
        <f>IFERROR(IF((F101-F100)&gt;1,(LARGE(F101:$F101,1)-LARGE(F$94:$F101,2))-1,""),"")</f>
        <v/>
      </c>
    </row>
    <row r="102" spans="1:7">
      <c r="B102">
        <v>276000</v>
      </c>
      <c r="C102">
        <v>276000</v>
      </c>
      <c r="D102">
        <v>1</v>
      </c>
      <c r="E102">
        <v>10</v>
      </c>
      <c r="F102" s="80">
        <v>44543</v>
      </c>
      <c r="G102" t="str">
        <f>IFERROR(IF((F102-F101)&gt;1,(LARGE(F102:$F102,1)-LARGE(F$94:$F102,2))-1,""),"")</f>
        <v/>
      </c>
    </row>
    <row r="103" spans="1:7">
      <c r="B103">
        <v>276000</v>
      </c>
      <c r="C103">
        <v>276000</v>
      </c>
      <c r="D103">
        <v>7</v>
      </c>
      <c r="E103">
        <v>167</v>
      </c>
      <c r="F103" s="80">
        <v>44544</v>
      </c>
      <c r="G103" t="str">
        <f>IFERROR(IF((F103-F102)&gt;1,(LARGE(F103:$F103,1)-LARGE(F$94:$F103,2))-1,""),"")</f>
        <v/>
      </c>
    </row>
    <row r="104" spans="1:7">
      <c r="B104">
        <v>276000</v>
      </c>
      <c r="C104">
        <v>276000</v>
      </c>
      <c r="D104">
        <v>3</v>
      </c>
      <c r="E104">
        <v>47</v>
      </c>
      <c r="F104" s="80">
        <v>44545</v>
      </c>
      <c r="G104" t="str">
        <f>IFERROR(IF((F104-F103)&gt;1,(LARGE(F104:$F104,1)-LARGE(F$94:$F104,2))-1,""),"")</f>
        <v/>
      </c>
    </row>
    <row r="105" spans="1:7">
      <c r="B105">
        <v>275576.27</v>
      </c>
      <c r="C105">
        <v>275000</v>
      </c>
      <c r="D105">
        <v>3</v>
      </c>
      <c r="E105">
        <v>59</v>
      </c>
      <c r="F105" s="80">
        <v>44546</v>
      </c>
      <c r="G105" t="str">
        <f>IFERROR(IF((F105-F104)&gt;1,(LARGE(F105:$F105,1)-LARGE(F$94:$F105,2))-1,""),"")</f>
        <v/>
      </c>
    </row>
    <row r="106" spans="1:7">
      <c r="B106">
        <v>275907.69</v>
      </c>
      <c r="C106">
        <v>275900</v>
      </c>
      <c r="D106">
        <v>2</v>
      </c>
      <c r="E106">
        <v>13</v>
      </c>
      <c r="F106" s="80">
        <v>44547</v>
      </c>
      <c r="G106" t="str">
        <f>IFERROR(IF((F106-F105)&gt;1,(LARGE(F106:$F106,1)-LARGE(F$94:$F106,2))-1,""),"")</f>
        <v/>
      </c>
    </row>
    <row r="107" spans="1:7">
      <c r="B107">
        <v>276000</v>
      </c>
      <c r="C107">
        <v>276000</v>
      </c>
      <c r="D107">
        <v>9</v>
      </c>
      <c r="E107">
        <v>127</v>
      </c>
      <c r="F107" s="80">
        <v>44548</v>
      </c>
      <c r="G107" t="str">
        <f>IFERROR(IF((F107-F106)&gt;1,(LARGE(F107:$F107,1)-LARGE(F$94:$F107,2))-1,""),"")</f>
        <v/>
      </c>
    </row>
    <row r="108" spans="1:7">
      <c r="A108" s="75">
        <f>VLOOKUP(TradeSheet!A9,TypeIDs!B:C,2,FALSE)</f>
        <v>41490</v>
      </c>
      <c r="B108" t="s">
        <v>47021</v>
      </c>
      <c r="C108" t="s">
        <v>47022</v>
      </c>
      <c r="D108" t="s">
        <v>47023</v>
      </c>
      <c r="E108" t="s">
        <v>47024</v>
      </c>
      <c r="F108" t="s">
        <v>47035</v>
      </c>
      <c r="G108" t="s">
        <v>47034</v>
      </c>
    </row>
    <row r="109" spans="1:7">
      <c r="A109" s="75" t="str">
        <f>CONCATENATE(SwaggerURL,input008)</f>
        <v>https://esi.evetech.net/latest/markets/10000021/history/?datasource=tranquility&amp;type_id=41490</v>
      </c>
      <c r="B109">
        <v>1100000</v>
      </c>
      <c r="C109">
        <v>1100000</v>
      </c>
      <c r="D109">
        <v>6</v>
      </c>
      <c r="E109">
        <v>146</v>
      </c>
      <c r="F109" s="80">
        <v>44534</v>
      </c>
      <c r="G109" t="str">
        <f>IFERROR(IF((F109-F108)&gt;1,(LARGE(F109:$F109,1)-LARGE(F$109:$F109,2))-1,""),"")</f>
        <v/>
      </c>
    </row>
    <row r="110" spans="1:7">
      <c r="A110" s="91" t="s">
        <v>47045</v>
      </c>
      <c r="B110">
        <v>990000</v>
      </c>
      <c r="C110">
        <v>990000</v>
      </c>
      <c r="D110">
        <v>3</v>
      </c>
      <c r="E110">
        <v>185</v>
      </c>
      <c r="F110" s="80">
        <v>44535</v>
      </c>
      <c r="G110" t="str">
        <f>IFERROR(IF((F110-F109)&gt;1,(LARGE(F110:$F110,1)-LARGE(F$109:$F110,2))-1,""),"")</f>
        <v/>
      </c>
    </row>
    <row r="111" spans="1:7">
      <c r="A111" s="90">
        <f ca="1">MAX(0,(CurrentDate-1)-F122)</f>
        <v>1.0941305555606959</v>
      </c>
      <c r="B111">
        <v>1100000</v>
      </c>
      <c r="C111">
        <v>1100000</v>
      </c>
      <c r="D111">
        <v>2</v>
      </c>
      <c r="E111">
        <v>36</v>
      </c>
      <c r="F111" s="80">
        <v>44536</v>
      </c>
      <c r="G111" t="str">
        <f>IFERROR(IF((F111-F110)&gt;1,(LARGE(F111:$F111,1)-LARGE(F$109:$F111,2))-1,""),"")</f>
        <v/>
      </c>
    </row>
    <row r="112" spans="1:7">
      <c r="A112" s="91" t="s">
        <v>47031</v>
      </c>
      <c r="B112">
        <v>1100000</v>
      </c>
      <c r="C112">
        <v>1100000</v>
      </c>
      <c r="D112">
        <v>4</v>
      </c>
      <c r="E112">
        <v>112</v>
      </c>
      <c r="F112" s="80">
        <v>44537</v>
      </c>
      <c r="G112" t="str">
        <f>IFERROR(IF((F112-F111)&gt;1,(LARGE(F112:$F112,1)-LARGE(F$109:$F112,2))-1,""),"")</f>
        <v/>
      </c>
    </row>
    <row r="113" spans="1:7">
      <c r="A113" s="88">
        <f ca="1">(SUM(E109:E122)/(A111+14)+SUM(G109:G122))</f>
        <v>98.123845232670519</v>
      </c>
      <c r="B113">
        <v>1000000</v>
      </c>
      <c r="C113">
        <v>1000000</v>
      </c>
      <c r="D113">
        <v>1</v>
      </c>
      <c r="E113">
        <v>57</v>
      </c>
      <c r="F113" s="80">
        <v>44538</v>
      </c>
      <c r="G113" t="str">
        <f>IFERROR(IF((F113-F112)&gt;1,(LARGE(F113:$F113,1)-LARGE(F$109:$F113,2))-1,""),"")</f>
        <v/>
      </c>
    </row>
    <row r="114" spans="1:7">
      <c r="A114" s="88">
        <f ca="1">(SUM(E115:E122)/(A111+7)+SUM(G115:G122))</f>
        <v>114.66260942850209</v>
      </c>
      <c r="B114">
        <v>1000000</v>
      </c>
      <c r="C114">
        <v>1000000</v>
      </c>
      <c r="D114">
        <v>1</v>
      </c>
      <c r="E114">
        <v>10</v>
      </c>
      <c r="F114" s="80">
        <v>44539</v>
      </c>
      <c r="G114" t="str">
        <f>IFERROR(IF((F114-F113)&gt;1,(LARGE(F114:$F114,1)-LARGE(F$109:$F114,2))-1,""),"")</f>
        <v/>
      </c>
    </row>
    <row r="115" spans="1:7">
      <c r="A115" s="89">
        <f ca="1">AVERAGE(A113,A114)</f>
        <v>106.39322733058631</v>
      </c>
      <c r="B115">
        <v>1000000</v>
      </c>
      <c r="C115">
        <v>1000000</v>
      </c>
      <c r="D115">
        <v>5</v>
      </c>
      <c r="E115">
        <v>50</v>
      </c>
      <c r="F115" s="80">
        <v>44540</v>
      </c>
      <c r="G115" t="str">
        <f>IFERROR(IF((F115-F114)&gt;1,(LARGE(F115:$F115,1)-LARGE(F$109:$F115,2))-1,""),"")</f>
        <v/>
      </c>
    </row>
    <row r="116" spans="1:7">
      <c r="B116">
        <v>1001452.63</v>
      </c>
      <c r="C116">
        <v>1000000</v>
      </c>
      <c r="D116">
        <v>7</v>
      </c>
      <c r="E116">
        <v>95</v>
      </c>
      <c r="F116" s="80">
        <v>44541</v>
      </c>
      <c r="G116" t="str">
        <f>IFERROR(IF((F116-F115)&gt;1,(LARGE(F116:$F116,1)-LARGE(F$109:$F116,2))-1,""),"")</f>
        <v/>
      </c>
    </row>
    <row r="117" spans="1:7">
      <c r="B117">
        <v>1000000</v>
      </c>
      <c r="C117">
        <v>1000000</v>
      </c>
      <c r="D117">
        <v>12</v>
      </c>
      <c r="E117">
        <v>115</v>
      </c>
      <c r="F117" s="80">
        <v>44542</v>
      </c>
      <c r="G117" t="str">
        <f>IFERROR(IF((F117-F116)&gt;1,(LARGE(F117:$F117,1)-LARGE(F$109:$F117,2))-1,""),"")</f>
        <v/>
      </c>
    </row>
    <row r="118" spans="1:7">
      <c r="B118">
        <v>990000</v>
      </c>
      <c r="C118">
        <v>990000</v>
      </c>
      <c r="D118">
        <v>2</v>
      </c>
      <c r="E118">
        <v>7</v>
      </c>
      <c r="F118" s="80">
        <v>44543</v>
      </c>
      <c r="G118" t="str">
        <f>IFERROR(IF((F118-F117)&gt;1,(LARGE(F118:$F118,1)-LARGE(F$109:$F118,2))-1,""),"")</f>
        <v/>
      </c>
    </row>
    <row r="119" spans="1:7">
      <c r="B119">
        <v>935975.64</v>
      </c>
      <c r="C119">
        <v>900300</v>
      </c>
      <c r="D119">
        <v>6</v>
      </c>
      <c r="E119">
        <v>78</v>
      </c>
      <c r="F119" s="80">
        <v>44544</v>
      </c>
      <c r="G119" t="str">
        <f>IFERROR(IF((F119-F118)&gt;1,(LARGE(F119:$F119,1)-LARGE(F$109:$F119,2))-1,""),"")</f>
        <v/>
      </c>
    </row>
    <row r="120" spans="1:7">
      <c r="B120">
        <v>900400</v>
      </c>
      <c r="C120">
        <v>900400</v>
      </c>
      <c r="D120">
        <v>1</v>
      </c>
      <c r="E120">
        <v>1</v>
      </c>
      <c r="F120" s="80">
        <v>44545</v>
      </c>
      <c r="G120" t="str">
        <f>IFERROR(IF((F120-F119)&gt;1,(LARGE(F120:$F120,1)-LARGE(F$109:$F120,2))-1,""),"")</f>
        <v/>
      </c>
    </row>
    <row r="121" spans="1:7">
      <c r="B121">
        <v>990000</v>
      </c>
      <c r="C121">
        <v>990000</v>
      </c>
      <c r="D121">
        <v>7</v>
      </c>
      <c r="E121">
        <v>203</v>
      </c>
      <c r="F121" s="80">
        <v>44546</v>
      </c>
      <c r="G121" t="str">
        <f>IFERROR(IF((F121-F120)&gt;1,(LARGE(F121:$F121,1)-LARGE(F$109:$F121,2))-1,""),"")</f>
        <v/>
      </c>
    </row>
    <row r="122" spans="1:7">
      <c r="B122">
        <v>900000</v>
      </c>
      <c r="C122">
        <v>900000</v>
      </c>
      <c r="D122">
        <v>16</v>
      </c>
      <c r="E122">
        <v>371</v>
      </c>
      <c r="F122" s="80">
        <v>44548</v>
      </c>
      <c r="G122">
        <f>IFERROR(IF((F122-F121)&gt;1,(LARGE(F122:$F122,1)-LARGE(F$109:$F122,2))-1,""),"")</f>
        <v>1</v>
      </c>
    </row>
    <row r="123" spans="1:7">
      <c r="A123" s="75">
        <f>VLOOKUP(TradeSheet!A10,TypeIDs!B:C,2,FALSE)</f>
        <v>42832</v>
      </c>
      <c r="B123" t="s">
        <v>47021</v>
      </c>
      <c r="C123" t="s">
        <v>47022</v>
      </c>
      <c r="D123" t="s">
        <v>47023</v>
      </c>
      <c r="E123" t="s">
        <v>47024</v>
      </c>
      <c r="F123" t="s">
        <v>47035</v>
      </c>
      <c r="G123" t="s">
        <v>47034</v>
      </c>
    </row>
    <row r="124" spans="1:7">
      <c r="A124" s="75" t="str">
        <f>CONCATENATE(SwaggerURL,input009)</f>
        <v>https://esi.evetech.net/latest/markets/10000021/history/?datasource=tranquility&amp;type_id=42832</v>
      </c>
      <c r="B124">
        <v>990</v>
      </c>
      <c r="C124">
        <v>990</v>
      </c>
      <c r="D124">
        <v>1</v>
      </c>
      <c r="E124">
        <v>300</v>
      </c>
      <c r="F124" s="80">
        <v>44528</v>
      </c>
      <c r="G124" t="str">
        <f>IFERROR(IF((F124-F123)&gt;1,(LARGE(F124:$F124,1)-LARGE(F$124:$F124,2))-1,""),"")</f>
        <v/>
      </c>
    </row>
    <row r="125" spans="1:7">
      <c r="A125" s="91" t="s">
        <v>47045</v>
      </c>
      <c r="B125">
        <v>990</v>
      </c>
      <c r="C125">
        <v>990</v>
      </c>
      <c r="D125">
        <v>1</v>
      </c>
      <c r="E125">
        <v>300</v>
      </c>
      <c r="F125" s="80">
        <v>44529</v>
      </c>
      <c r="G125" t="str">
        <f>IFERROR(IF((F125-F124)&gt;1,(LARGE(F125:$F125,1)-LARGE(F$124:$F125,2))-1,""),"")</f>
        <v/>
      </c>
    </row>
    <row r="126" spans="1:7">
      <c r="A126" s="90">
        <f ca="1">MAX(0,(CurrentDate-1)-F137)</f>
        <v>1.0941305555606959</v>
      </c>
      <c r="B126">
        <v>750</v>
      </c>
      <c r="C126">
        <v>750</v>
      </c>
      <c r="D126">
        <v>1</v>
      </c>
      <c r="E126">
        <v>577</v>
      </c>
      <c r="F126" s="80">
        <v>44530</v>
      </c>
      <c r="G126" t="str">
        <f>IFERROR(IF((F126-F125)&gt;1,(LARGE(F126:$F126,1)-LARGE(F$124:$F126,2))-1,""),"")</f>
        <v/>
      </c>
    </row>
    <row r="127" spans="1:7">
      <c r="A127" s="91" t="s">
        <v>47031</v>
      </c>
      <c r="B127">
        <v>850</v>
      </c>
      <c r="C127">
        <v>850</v>
      </c>
      <c r="D127">
        <v>1</v>
      </c>
      <c r="E127">
        <v>400</v>
      </c>
      <c r="F127" s="80">
        <v>44532</v>
      </c>
      <c r="G127">
        <f>IFERROR(IF((F127-F126)&gt;1,(LARGE(F127:$F127,1)-LARGE(F$124:$F127,2))-1,""),"")</f>
        <v>1</v>
      </c>
    </row>
    <row r="128" spans="1:7">
      <c r="A128" s="88">
        <f ca="1">(SUM(E124:E137)/(A126+14)+SUM(G124:G137))</f>
        <v>690.17946250975331</v>
      </c>
      <c r="B128">
        <v>850</v>
      </c>
      <c r="C128">
        <v>850</v>
      </c>
      <c r="D128">
        <v>2</v>
      </c>
      <c r="E128">
        <v>824</v>
      </c>
      <c r="F128" s="80">
        <v>44533</v>
      </c>
      <c r="G128" t="str">
        <f>IFERROR(IF((F128-F127)&gt;1,(LARGE(F128:$F128,1)-LARGE(F$124:$F128,2))-1,""),"")</f>
        <v/>
      </c>
    </row>
    <row r="129" spans="1:7">
      <c r="A129" s="88">
        <f ca="1">(SUM(E130:E137)/(A126+7)+SUM(G130:G137))</f>
        <v>737.14708978029932</v>
      </c>
      <c r="B129">
        <v>850</v>
      </c>
      <c r="C129">
        <v>850</v>
      </c>
      <c r="D129">
        <v>4</v>
      </c>
      <c r="E129">
        <v>1993</v>
      </c>
      <c r="F129" s="80">
        <v>44534</v>
      </c>
      <c r="G129" t="str">
        <f>IFERROR(IF((F129-F128)&gt;1,(LARGE(F129:$F129,1)-LARGE(F$124:$F129,2))-1,""),"")</f>
        <v/>
      </c>
    </row>
    <row r="130" spans="1:7">
      <c r="A130" s="89">
        <f ca="1">AVERAGE(A128,A129)</f>
        <v>713.66327614502632</v>
      </c>
      <c r="B130">
        <v>800</v>
      </c>
      <c r="C130">
        <v>800</v>
      </c>
      <c r="D130">
        <v>3</v>
      </c>
      <c r="E130">
        <v>900</v>
      </c>
      <c r="F130" s="80">
        <v>44536</v>
      </c>
      <c r="G130">
        <f>IFERROR(IF((F130-F129)&gt;1,(LARGE(F130:$F130,1)-LARGE(F$124:$F130,2))-1,""),"")</f>
        <v>1</v>
      </c>
    </row>
    <row r="131" spans="1:7">
      <c r="B131">
        <v>800</v>
      </c>
      <c r="C131">
        <v>800</v>
      </c>
      <c r="D131">
        <v>1</v>
      </c>
      <c r="E131">
        <v>300</v>
      </c>
      <c r="F131" s="80">
        <v>44539</v>
      </c>
      <c r="G131">
        <f>IFERROR(IF((F131-F130)&gt;1,(LARGE(F131:$F131,1)-LARGE(F$124:$F131,2))-1,""),"")</f>
        <v>2</v>
      </c>
    </row>
    <row r="132" spans="1:7">
      <c r="B132">
        <v>800</v>
      </c>
      <c r="C132">
        <v>800</v>
      </c>
      <c r="D132">
        <v>3</v>
      </c>
      <c r="E132">
        <v>1300</v>
      </c>
      <c r="F132" s="80">
        <v>44541</v>
      </c>
      <c r="G132">
        <f>IFERROR(IF((F132-F131)&gt;1,(LARGE(F132:$F132,1)-LARGE(F$124:$F132,2))-1,""),"")</f>
        <v>1</v>
      </c>
    </row>
    <row r="133" spans="1:7">
      <c r="B133">
        <v>800</v>
      </c>
      <c r="C133">
        <v>800</v>
      </c>
      <c r="D133">
        <v>1</v>
      </c>
      <c r="E133">
        <v>121</v>
      </c>
      <c r="F133" s="80">
        <v>44542</v>
      </c>
      <c r="G133" t="str">
        <f>IFERROR(IF((F133-F132)&gt;1,(LARGE(F133:$F133,1)-LARGE(F$124:$F133,2))-1,""),"")</f>
        <v/>
      </c>
    </row>
    <row r="134" spans="1:7">
      <c r="B134">
        <v>790</v>
      </c>
      <c r="C134">
        <v>790</v>
      </c>
      <c r="D134">
        <v>2</v>
      </c>
      <c r="E134">
        <v>600</v>
      </c>
      <c r="F134" s="80">
        <v>44544</v>
      </c>
      <c r="G134">
        <f>IFERROR(IF((F134-F133)&gt;1,(LARGE(F134:$F134,1)-LARGE(F$124:$F134,2))-1,""),"")</f>
        <v>1</v>
      </c>
    </row>
    <row r="135" spans="1:7">
      <c r="B135">
        <v>850</v>
      </c>
      <c r="C135">
        <v>850</v>
      </c>
      <c r="D135">
        <v>3</v>
      </c>
      <c r="E135">
        <v>897</v>
      </c>
      <c r="F135" s="80">
        <v>44546</v>
      </c>
      <c r="G135">
        <f>IFERROR(IF((F135-F134)&gt;1,(LARGE(F135:$F135,1)-LARGE(F$124:$F135,2))-1,""),"")</f>
        <v>1</v>
      </c>
    </row>
    <row r="136" spans="1:7">
      <c r="B136">
        <v>850</v>
      </c>
      <c r="C136">
        <v>850</v>
      </c>
      <c r="D136">
        <v>2</v>
      </c>
      <c r="E136">
        <v>600</v>
      </c>
      <c r="F136" s="80">
        <v>44547</v>
      </c>
      <c r="G136" t="str">
        <f>IFERROR(IF((F136-F135)&gt;1,(LARGE(F136:$F136,1)-LARGE(F$124:$F136,2))-1,""),"")</f>
        <v/>
      </c>
    </row>
    <row r="137" spans="1:7">
      <c r="B137">
        <v>850</v>
      </c>
      <c r="C137">
        <v>850</v>
      </c>
      <c r="D137">
        <v>2</v>
      </c>
      <c r="E137">
        <v>1200</v>
      </c>
      <c r="F137" s="80">
        <v>44548</v>
      </c>
      <c r="G137" t="str">
        <f>IFERROR(IF((F137-F136)&gt;1,(LARGE(F137:$F137,1)-LARGE(F$124:$F137,2))-1,""),"")</f>
        <v/>
      </c>
    </row>
    <row r="138" spans="1:7">
      <c r="A138" s="75">
        <f>VLOOKUP(TradeSheet!A11,TypeIDs!B:C,2,FALSE)</f>
        <v>42834</v>
      </c>
      <c r="B138" t="s">
        <v>47021</v>
      </c>
      <c r="C138" t="s">
        <v>47022</v>
      </c>
      <c r="D138" t="s">
        <v>47023</v>
      </c>
      <c r="E138" t="s">
        <v>47024</v>
      </c>
      <c r="F138" t="s">
        <v>47035</v>
      </c>
      <c r="G138" t="s">
        <v>47034</v>
      </c>
    </row>
    <row r="139" spans="1:7">
      <c r="A139" s="75" t="str">
        <f>CONCATENATE(SwaggerURL,input010)</f>
        <v>https://esi.evetech.net/latest/markets/10000021/history/?datasource=tranquility&amp;type_id=42834</v>
      </c>
      <c r="B139">
        <v>990</v>
      </c>
      <c r="C139">
        <v>990</v>
      </c>
      <c r="D139">
        <v>3</v>
      </c>
      <c r="E139">
        <v>30267</v>
      </c>
      <c r="F139" s="80">
        <v>44518</v>
      </c>
      <c r="G139" t="str">
        <f>IFERROR(IF((F139-F138)&gt;1,(LARGE(F139:$F139,1)-LARGE(F$139:$F139,2))-1,""),"")</f>
        <v/>
      </c>
    </row>
    <row r="140" spans="1:7">
      <c r="A140" s="91" t="s">
        <v>47045</v>
      </c>
      <c r="B140">
        <v>990</v>
      </c>
      <c r="C140">
        <v>990</v>
      </c>
      <c r="D140">
        <v>1</v>
      </c>
      <c r="E140">
        <v>300</v>
      </c>
      <c r="F140" s="80">
        <v>44520</v>
      </c>
      <c r="G140">
        <f>IFERROR(IF((F140-F139)&gt;1,(LARGE(F140:$F140,1)-LARGE(F$139:$F140,2))-1,""),"")</f>
        <v>1</v>
      </c>
    </row>
    <row r="141" spans="1:7">
      <c r="A141" s="90">
        <f ca="1">MAX(0,(CurrentDate-1)-F152)</f>
        <v>1.0941305555606959</v>
      </c>
      <c r="B141">
        <v>990</v>
      </c>
      <c r="C141">
        <v>990</v>
      </c>
      <c r="D141">
        <v>1</v>
      </c>
      <c r="E141">
        <v>500</v>
      </c>
      <c r="F141" s="80">
        <v>44525</v>
      </c>
      <c r="G141">
        <f>IFERROR(IF((F141-F140)&gt;1,(LARGE(F141:$F141,1)-LARGE(F$139:$F141,2))-1,""),"")</f>
        <v>4</v>
      </c>
    </row>
    <row r="142" spans="1:7">
      <c r="A142" s="91" t="s">
        <v>47031</v>
      </c>
      <c r="B142">
        <v>990</v>
      </c>
      <c r="C142">
        <v>990</v>
      </c>
      <c r="D142">
        <v>1</v>
      </c>
      <c r="E142">
        <v>300</v>
      </c>
      <c r="F142" s="80">
        <v>44529</v>
      </c>
      <c r="G142">
        <f>IFERROR(IF((F142-F141)&gt;1,(LARGE(F142:$F142,1)-LARGE(F$139:$F142,2))-1,""),"")</f>
        <v>3</v>
      </c>
    </row>
    <row r="143" spans="1:7">
      <c r="A143" s="88">
        <f ca="1">(SUM(E139:E152)/(A141+14)+SUM(G139:G152))</f>
        <v>2684.7256998526218</v>
      </c>
      <c r="B143">
        <v>990</v>
      </c>
      <c r="C143">
        <v>990</v>
      </c>
      <c r="D143">
        <v>2</v>
      </c>
      <c r="E143">
        <v>2400</v>
      </c>
      <c r="F143" s="80">
        <v>44530</v>
      </c>
      <c r="G143" t="str">
        <f>IFERROR(IF((F143-F142)&gt;1,(LARGE(F143:$F143,1)-LARGE(F$139:$F143,2))-1,""),"")</f>
        <v/>
      </c>
    </row>
    <row r="144" spans="1:7">
      <c r="A144" s="88">
        <f ca="1">(SUM(E145:E152)/(A141+7)+SUM(G145:G152))</f>
        <v>761.63251903680737</v>
      </c>
      <c r="B144">
        <v>750</v>
      </c>
      <c r="C144">
        <v>750</v>
      </c>
      <c r="D144">
        <v>1</v>
      </c>
      <c r="E144">
        <v>400</v>
      </c>
      <c r="F144" s="80">
        <v>44532</v>
      </c>
      <c r="G144">
        <f>IFERROR(IF((F144-F143)&gt;1,(LARGE(F144:$F144,1)-LARGE(F$139:$F144,2))-1,""),"")</f>
        <v>1</v>
      </c>
    </row>
    <row r="145" spans="1:7">
      <c r="A145" s="89">
        <f ca="1">AVERAGE(A143,A144)</f>
        <v>1723.1791094447146</v>
      </c>
      <c r="B145">
        <v>740</v>
      </c>
      <c r="C145">
        <v>740</v>
      </c>
      <c r="D145">
        <v>1</v>
      </c>
      <c r="E145">
        <v>600</v>
      </c>
      <c r="F145" s="80">
        <v>44533</v>
      </c>
      <c r="G145" t="str">
        <f>IFERROR(IF((F145-F144)&gt;1,(LARGE(F145:$F145,1)-LARGE(F$139:$F145,2))-1,""),"")</f>
        <v/>
      </c>
    </row>
    <row r="146" spans="1:7">
      <c r="B146">
        <v>740</v>
      </c>
      <c r="C146">
        <v>740</v>
      </c>
      <c r="D146">
        <v>1</v>
      </c>
      <c r="E146">
        <v>600</v>
      </c>
      <c r="F146" s="80">
        <v>44534</v>
      </c>
      <c r="G146" t="str">
        <f>IFERROR(IF((F146-F145)&gt;1,(LARGE(F146:$F146,1)-LARGE(F$139:$F146,2))-1,""),"")</f>
        <v/>
      </c>
    </row>
    <row r="147" spans="1:7">
      <c r="B147">
        <v>744.5</v>
      </c>
      <c r="C147">
        <v>740</v>
      </c>
      <c r="D147">
        <v>3</v>
      </c>
      <c r="E147">
        <v>600</v>
      </c>
      <c r="F147" s="80">
        <v>44536</v>
      </c>
      <c r="G147">
        <f>IFERROR(IF((F147-F146)&gt;1,(LARGE(F147:$F147,1)-LARGE(F$139:$F147,2))-1,""),"")</f>
        <v>1</v>
      </c>
    </row>
    <row r="148" spans="1:7">
      <c r="B148">
        <v>745</v>
      </c>
      <c r="C148">
        <v>745</v>
      </c>
      <c r="D148">
        <v>2</v>
      </c>
      <c r="E148">
        <v>300</v>
      </c>
      <c r="F148" s="80">
        <v>44539</v>
      </c>
      <c r="G148">
        <f>IFERROR(IF((F148-F147)&gt;1,(LARGE(F148:$F148,1)-LARGE(F$139:$F148,2))-1,""),"")</f>
        <v>2</v>
      </c>
    </row>
    <row r="149" spans="1:7">
      <c r="B149">
        <v>745</v>
      </c>
      <c r="C149">
        <v>745</v>
      </c>
      <c r="D149">
        <v>3</v>
      </c>
      <c r="E149">
        <v>1300</v>
      </c>
      <c r="F149" s="80">
        <v>44541</v>
      </c>
      <c r="G149">
        <f>IFERROR(IF((F149-F148)&gt;1,(LARGE(F149:$F149,1)-LARGE(F$139:$F149,2))-1,""),"")</f>
        <v>1</v>
      </c>
    </row>
    <row r="150" spans="1:7">
      <c r="B150">
        <v>745</v>
      </c>
      <c r="C150">
        <v>745</v>
      </c>
      <c r="D150">
        <v>2</v>
      </c>
      <c r="E150">
        <v>600</v>
      </c>
      <c r="F150" s="80">
        <v>44544</v>
      </c>
      <c r="G150">
        <f>IFERROR(IF((F150-F149)&gt;1,(LARGE(F150:$F150,1)-LARGE(F$139:$F150,2))-1,""),"")</f>
        <v>2</v>
      </c>
    </row>
    <row r="151" spans="1:7">
      <c r="B151">
        <v>749</v>
      </c>
      <c r="C151">
        <v>749</v>
      </c>
      <c r="D151">
        <v>2</v>
      </c>
      <c r="E151">
        <v>900</v>
      </c>
      <c r="F151" s="80">
        <v>44546</v>
      </c>
      <c r="G151">
        <f>IFERROR(IF((F151-F150)&gt;1,(LARGE(F151:$F151,1)-LARGE(F$139:$F151,2))-1,""),"")</f>
        <v>1</v>
      </c>
    </row>
    <row r="152" spans="1:7">
      <c r="B152">
        <v>749</v>
      </c>
      <c r="C152">
        <v>749</v>
      </c>
      <c r="D152">
        <v>2</v>
      </c>
      <c r="E152">
        <v>1200</v>
      </c>
      <c r="F152" s="80">
        <v>44548</v>
      </c>
      <c r="G152">
        <f>IFERROR(IF((F152-F151)&gt;1,(LARGE(F152:$F152,1)-LARGE(F$139:$F152,2))-1,""),"")</f>
        <v>1</v>
      </c>
    </row>
    <row r="153" spans="1:7">
      <c r="A153" s="75">
        <f>VLOOKUP(TradeSheet!A12,TypeIDs!B:C,2,FALSE)</f>
        <v>42833</v>
      </c>
      <c r="B153" t="s">
        <v>47021</v>
      </c>
      <c r="C153" t="s">
        <v>47022</v>
      </c>
      <c r="D153" t="s">
        <v>47023</v>
      </c>
      <c r="E153" t="s">
        <v>47024</v>
      </c>
      <c r="F153" t="s">
        <v>47035</v>
      </c>
      <c r="G153" t="s">
        <v>47034</v>
      </c>
    </row>
    <row r="154" spans="1:7">
      <c r="A154" s="75" t="str">
        <f>CONCATENATE(SwaggerURL,input011)</f>
        <v>https://esi.evetech.net/latest/markets/10000021/history/?datasource=tranquility&amp;type_id=42833</v>
      </c>
      <c r="B154">
        <v>990</v>
      </c>
      <c r="C154">
        <v>990</v>
      </c>
      <c r="D154">
        <v>3</v>
      </c>
      <c r="E154">
        <v>1005</v>
      </c>
      <c r="F154" s="80">
        <v>44527</v>
      </c>
      <c r="G154" t="str">
        <f>IFERROR(IF((F154-F153)&gt;1,(LARGE(F154:$F154,1)-LARGE(F$154:$F154,2))-1,""),"")</f>
        <v/>
      </c>
    </row>
    <row r="155" spans="1:7">
      <c r="A155" s="91" t="s">
        <v>47045</v>
      </c>
      <c r="B155">
        <v>990</v>
      </c>
      <c r="C155">
        <v>990</v>
      </c>
      <c r="D155">
        <v>1</v>
      </c>
      <c r="E155">
        <v>300</v>
      </c>
      <c r="F155" s="80">
        <v>44529</v>
      </c>
      <c r="G155">
        <f>IFERROR(IF((F155-F154)&gt;1,(LARGE(F155:$F155,1)-LARGE(F$154:$F155,2))-1,""),"")</f>
        <v>1</v>
      </c>
    </row>
    <row r="156" spans="1:7">
      <c r="A156" s="90">
        <f ca="1">MAX(0,(CurrentDate-1)-F167)</f>
        <v>1.0941305555606959</v>
      </c>
      <c r="B156">
        <v>990</v>
      </c>
      <c r="C156">
        <v>990</v>
      </c>
      <c r="D156">
        <v>1</v>
      </c>
      <c r="E156">
        <v>1500</v>
      </c>
      <c r="F156" s="80">
        <v>44530</v>
      </c>
      <c r="G156" t="str">
        <f>IFERROR(IF((F156-F155)&gt;1,(LARGE(F156:$F156,1)-LARGE(F$154:$F156,2))-1,""),"")</f>
        <v/>
      </c>
    </row>
    <row r="157" spans="1:7">
      <c r="A157" s="91" t="s">
        <v>47031</v>
      </c>
      <c r="B157">
        <v>990</v>
      </c>
      <c r="C157">
        <v>990</v>
      </c>
      <c r="D157">
        <v>1</v>
      </c>
      <c r="E157">
        <v>400</v>
      </c>
      <c r="F157" s="80">
        <v>44532</v>
      </c>
      <c r="G157">
        <f>IFERROR(IF((F157-F156)&gt;1,(LARGE(F157:$F157,1)-LARGE(F$154:$F157,2))-1,""),"")</f>
        <v>1</v>
      </c>
    </row>
    <row r="158" spans="1:7">
      <c r="A158" s="88">
        <f ca="1">(SUM(E154:E167)/(A156+14)+SUM(G154:G167))</f>
        <v>710.59098137276317</v>
      </c>
      <c r="B158">
        <v>989</v>
      </c>
      <c r="C158">
        <v>989</v>
      </c>
      <c r="D158">
        <v>1</v>
      </c>
      <c r="E158">
        <v>600</v>
      </c>
      <c r="F158" s="80">
        <v>44533</v>
      </c>
      <c r="G158" t="str">
        <f>IFERROR(IF((F158-F157)&gt;1,(LARGE(F158:$F158,1)-LARGE(F$154:$F158,2))-1,""),"")</f>
        <v/>
      </c>
    </row>
    <row r="159" spans="1:7">
      <c r="A159" s="88">
        <f ca="1">(SUM(E160:E167)/(A156+7)+SUM(G160:G167))</f>
        <v>734.92325611756769</v>
      </c>
      <c r="B159">
        <v>989</v>
      </c>
      <c r="C159">
        <v>989</v>
      </c>
      <c r="D159">
        <v>2</v>
      </c>
      <c r="E159">
        <v>900</v>
      </c>
      <c r="F159" s="80">
        <v>44534</v>
      </c>
      <c r="G159" t="str">
        <f>IFERROR(IF((F159-F158)&gt;1,(LARGE(F159:$F159,1)-LARGE(F$154:$F159,2))-1,""),"")</f>
        <v/>
      </c>
    </row>
    <row r="160" spans="1:7">
      <c r="A160" s="89">
        <f ca="1">AVERAGE(A158,A159)</f>
        <v>722.75711874516537</v>
      </c>
      <c r="B160">
        <v>989</v>
      </c>
      <c r="C160">
        <v>989</v>
      </c>
      <c r="D160">
        <v>4</v>
      </c>
      <c r="E160">
        <v>1190</v>
      </c>
      <c r="F160" s="80">
        <v>44536</v>
      </c>
      <c r="G160">
        <f>IFERROR(IF((F160-F159)&gt;1,(LARGE(F160:$F160,1)-LARGE(F$154:$F160,2))-1,""),"")</f>
        <v>1</v>
      </c>
    </row>
    <row r="161" spans="1:7">
      <c r="B161">
        <v>989</v>
      </c>
      <c r="C161">
        <v>989</v>
      </c>
      <c r="D161">
        <v>1</v>
      </c>
      <c r="E161">
        <v>300</v>
      </c>
      <c r="F161" s="80">
        <v>44539</v>
      </c>
      <c r="G161">
        <f>IFERROR(IF((F161-F160)&gt;1,(LARGE(F161:$F161,1)-LARGE(F$154:$F161,2))-1,""),"")</f>
        <v>2</v>
      </c>
    </row>
    <row r="162" spans="1:7">
      <c r="B162">
        <v>989</v>
      </c>
      <c r="C162">
        <v>989</v>
      </c>
      <c r="D162">
        <v>1</v>
      </c>
      <c r="E162">
        <v>700</v>
      </c>
      <c r="F162" s="80">
        <v>44541</v>
      </c>
      <c r="G162">
        <f>IFERROR(IF((F162-F161)&gt;1,(LARGE(F162:$F162,1)-LARGE(F$154:$F162,2))-1,""),"")</f>
        <v>1</v>
      </c>
    </row>
    <row r="163" spans="1:7">
      <c r="B163">
        <v>989</v>
      </c>
      <c r="C163">
        <v>989</v>
      </c>
      <c r="D163">
        <v>2</v>
      </c>
      <c r="E163">
        <v>410</v>
      </c>
      <c r="F163" s="80">
        <v>44542</v>
      </c>
      <c r="G163" t="str">
        <f>IFERROR(IF((F163-F162)&gt;1,(LARGE(F163:$F163,1)-LARGE(F$154:$F163,2))-1,""),"")</f>
        <v/>
      </c>
    </row>
    <row r="164" spans="1:7">
      <c r="B164">
        <v>989</v>
      </c>
      <c r="C164">
        <v>989</v>
      </c>
      <c r="D164">
        <v>2</v>
      </c>
      <c r="E164">
        <v>900</v>
      </c>
      <c r="F164" s="80">
        <v>44544</v>
      </c>
      <c r="G164">
        <f>IFERROR(IF((F164-F163)&gt;1,(LARGE(F164:$F164,1)-LARGE(F$154:$F164,2))-1,""),"")</f>
        <v>1</v>
      </c>
    </row>
    <row r="165" spans="1:7">
      <c r="B165">
        <v>989</v>
      </c>
      <c r="C165">
        <v>989</v>
      </c>
      <c r="D165">
        <v>1</v>
      </c>
      <c r="E165">
        <v>600</v>
      </c>
      <c r="F165" s="80">
        <v>44546</v>
      </c>
      <c r="G165">
        <f>IFERROR(IF((F165-F164)&gt;1,(LARGE(F165:$F165,1)-LARGE(F$154:$F165,2))-1,""),"")</f>
        <v>1</v>
      </c>
    </row>
    <row r="166" spans="1:7">
      <c r="B166">
        <v>989</v>
      </c>
      <c r="C166">
        <v>989</v>
      </c>
      <c r="D166">
        <v>1</v>
      </c>
      <c r="E166">
        <v>600</v>
      </c>
      <c r="F166" s="80">
        <v>44547</v>
      </c>
      <c r="G166" t="str">
        <f>IFERROR(IF((F166-F165)&gt;1,(LARGE(F166:$F166,1)-LARGE(F$154:$F166,2))-1,""),"")</f>
        <v/>
      </c>
    </row>
    <row r="167" spans="1:7">
      <c r="B167">
        <v>989</v>
      </c>
      <c r="C167">
        <v>989</v>
      </c>
      <c r="D167">
        <v>2</v>
      </c>
      <c r="E167">
        <v>1200</v>
      </c>
      <c r="F167" s="80">
        <v>44548</v>
      </c>
      <c r="G167" t="str">
        <f>IFERROR(IF((F167-F166)&gt;1,(LARGE(F167:$F167,1)-LARGE(F$154:$F167,2))-1,""),"")</f>
        <v/>
      </c>
    </row>
    <row r="168" spans="1:7">
      <c r="A168" s="75">
        <f>VLOOKUP(TradeSheet!A13,TypeIDs!B:C,2,FALSE)</f>
        <v>42835</v>
      </c>
      <c r="B168" t="s">
        <v>47021</v>
      </c>
      <c r="C168" t="s">
        <v>47022</v>
      </c>
      <c r="D168" t="s">
        <v>47023</v>
      </c>
      <c r="E168" t="s">
        <v>47024</v>
      </c>
      <c r="F168" t="s">
        <v>47035</v>
      </c>
      <c r="G168" t="s">
        <v>47034</v>
      </c>
    </row>
    <row r="169" spans="1:7">
      <c r="A169" s="75" t="str">
        <f>CONCATENATE(SwaggerURL,input012)</f>
        <v>https://esi.evetech.net/latest/markets/10000021/history/?datasource=tranquility&amp;type_id=42835</v>
      </c>
      <c r="B169">
        <v>988.9</v>
      </c>
      <c r="C169">
        <v>988.9</v>
      </c>
      <c r="D169">
        <v>1</v>
      </c>
      <c r="E169">
        <v>300</v>
      </c>
      <c r="F169" s="80">
        <v>44519</v>
      </c>
      <c r="G169" t="str">
        <f>IFERROR(IF((F169-F168)&gt;1,(LARGE(F169:$F169,1)-LARGE(F$169:$F169,2))-1,""),"")</f>
        <v/>
      </c>
    </row>
    <row r="170" spans="1:7">
      <c r="A170" s="91" t="s">
        <v>47045</v>
      </c>
      <c r="B170">
        <v>988.9</v>
      </c>
      <c r="C170">
        <v>988.9</v>
      </c>
      <c r="D170">
        <v>3</v>
      </c>
      <c r="E170">
        <v>1135</v>
      </c>
      <c r="F170" s="80">
        <v>44521</v>
      </c>
      <c r="G170">
        <f>IFERROR(IF((F170-F169)&gt;1,(LARGE(F170:$F170,1)-LARGE(F$169:$F170,2))-1,""),"")</f>
        <v>1</v>
      </c>
    </row>
    <row r="171" spans="1:7">
      <c r="A171" s="90">
        <f ca="1">MAX(0,(CurrentDate-1)-F182)</f>
        <v>1.0941305555606959</v>
      </c>
      <c r="B171">
        <v>988.9</v>
      </c>
      <c r="C171">
        <v>988.9</v>
      </c>
      <c r="D171">
        <v>1</v>
      </c>
      <c r="E171">
        <v>100</v>
      </c>
      <c r="F171" s="80">
        <v>44525</v>
      </c>
      <c r="G171">
        <f>IFERROR(IF((F171-F170)&gt;1,(LARGE(F171:$F171,1)-LARGE(F$169:$F171,2))-1,""),"")</f>
        <v>3</v>
      </c>
    </row>
    <row r="172" spans="1:7">
      <c r="A172" s="91" t="s">
        <v>47031</v>
      </c>
      <c r="B172">
        <v>909</v>
      </c>
      <c r="C172">
        <v>909</v>
      </c>
      <c r="D172">
        <v>1</v>
      </c>
      <c r="E172">
        <v>267</v>
      </c>
      <c r="F172" s="80">
        <v>44527</v>
      </c>
      <c r="G172">
        <f>IFERROR(IF((F172-F171)&gt;1,(LARGE(F172:$F172,1)-LARGE(F$169:$F172,2))-1,""),"")</f>
        <v>1</v>
      </c>
    </row>
    <row r="173" spans="1:7">
      <c r="A173" s="88">
        <f ca="1">(SUM(E169:E182)/(A171+14)+SUM(G169:G182))</f>
        <v>712.56214786923454</v>
      </c>
      <c r="B173">
        <v>989</v>
      </c>
      <c r="C173">
        <v>989</v>
      </c>
      <c r="D173">
        <v>3</v>
      </c>
      <c r="E173">
        <v>1500</v>
      </c>
      <c r="F173" s="80">
        <v>44528</v>
      </c>
      <c r="G173" t="str">
        <f>IFERROR(IF((F173-F172)&gt;1,(LARGE(F173:$F173,1)-LARGE(F$169:$F173,2))-1,""),"")</f>
        <v/>
      </c>
    </row>
    <row r="174" spans="1:7">
      <c r="A174" s="88">
        <f ca="1">(SUM(E175:E182)/(A171+7)+SUM(G175:G182))</f>
        <v>763.63251903680737</v>
      </c>
      <c r="B174">
        <v>950</v>
      </c>
      <c r="C174">
        <v>950</v>
      </c>
      <c r="D174">
        <v>5</v>
      </c>
      <c r="E174">
        <v>1112</v>
      </c>
      <c r="F174" s="80">
        <v>44530</v>
      </c>
      <c r="G174">
        <f>IFERROR(IF((F174-F173)&gt;1,(LARGE(F174:$F174,1)-LARGE(F$169:$F174,2))-1,""),"")</f>
        <v>1</v>
      </c>
    </row>
    <row r="175" spans="1:7">
      <c r="A175" s="89">
        <f ca="1">AVERAGE(A173,A174)</f>
        <v>738.09733345302095</v>
      </c>
      <c r="B175">
        <v>980</v>
      </c>
      <c r="C175">
        <v>980</v>
      </c>
      <c r="D175">
        <v>1</v>
      </c>
      <c r="E175">
        <v>50</v>
      </c>
      <c r="F175" s="80">
        <v>44533</v>
      </c>
      <c r="G175">
        <f>IFERROR(IF((F175-F174)&gt;1,(LARGE(F175:$F175,1)-LARGE(F$169:$F175,2))-1,""),"")</f>
        <v>2</v>
      </c>
    </row>
    <row r="176" spans="1:7">
      <c r="B176">
        <v>694.2</v>
      </c>
      <c r="C176">
        <v>694.2</v>
      </c>
      <c r="D176">
        <v>3</v>
      </c>
      <c r="E176">
        <v>450</v>
      </c>
      <c r="F176" s="80">
        <v>44537</v>
      </c>
      <c r="G176">
        <f>IFERROR(IF((F176-F175)&gt;1,(LARGE(F176:$F176,1)-LARGE(F$169:$F176,2))-1,""),"")</f>
        <v>3</v>
      </c>
    </row>
    <row r="177" spans="1:7">
      <c r="B177">
        <v>694.2</v>
      </c>
      <c r="C177">
        <v>694.2</v>
      </c>
      <c r="D177">
        <v>1</v>
      </c>
      <c r="E177">
        <v>300</v>
      </c>
      <c r="F177" s="80">
        <v>44538</v>
      </c>
      <c r="G177" t="str">
        <f>IFERROR(IF((F177-F176)&gt;1,(LARGE(F177:$F177,1)-LARGE(F$169:$F177,2))-1,""),"")</f>
        <v/>
      </c>
    </row>
    <row r="178" spans="1:7">
      <c r="B178">
        <v>695</v>
      </c>
      <c r="C178">
        <v>695</v>
      </c>
      <c r="D178">
        <v>2</v>
      </c>
      <c r="E178">
        <v>500</v>
      </c>
      <c r="F178" s="80">
        <v>44539</v>
      </c>
      <c r="G178" t="str">
        <f>IFERROR(IF((F178-F177)&gt;1,(LARGE(F178:$F178,1)-LARGE(F$169:$F178,2))-1,""),"")</f>
        <v/>
      </c>
    </row>
    <row r="179" spans="1:7">
      <c r="B179">
        <v>695</v>
      </c>
      <c r="C179">
        <v>695</v>
      </c>
      <c r="D179">
        <v>3</v>
      </c>
      <c r="E179">
        <v>2301</v>
      </c>
      <c r="F179" s="80">
        <v>44541</v>
      </c>
      <c r="G179">
        <f>IFERROR(IF((F179-F178)&gt;1,(LARGE(F179:$F179,1)-LARGE(F$169:$F179,2))-1,""),"")</f>
        <v>1</v>
      </c>
    </row>
    <row r="180" spans="1:7">
      <c r="B180">
        <v>695</v>
      </c>
      <c r="C180">
        <v>695</v>
      </c>
      <c r="D180">
        <v>1</v>
      </c>
      <c r="E180">
        <v>300</v>
      </c>
      <c r="F180" s="80">
        <v>44546</v>
      </c>
      <c r="G180">
        <f>IFERROR(IF((F180-F179)&gt;1,(LARGE(F180:$F180,1)-LARGE(F$169:$F180,2))-1,""),"")</f>
        <v>4</v>
      </c>
    </row>
    <row r="181" spans="1:7">
      <c r="B181">
        <v>695</v>
      </c>
      <c r="C181">
        <v>695</v>
      </c>
      <c r="D181">
        <v>1</v>
      </c>
      <c r="E181">
        <v>99</v>
      </c>
      <c r="F181" s="80">
        <v>44547</v>
      </c>
      <c r="G181" t="str">
        <f>IFERROR(IF((F181-F180)&gt;1,(LARGE(F181:$F181,1)-LARGE(F$169:$F181,2))-1,""),"")</f>
        <v/>
      </c>
    </row>
    <row r="182" spans="1:7">
      <c r="B182">
        <v>700</v>
      </c>
      <c r="C182">
        <v>700</v>
      </c>
      <c r="D182">
        <v>4</v>
      </c>
      <c r="E182">
        <v>2100</v>
      </c>
      <c r="F182" s="80">
        <v>44548</v>
      </c>
      <c r="G182" t="str">
        <f>IFERROR(IF((F182-F181)&gt;1,(LARGE(F182:$F182,1)-LARGE(F$169:$F182,2))-1,""),"")</f>
        <v/>
      </c>
    </row>
    <row r="183" spans="1:7">
      <c r="A183" s="75">
        <f>VLOOKUP(TradeSheet!A14,TypeIDs!B:C,2,FALSE)</f>
        <v>42831</v>
      </c>
      <c r="B183" t="s">
        <v>47021</v>
      </c>
      <c r="C183" t="s">
        <v>47022</v>
      </c>
      <c r="D183" t="s">
        <v>47023</v>
      </c>
      <c r="E183" t="s">
        <v>47024</v>
      </c>
      <c r="F183" t="s">
        <v>47035</v>
      </c>
      <c r="G183" t="s">
        <v>47034</v>
      </c>
    </row>
    <row r="184" spans="1:7">
      <c r="A184" s="75" t="str">
        <f>CONCATENATE(SwaggerURL,input013)</f>
        <v>https://esi.evetech.net/latest/markets/10000021/history/?datasource=tranquility&amp;type_id=42831</v>
      </c>
      <c r="B184">
        <v>500</v>
      </c>
      <c r="C184">
        <v>500</v>
      </c>
      <c r="D184">
        <v>1</v>
      </c>
      <c r="E184">
        <v>2000</v>
      </c>
      <c r="F184" s="80">
        <v>44536</v>
      </c>
      <c r="G184" t="str">
        <f>IFERROR(IF((F184-F183)&gt;1,(LARGE(F184:$F184,1)-LARGE(F$184:$F184,2))-1,""),"")</f>
        <v/>
      </c>
    </row>
    <row r="185" spans="1:7">
      <c r="A185" s="91" t="s">
        <v>47045</v>
      </c>
      <c r="B185">
        <v>1393</v>
      </c>
      <c r="C185">
        <v>1393</v>
      </c>
      <c r="D185">
        <v>4</v>
      </c>
      <c r="E185">
        <v>11300</v>
      </c>
      <c r="F185" s="80">
        <v>44537</v>
      </c>
      <c r="G185" t="str">
        <f>IFERROR(IF((F185-F184)&gt;1,(LARGE(F185:$F185,1)-LARGE(F$184:$F185,2))-1,""),"")</f>
        <v/>
      </c>
    </row>
    <row r="186" spans="1:7">
      <c r="A186" s="90">
        <f ca="1">MAX(0,(CurrentDate-1)-F197)</f>
        <v>9.4130555560695939E-2</v>
      </c>
      <c r="B186">
        <v>1390</v>
      </c>
      <c r="C186">
        <v>1390</v>
      </c>
      <c r="D186">
        <v>5</v>
      </c>
      <c r="E186">
        <v>16109</v>
      </c>
      <c r="F186" s="80">
        <v>44538</v>
      </c>
      <c r="G186" t="str">
        <f>IFERROR(IF((F186-F185)&gt;1,(LARGE(F186:$F186,1)-LARGE(F$184:$F186,2))-1,""),"")</f>
        <v/>
      </c>
    </row>
    <row r="187" spans="1:7">
      <c r="A187" s="91" t="s">
        <v>47031</v>
      </c>
      <c r="B187">
        <v>1349</v>
      </c>
      <c r="C187">
        <v>1349</v>
      </c>
      <c r="D187">
        <v>5</v>
      </c>
      <c r="E187">
        <v>5720</v>
      </c>
      <c r="F187" s="80">
        <v>44539</v>
      </c>
      <c r="G187" t="str">
        <f>IFERROR(IF((F187-F186)&gt;1,(LARGE(F187:$F187,1)-LARGE(F$184:$F187,2))-1,""),"")</f>
        <v/>
      </c>
    </row>
    <row r="188" spans="1:7">
      <c r="A188" s="88">
        <f ca="1">(SUM(E184:E197)/(A186+14)+SUM(G184:G197))</f>
        <v>6820.9244707238013</v>
      </c>
      <c r="B188">
        <v>1349</v>
      </c>
      <c r="C188">
        <v>1349</v>
      </c>
      <c r="D188">
        <v>6</v>
      </c>
      <c r="E188">
        <v>14570</v>
      </c>
      <c r="F188" s="80">
        <v>44540</v>
      </c>
      <c r="G188" t="str">
        <f>IFERROR(IF((F188-F187)&gt;1,(LARGE(F188:$F188,1)-LARGE(F$184:$F188,2))-1,""),"")</f>
        <v/>
      </c>
    </row>
    <row r="189" spans="1:7">
      <c r="A189" s="88">
        <f ca="1">(SUM(E190:E197)/(A186+7)+SUM(G190:G197))</f>
        <v>4867.1221553620007</v>
      </c>
      <c r="B189">
        <v>1500</v>
      </c>
      <c r="C189">
        <v>1349</v>
      </c>
      <c r="D189">
        <v>7</v>
      </c>
      <c r="E189">
        <v>11908</v>
      </c>
      <c r="F189" s="80">
        <v>44541</v>
      </c>
      <c r="G189" t="str">
        <f>IFERROR(IF((F189-F188)&gt;1,(LARGE(F189:$F189,1)-LARGE(F$184:$F189,2))-1,""),"")</f>
        <v/>
      </c>
    </row>
    <row r="190" spans="1:7">
      <c r="A190" s="89">
        <f ca="1">AVERAGE(A188,A189)</f>
        <v>5844.0233130429006</v>
      </c>
      <c r="B190">
        <v>1550</v>
      </c>
      <c r="C190">
        <v>1550</v>
      </c>
      <c r="D190">
        <v>2</v>
      </c>
      <c r="E190">
        <v>5300</v>
      </c>
      <c r="F190" s="80">
        <v>44542</v>
      </c>
      <c r="G190" t="str">
        <f>IFERROR(IF((F190-F189)&gt;1,(LARGE(F190:$F190,1)-LARGE(F$184:$F190,2))-1,""),"")</f>
        <v/>
      </c>
    </row>
    <row r="191" spans="1:7">
      <c r="B191">
        <v>1549</v>
      </c>
      <c r="C191">
        <v>1549</v>
      </c>
      <c r="D191">
        <v>3</v>
      </c>
      <c r="E191">
        <v>13159</v>
      </c>
      <c r="F191" s="80">
        <v>44543</v>
      </c>
      <c r="G191" t="str">
        <f>IFERROR(IF((F191-F190)&gt;1,(LARGE(F191:$F191,1)-LARGE(F$184:$F191,2))-1,""),"")</f>
        <v/>
      </c>
    </row>
    <row r="192" spans="1:7">
      <c r="B192">
        <v>1750</v>
      </c>
      <c r="C192">
        <v>1750</v>
      </c>
      <c r="D192">
        <v>1</v>
      </c>
      <c r="E192">
        <v>600</v>
      </c>
      <c r="F192" s="80">
        <v>44544</v>
      </c>
      <c r="G192" t="str">
        <f>IFERROR(IF((F192-F191)&gt;1,(LARGE(F192:$F192,1)-LARGE(F$184:$F192,2))-1,""),"")</f>
        <v/>
      </c>
    </row>
    <row r="193" spans="1:7">
      <c r="B193">
        <v>1750</v>
      </c>
      <c r="C193">
        <v>1750</v>
      </c>
      <c r="D193">
        <v>2</v>
      </c>
      <c r="E193">
        <v>600</v>
      </c>
      <c r="F193" s="80">
        <v>44545</v>
      </c>
      <c r="G193" t="str">
        <f>IFERROR(IF((F193-F192)&gt;1,(LARGE(F193:$F193,1)-LARGE(F$184:$F193,2))-1,""),"")</f>
        <v/>
      </c>
    </row>
    <row r="194" spans="1:7">
      <c r="B194">
        <v>1450</v>
      </c>
      <c r="C194">
        <v>1450</v>
      </c>
      <c r="D194">
        <v>1</v>
      </c>
      <c r="E194">
        <v>10453</v>
      </c>
      <c r="F194" s="80">
        <v>44546</v>
      </c>
      <c r="G194" t="str">
        <f>IFERROR(IF((F194-F193)&gt;1,(LARGE(F194:$F194,1)-LARGE(F$184:$F194,2))-1,""),"")</f>
        <v/>
      </c>
    </row>
    <row r="195" spans="1:7">
      <c r="B195">
        <v>1399</v>
      </c>
      <c r="C195">
        <v>1399</v>
      </c>
      <c r="D195">
        <v>1</v>
      </c>
      <c r="E195">
        <v>2000</v>
      </c>
      <c r="F195" s="80">
        <v>44547</v>
      </c>
      <c r="G195" t="str">
        <f>IFERROR(IF((F195-F194)&gt;1,(LARGE(F195:$F195,1)-LARGE(F$184:$F195,2))-1,""),"")</f>
        <v/>
      </c>
    </row>
    <row r="196" spans="1:7">
      <c r="B196">
        <v>1400</v>
      </c>
      <c r="C196">
        <v>1400</v>
      </c>
      <c r="D196">
        <v>2</v>
      </c>
      <c r="E196">
        <v>1416</v>
      </c>
      <c r="F196" s="80">
        <v>44548</v>
      </c>
      <c r="G196" t="str">
        <f>IFERROR(IF((F196-F195)&gt;1,(LARGE(F196:$F196,1)-LARGE(F$184:$F196,2))-1,""),"")</f>
        <v/>
      </c>
    </row>
    <row r="197" spans="1:7">
      <c r="B197">
        <v>1395</v>
      </c>
      <c r="C197">
        <v>1395</v>
      </c>
      <c r="D197">
        <v>1</v>
      </c>
      <c r="E197">
        <v>1000</v>
      </c>
      <c r="F197" s="80">
        <v>44549</v>
      </c>
      <c r="G197" t="str">
        <f>IFERROR(IF((F197-F196)&gt;1,(LARGE(F197:$F197,1)-LARGE(F$184:$F197,2))-1,""),"")</f>
        <v/>
      </c>
    </row>
    <row r="198" spans="1:7">
      <c r="A198" s="75">
        <f>VLOOKUP(TradeSheet!A15,TypeIDs!B:C,2,FALSE)</f>
        <v>42829</v>
      </c>
      <c r="B198" t="s">
        <v>47021</v>
      </c>
      <c r="C198" t="s">
        <v>47022</v>
      </c>
      <c r="D198" t="s">
        <v>47023</v>
      </c>
      <c r="E198" t="s">
        <v>47024</v>
      </c>
      <c r="F198" t="s">
        <v>47035</v>
      </c>
      <c r="G198" t="s">
        <v>47034</v>
      </c>
    </row>
    <row r="199" spans="1:7">
      <c r="A199" s="75" t="str">
        <f>CONCATENATE(SwaggerURL,input014)</f>
        <v>https://esi.evetech.net/latest/markets/10000021/history/?datasource=tranquility&amp;type_id=42829</v>
      </c>
      <c r="B199">
        <v>270</v>
      </c>
      <c r="C199">
        <v>270</v>
      </c>
      <c r="D199">
        <v>5</v>
      </c>
      <c r="E199">
        <v>6355</v>
      </c>
      <c r="F199" s="80">
        <v>44535</v>
      </c>
      <c r="G199" t="str">
        <f>IFERROR(IF((F199-F198)&gt;1,(LARGE(F199:$F199,1)-LARGE(F$199:$F199,2))-1,""),"")</f>
        <v/>
      </c>
    </row>
    <row r="200" spans="1:7">
      <c r="A200" s="91" t="s">
        <v>47045</v>
      </c>
      <c r="B200">
        <v>270</v>
      </c>
      <c r="C200">
        <v>270</v>
      </c>
      <c r="D200">
        <v>2</v>
      </c>
      <c r="E200">
        <v>5655</v>
      </c>
      <c r="F200" s="80">
        <v>44536</v>
      </c>
      <c r="G200" t="str">
        <f>IFERROR(IF((F200-F199)&gt;1,(LARGE(F200:$F200,1)-LARGE(F$199:$F200,2))-1,""),"")</f>
        <v/>
      </c>
    </row>
    <row r="201" spans="1:7">
      <c r="A201" s="90">
        <f ca="1">MAX(0,(CurrentDate-1)-F212)</f>
        <v>1.0941305555606959</v>
      </c>
      <c r="B201">
        <v>270</v>
      </c>
      <c r="C201">
        <v>270</v>
      </c>
      <c r="D201">
        <v>4</v>
      </c>
      <c r="E201">
        <v>17000</v>
      </c>
      <c r="F201" s="80">
        <v>44537</v>
      </c>
      <c r="G201" t="str">
        <f>IFERROR(IF((F201-F200)&gt;1,(LARGE(F201:$F201,1)-LARGE(F$199:$F201,2))-1,""),"")</f>
        <v/>
      </c>
    </row>
    <row r="202" spans="1:7">
      <c r="A202" s="91" t="s">
        <v>47031</v>
      </c>
      <c r="B202">
        <v>269.7</v>
      </c>
      <c r="C202">
        <v>269.7</v>
      </c>
      <c r="D202">
        <v>2</v>
      </c>
      <c r="E202">
        <v>2700</v>
      </c>
      <c r="F202" s="80">
        <v>44538</v>
      </c>
      <c r="G202" t="str">
        <f>IFERROR(IF((F202-F201)&gt;1,(LARGE(F202:$F202,1)-LARGE(F$199:$F202,2))-1,""),"")</f>
        <v/>
      </c>
    </row>
    <row r="203" spans="1:7">
      <c r="A203" s="88">
        <f ca="1">(SUM(E199:E212)/(A201+14)+SUM(G199:G212))</f>
        <v>21122.183806906716</v>
      </c>
      <c r="B203">
        <v>269.8</v>
      </c>
      <c r="C203">
        <v>269.8</v>
      </c>
      <c r="D203">
        <v>10</v>
      </c>
      <c r="E203">
        <v>14058</v>
      </c>
      <c r="F203" s="80">
        <v>44539</v>
      </c>
      <c r="G203" t="str">
        <f>IFERROR(IF((F203-F202)&gt;1,(LARGE(F203:$F203,1)-LARGE(F$199:$F203,2))-1,""),"")</f>
        <v/>
      </c>
    </row>
    <row r="204" spans="1:7">
      <c r="A204" s="88">
        <f ca="1">(SUM(E205:E212)/(A201+7)+SUM(G205:G212))</f>
        <v>29673.971571287799</v>
      </c>
      <c r="B204">
        <v>269.8</v>
      </c>
      <c r="C204">
        <v>269.8</v>
      </c>
      <c r="D204">
        <v>6</v>
      </c>
      <c r="E204">
        <v>32868</v>
      </c>
      <c r="F204" s="80">
        <v>44540</v>
      </c>
      <c r="G204" t="str">
        <f>IFERROR(IF((F204-F203)&gt;1,(LARGE(F204:$F204,1)-LARGE(F$199:$F204,2))-1,""),"")</f>
        <v/>
      </c>
    </row>
    <row r="205" spans="1:7">
      <c r="A205" s="89">
        <f ca="1">AVERAGE(A203,A204)</f>
        <v>25398.077689097256</v>
      </c>
      <c r="B205">
        <v>269.8</v>
      </c>
      <c r="C205">
        <v>269.8</v>
      </c>
      <c r="D205">
        <v>6</v>
      </c>
      <c r="E205">
        <v>20000</v>
      </c>
      <c r="F205" s="80">
        <v>44541</v>
      </c>
      <c r="G205" t="str">
        <f>IFERROR(IF((F205-F204)&gt;1,(LARGE(F205:$F205,1)-LARGE(F$199:$F205,2))-1,""),"")</f>
        <v/>
      </c>
    </row>
    <row r="206" spans="1:7">
      <c r="B206">
        <v>269.8</v>
      </c>
      <c r="C206">
        <v>269.8</v>
      </c>
      <c r="D206">
        <v>11</v>
      </c>
      <c r="E206">
        <v>45136</v>
      </c>
      <c r="F206" s="80">
        <v>44542</v>
      </c>
      <c r="G206" t="str">
        <f>IFERROR(IF((F206-F205)&gt;1,(LARGE(F206:$F206,1)-LARGE(F$199:$F206,2))-1,""),"")</f>
        <v/>
      </c>
    </row>
    <row r="207" spans="1:7">
      <c r="B207">
        <v>270</v>
      </c>
      <c r="C207">
        <v>270</v>
      </c>
      <c r="D207">
        <v>5</v>
      </c>
      <c r="E207">
        <v>114590</v>
      </c>
      <c r="F207" s="80">
        <v>44543</v>
      </c>
      <c r="G207" t="str">
        <f>IFERROR(IF((F207-F206)&gt;1,(LARGE(F207:$F207,1)-LARGE(F$199:$F207,2))-1,""),"")</f>
        <v/>
      </c>
    </row>
    <row r="208" spans="1:7">
      <c r="B208">
        <v>270</v>
      </c>
      <c r="C208">
        <v>270</v>
      </c>
      <c r="D208">
        <v>3</v>
      </c>
      <c r="E208">
        <v>34383</v>
      </c>
      <c r="F208" s="80">
        <v>44544</v>
      </c>
      <c r="G208" t="str">
        <f>IFERROR(IF((F208-F207)&gt;1,(LARGE(F208:$F208,1)-LARGE(F$199:$F208,2))-1,""),"")</f>
        <v/>
      </c>
    </row>
    <row r="209" spans="1:7">
      <c r="B209">
        <v>270</v>
      </c>
      <c r="C209">
        <v>270</v>
      </c>
      <c r="D209">
        <v>4</v>
      </c>
      <c r="E209">
        <v>2177</v>
      </c>
      <c r="F209" s="80">
        <v>44545</v>
      </c>
      <c r="G209" t="str">
        <f>IFERROR(IF((F209-F208)&gt;1,(LARGE(F209:$F209,1)-LARGE(F$199:$F209,2))-1,""),"")</f>
        <v/>
      </c>
    </row>
    <row r="210" spans="1:7">
      <c r="B210">
        <v>270</v>
      </c>
      <c r="C210">
        <v>270</v>
      </c>
      <c r="D210">
        <v>3</v>
      </c>
      <c r="E210">
        <v>4900</v>
      </c>
      <c r="F210" s="80">
        <v>44546</v>
      </c>
      <c r="G210" t="str">
        <f>IFERROR(IF((F210-F209)&gt;1,(LARGE(F210:$F210,1)-LARGE(F$199:$F210,2))-1,""),"")</f>
        <v/>
      </c>
    </row>
    <row r="211" spans="1:7">
      <c r="B211">
        <v>270</v>
      </c>
      <c r="C211">
        <v>270</v>
      </c>
      <c r="D211">
        <v>2</v>
      </c>
      <c r="E211">
        <v>12000</v>
      </c>
      <c r="F211" s="80">
        <v>44547</v>
      </c>
      <c r="G211" t="str">
        <f>IFERROR(IF((F211-F210)&gt;1,(LARGE(F211:$F211,1)-LARGE(F$199:$F211,2))-1,""),"")</f>
        <v/>
      </c>
    </row>
    <row r="212" spans="1:7">
      <c r="B212">
        <v>270</v>
      </c>
      <c r="C212">
        <v>270</v>
      </c>
      <c r="D212">
        <v>8</v>
      </c>
      <c r="E212">
        <v>6999</v>
      </c>
      <c r="F212" s="80">
        <v>44548</v>
      </c>
      <c r="G212" t="str">
        <f>IFERROR(IF((F212-F211)&gt;1,(LARGE(F212:$F212,1)-LARGE(F$199:$F212,2))-1,""),"")</f>
        <v/>
      </c>
    </row>
    <row r="213" spans="1:7">
      <c r="A213" s="75">
        <f>VLOOKUP(TradeSheet!A16,TypeIDs!B:C,2,FALSE)</f>
        <v>42830</v>
      </c>
      <c r="B213" t="s">
        <v>47021</v>
      </c>
      <c r="C213" t="s">
        <v>47022</v>
      </c>
      <c r="D213" t="s">
        <v>47023</v>
      </c>
      <c r="E213" t="s">
        <v>47024</v>
      </c>
      <c r="F213" t="s">
        <v>47035</v>
      </c>
      <c r="G213" t="s">
        <v>47034</v>
      </c>
    </row>
    <row r="214" spans="1:7">
      <c r="A214" s="75" t="str">
        <f>CONCATENATE(SwaggerURL,input015)</f>
        <v>https://esi.evetech.net/latest/markets/10000021/history/?datasource=tranquility&amp;type_id=42830</v>
      </c>
      <c r="B214">
        <v>299.89999999999998</v>
      </c>
      <c r="C214">
        <v>299.89999999999998</v>
      </c>
      <c r="D214">
        <v>7</v>
      </c>
      <c r="E214">
        <v>11610</v>
      </c>
      <c r="F214" s="80">
        <v>44535</v>
      </c>
      <c r="G214" t="str">
        <f>IFERROR(IF((F214-F213)&gt;1,(LARGE(F214:$F214,1)-LARGE(F$214:$F214,2))-1,""),"")</f>
        <v/>
      </c>
    </row>
    <row r="215" spans="1:7">
      <c r="A215" s="91" t="s">
        <v>47045</v>
      </c>
      <c r="B215">
        <v>299.89999999999998</v>
      </c>
      <c r="C215">
        <v>299.89999999999998</v>
      </c>
      <c r="D215">
        <v>3</v>
      </c>
      <c r="E215">
        <v>5964</v>
      </c>
      <c r="F215" s="80">
        <v>44536</v>
      </c>
      <c r="G215" t="str">
        <f>IFERROR(IF((F215-F214)&gt;1,(LARGE(F215:$F215,1)-LARGE(F$214:$F215,2))-1,""),"")</f>
        <v/>
      </c>
    </row>
    <row r="216" spans="1:7">
      <c r="A216" s="90">
        <f ca="1">MAX(0,(CurrentDate-1)-F227)</f>
        <v>1.0941305555606959</v>
      </c>
      <c r="B216">
        <v>285</v>
      </c>
      <c r="C216">
        <v>284.89999999999998</v>
      </c>
      <c r="D216">
        <v>8</v>
      </c>
      <c r="E216">
        <v>25100</v>
      </c>
      <c r="F216" s="80">
        <v>44537</v>
      </c>
      <c r="G216" t="str">
        <f>IFERROR(IF((F216-F215)&gt;1,(LARGE(F216:$F216,1)-LARGE(F$214:$F216,2))-1,""),"")</f>
        <v/>
      </c>
    </row>
    <row r="217" spans="1:7">
      <c r="A217" s="91" t="s">
        <v>47031</v>
      </c>
      <c r="B217">
        <v>290</v>
      </c>
      <c r="C217">
        <v>290</v>
      </c>
      <c r="D217">
        <v>5</v>
      </c>
      <c r="E217">
        <v>10700</v>
      </c>
      <c r="F217" s="80">
        <v>44538</v>
      </c>
      <c r="G217" t="str">
        <f>IFERROR(IF((F217-F216)&gt;1,(LARGE(F217:$F217,1)-LARGE(F$214:$F217,2))-1,""),"")</f>
        <v/>
      </c>
    </row>
    <row r="218" spans="1:7">
      <c r="A218" s="88">
        <f ca="1">(SUM(E214:E227)/(A216+14)+SUM(G214:G227))</f>
        <v>21978.940673583998</v>
      </c>
      <c r="B218">
        <v>292.89999999999998</v>
      </c>
      <c r="C218">
        <v>292.89999999999998</v>
      </c>
      <c r="D218">
        <v>10</v>
      </c>
      <c r="E218">
        <v>12407</v>
      </c>
      <c r="F218" s="80">
        <v>44539</v>
      </c>
      <c r="G218" t="str">
        <f>IFERROR(IF((F218-F217)&gt;1,(LARGE(F218:$F218,1)-LARGE(F$214:$F218,2))-1,""),"")</f>
        <v/>
      </c>
    </row>
    <row r="219" spans="1:7">
      <c r="A219" s="88">
        <f ca="1">(SUM(E220:E227)/(A216+7)+SUM(G220:G227))</f>
        <v>28799.016571317523</v>
      </c>
      <c r="B219">
        <v>292.89999999999998</v>
      </c>
      <c r="C219">
        <v>292.89999999999998</v>
      </c>
      <c r="D219">
        <v>7</v>
      </c>
      <c r="E219">
        <v>32869</v>
      </c>
      <c r="F219" s="80">
        <v>44540</v>
      </c>
      <c r="G219" t="str">
        <f>IFERROR(IF((F219-F218)&gt;1,(LARGE(F219:$F219,1)-LARGE(F$214:$F219,2))-1,""),"")</f>
        <v/>
      </c>
    </row>
    <row r="220" spans="1:7">
      <c r="A220" s="89">
        <f ca="1">AVERAGE(A218,A219)</f>
        <v>25388.978622450762</v>
      </c>
      <c r="B220">
        <v>292.89999999999998</v>
      </c>
      <c r="C220">
        <v>292.89999999999998</v>
      </c>
      <c r="D220">
        <v>7</v>
      </c>
      <c r="E220">
        <v>20383</v>
      </c>
      <c r="F220" s="80">
        <v>44541</v>
      </c>
      <c r="G220" t="str">
        <f>IFERROR(IF((F220-F219)&gt;1,(LARGE(F220:$F220,1)-LARGE(F$214:$F220,2))-1,""),"")</f>
        <v/>
      </c>
    </row>
    <row r="221" spans="1:7">
      <c r="B221">
        <v>299.89999999999998</v>
      </c>
      <c r="C221">
        <v>299.89999999999998</v>
      </c>
      <c r="D221">
        <v>8</v>
      </c>
      <c r="E221">
        <v>42436</v>
      </c>
      <c r="F221" s="80">
        <v>44542</v>
      </c>
      <c r="G221" t="str">
        <f>IFERROR(IF((F221-F220)&gt;1,(LARGE(F221:$F221,1)-LARGE(F$214:$F221,2))-1,""),"")</f>
        <v/>
      </c>
    </row>
    <row r="222" spans="1:7">
      <c r="B222">
        <v>299.89999999999998</v>
      </c>
      <c r="C222">
        <v>299.89999999999998</v>
      </c>
      <c r="D222">
        <v>6</v>
      </c>
      <c r="E222">
        <v>114952</v>
      </c>
      <c r="F222" s="80">
        <v>44543</v>
      </c>
      <c r="G222" t="str">
        <f>IFERROR(IF((F222-F221)&gt;1,(LARGE(F222:$F222,1)-LARGE(F$214:$F222,2))-1,""),"")</f>
        <v/>
      </c>
    </row>
    <row r="223" spans="1:7">
      <c r="B223">
        <v>299.89999999999998</v>
      </c>
      <c r="C223">
        <v>299.89999999999998</v>
      </c>
      <c r="D223">
        <v>4</v>
      </c>
      <c r="E223">
        <v>35687</v>
      </c>
      <c r="F223" s="80">
        <v>44544</v>
      </c>
      <c r="G223" t="str">
        <f>IFERROR(IF((F223-F222)&gt;1,(LARGE(F223:$F223,1)-LARGE(F$214:$F223,2))-1,""),"")</f>
        <v/>
      </c>
    </row>
    <row r="224" spans="1:7">
      <c r="B224">
        <v>299.89999999999998</v>
      </c>
      <c r="C224">
        <v>299.89999999999998</v>
      </c>
      <c r="D224">
        <v>4</v>
      </c>
      <c r="E224">
        <v>2177</v>
      </c>
      <c r="F224" s="80">
        <v>44545</v>
      </c>
      <c r="G224" t="str">
        <f>IFERROR(IF((F224-F223)&gt;1,(LARGE(F224:$F224,1)-LARGE(F$214:$F224,2))-1,""),"")</f>
        <v/>
      </c>
    </row>
    <row r="225" spans="1:7">
      <c r="B225">
        <v>299.89999999999998</v>
      </c>
      <c r="C225">
        <v>299.89999999999998</v>
      </c>
      <c r="D225">
        <v>4</v>
      </c>
      <c r="E225">
        <v>7300</v>
      </c>
      <c r="F225" s="80">
        <v>44546</v>
      </c>
      <c r="G225" t="str">
        <f>IFERROR(IF((F225-F224)&gt;1,(LARGE(F225:$F225,1)-LARGE(F$214:$F225,2))-1,""),"")</f>
        <v/>
      </c>
    </row>
    <row r="226" spans="1:7">
      <c r="B226">
        <v>299.89999999999998</v>
      </c>
      <c r="C226">
        <v>299.89999999999998</v>
      </c>
      <c r="D226">
        <v>2</v>
      </c>
      <c r="E226">
        <v>3000</v>
      </c>
      <c r="F226" s="80">
        <v>44547</v>
      </c>
      <c r="G226" t="str">
        <f>IFERROR(IF((F226-F225)&gt;1,(LARGE(F226:$F226,1)-LARGE(F$214:$F226,2))-1,""),"")</f>
        <v/>
      </c>
    </row>
    <row r="227" spans="1:7">
      <c r="B227">
        <v>299.89999999999998</v>
      </c>
      <c r="C227">
        <v>299.89999999999998</v>
      </c>
      <c r="D227">
        <v>6</v>
      </c>
      <c r="E227">
        <v>7168</v>
      </c>
      <c r="F227" s="80">
        <v>44548</v>
      </c>
      <c r="G227" t="str">
        <f>IFERROR(IF((F227-F226)&gt;1,(LARGE(F227:$F227,1)-LARGE(F$214:$F227,2))-1,""),"")</f>
        <v/>
      </c>
    </row>
    <row r="228" spans="1:7">
      <c r="A228" s="75">
        <f>VLOOKUP(TradeSheet!A17,TypeIDs!B:C,2,FALSE)</f>
        <v>42694</v>
      </c>
      <c r="B228" t="s">
        <v>47021</v>
      </c>
      <c r="C228" t="s">
        <v>47022</v>
      </c>
      <c r="D228" t="s">
        <v>47023</v>
      </c>
      <c r="E228" t="s">
        <v>47024</v>
      </c>
      <c r="F228" t="s">
        <v>47035</v>
      </c>
      <c r="G228" t="s">
        <v>47034</v>
      </c>
    </row>
    <row r="229" spans="1:7">
      <c r="A229" s="75" t="str">
        <f>CONCATENATE(SwaggerURL,input016)</f>
        <v>https://esi.evetech.net/latest/markets/10000021/history/?datasource=tranquility&amp;type_id=42694</v>
      </c>
      <c r="B229">
        <v>2500</v>
      </c>
      <c r="C229">
        <v>2500</v>
      </c>
      <c r="D229">
        <v>3</v>
      </c>
      <c r="E229">
        <v>1200</v>
      </c>
      <c r="F229" s="80">
        <v>44531</v>
      </c>
      <c r="G229" t="str">
        <f>IFERROR(IF((F229-F228)&gt;1,(LARGE(F229:$F229,1)-LARGE(F$229:$F229,2))-1,""),"")</f>
        <v/>
      </c>
    </row>
    <row r="230" spans="1:7">
      <c r="A230" s="91" t="s">
        <v>47045</v>
      </c>
      <c r="B230">
        <v>3300</v>
      </c>
      <c r="C230">
        <v>3300</v>
      </c>
      <c r="D230">
        <v>1</v>
      </c>
      <c r="E230">
        <v>300</v>
      </c>
      <c r="F230" s="80">
        <v>44532</v>
      </c>
      <c r="G230" t="str">
        <f>IFERROR(IF((F230-F229)&gt;1,(LARGE(F230:$F230,1)-LARGE(F$229:$F230,2))-1,""),"")</f>
        <v/>
      </c>
    </row>
    <row r="231" spans="1:7">
      <c r="A231" s="90">
        <f ca="1">MAX(0,(CurrentDate-1)-F242)</f>
        <v>9.4130555560695939E-2</v>
      </c>
      <c r="B231">
        <v>3149</v>
      </c>
      <c r="C231">
        <v>3149</v>
      </c>
      <c r="D231">
        <v>2</v>
      </c>
      <c r="E231">
        <v>1038</v>
      </c>
      <c r="F231" s="80">
        <v>44535</v>
      </c>
      <c r="G231">
        <f>IFERROR(IF((F231-F230)&gt;1,(LARGE(F231:$F231,1)-LARGE(F$229:$F231,2))-1,""),"")</f>
        <v>2</v>
      </c>
    </row>
    <row r="232" spans="1:7">
      <c r="A232" s="91" t="s">
        <v>47031</v>
      </c>
      <c r="B232">
        <v>3100</v>
      </c>
      <c r="C232">
        <v>3100</v>
      </c>
      <c r="D232">
        <v>2</v>
      </c>
      <c r="E232">
        <v>900</v>
      </c>
      <c r="F232" s="80">
        <v>44537</v>
      </c>
      <c r="G232">
        <f>IFERROR(IF((F232-F231)&gt;1,(LARGE(F232:$F232,1)-LARGE(F$229:$F232,2))-1,""),"")</f>
        <v>1</v>
      </c>
    </row>
    <row r="233" spans="1:7">
      <c r="A233" s="88">
        <f ca="1">(SUM(E229:E242)/(A231+14)+SUM(G229:G242))</f>
        <v>942.12768928402738</v>
      </c>
      <c r="B233">
        <v>3145</v>
      </c>
      <c r="C233">
        <v>3145</v>
      </c>
      <c r="D233">
        <v>1</v>
      </c>
      <c r="E233">
        <v>2000</v>
      </c>
      <c r="F233" s="80">
        <v>44538</v>
      </c>
      <c r="G233" t="str">
        <f>IFERROR(IF((F233-F232)&gt;1,(LARGE(F233:$F233,1)-LARGE(F$229:$F233,2))-1,""),"")</f>
        <v/>
      </c>
    </row>
    <row r="234" spans="1:7">
      <c r="A234" s="88">
        <f ca="1">(SUM(E235:E242)/(A231+7)+SUM(G235:G242))</f>
        <v>1069.0793187004849</v>
      </c>
      <c r="B234">
        <v>3100</v>
      </c>
      <c r="C234">
        <v>3100</v>
      </c>
      <c r="D234">
        <v>1</v>
      </c>
      <c r="E234">
        <v>200</v>
      </c>
      <c r="F234" s="80">
        <v>44539</v>
      </c>
      <c r="G234" t="str">
        <f>IFERROR(IF((F234-F233)&gt;1,(LARGE(F234:$F234,1)-LARGE(F$229:$F234,2))-1,""),"")</f>
        <v/>
      </c>
    </row>
    <row r="235" spans="1:7">
      <c r="A235" s="89">
        <f ca="1">AVERAGE(A233,A234)</f>
        <v>1005.6035039922562</v>
      </c>
      <c r="B235">
        <v>999</v>
      </c>
      <c r="C235">
        <v>999</v>
      </c>
      <c r="D235">
        <v>1</v>
      </c>
      <c r="E235">
        <v>70</v>
      </c>
      <c r="F235" s="80">
        <v>44540</v>
      </c>
      <c r="G235" t="str">
        <f>IFERROR(IF((F235-F234)&gt;1,(LARGE(F235:$F235,1)-LARGE(F$229:$F235,2))-1,""),"")</f>
        <v/>
      </c>
    </row>
    <row r="236" spans="1:7">
      <c r="B236">
        <v>999</v>
      </c>
      <c r="C236">
        <v>999</v>
      </c>
      <c r="D236">
        <v>1</v>
      </c>
      <c r="E236">
        <v>1000</v>
      </c>
      <c r="F236" s="80">
        <v>44541</v>
      </c>
      <c r="G236" t="str">
        <f>IFERROR(IF((F236-F235)&gt;1,(LARGE(F236:$F236,1)-LARGE(F$229:$F236,2))-1,""),"")</f>
        <v/>
      </c>
    </row>
    <row r="237" spans="1:7">
      <c r="B237">
        <v>3050</v>
      </c>
      <c r="C237">
        <v>3050</v>
      </c>
      <c r="D237">
        <v>1</v>
      </c>
      <c r="E237">
        <v>600</v>
      </c>
      <c r="F237" s="80">
        <v>44542</v>
      </c>
      <c r="G237" t="str">
        <f>IFERROR(IF((F237-F236)&gt;1,(LARGE(F237:$F237,1)-LARGE(F$229:$F237,2))-1,""),"")</f>
        <v/>
      </c>
    </row>
    <row r="238" spans="1:7">
      <c r="B238">
        <v>3050</v>
      </c>
      <c r="C238">
        <v>3050</v>
      </c>
      <c r="D238">
        <v>1</v>
      </c>
      <c r="E238">
        <v>250</v>
      </c>
      <c r="F238" s="80">
        <v>44543</v>
      </c>
      <c r="G238" t="str">
        <f>IFERROR(IF((F238-F237)&gt;1,(LARGE(F238:$F238,1)-LARGE(F$229:$F238,2))-1,""),"")</f>
        <v/>
      </c>
    </row>
    <row r="239" spans="1:7">
      <c r="B239">
        <v>3050</v>
      </c>
      <c r="C239">
        <v>3050</v>
      </c>
      <c r="D239">
        <v>1</v>
      </c>
      <c r="E239">
        <v>500</v>
      </c>
      <c r="F239" s="80">
        <v>44544</v>
      </c>
      <c r="G239" t="str">
        <f>IFERROR(IF((F239-F238)&gt;1,(LARGE(F239:$F239,1)-LARGE(F$229:$F239,2))-1,""),"")</f>
        <v/>
      </c>
    </row>
    <row r="240" spans="1:7">
      <c r="B240">
        <v>3143</v>
      </c>
      <c r="C240">
        <v>3143</v>
      </c>
      <c r="D240">
        <v>1</v>
      </c>
      <c r="E240">
        <v>300</v>
      </c>
      <c r="F240" s="80">
        <v>44547</v>
      </c>
      <c r="G240">
        <f>IFERROR(IF((F240-F239)&gt;1,(LARGE(F240:$F240,1)-LARGE(F$229:$F240,2))-1,""),"")</f>
        <v>2</v>
      </c>
    </row>
    <row r="241" spans="1:7">
      <c r="B241">
        <v>3050</v>
      </c>
      <c r="C241">
        <v>3050</v>
      </c>
      <c r="D241">
        <v>3</v>
      </c>
      <c r="E241">
        <v>3950</v>
      </c>
      <c r="F241" s="80">
        <v>44548</v>
      </c>
      <c r="G241" t="str">
        <f>IFERROR(IF((F241-F240)&gt;1,(LARGE(F241:$F241,1)-LARGE(F$229:$F241,2))-1,""),"")</f>
        <v/>
      </c>
    </row>
    <row r="242" spans="1:7">
      <c r="B242">
        <v>3050</v>
      </c>
      <c r="C242">
        <v>3050</v>
      </c>
      <c r="D242">
        <v>2</v>
      </c>
      <c r="E242">
        <v>900</v>
      </c>
      <c r="F242" s="80">
        <v>44549</v>
      </c>
      <c r="G242" t="str">
        <f>IFERROR(IF((F242-F241)&gt;1,(LARGE(F242:$F242,1)-LARGE(F$229:$F242,2))-1,""),"")</f>
        <v/>
      </c>
    </row>
    <row r="243" spans="1:7">
      <c r="A243" s="75">
        <f>VLOOKUP(TradeSheet!A18,TypeIDs!B:C,2,FALSE)</f>
        <v>42696</v>
      </c>
      <c r="B243" t="s">
        <v>47021</v>
      </c>
      <c r="C243" t="s">
        <v>47022</v>
      </c>
      <c r="D243" t="s">
        <v>47023</v>
      </c>
      <c r="E243" t="s">
        <v>47024</v>
      </c>
      <c r="F243" t="s">
        <v>47035</v>
      </c>
      <c r="G243" t="s">
        <v>47034</v>
      </c>
    </row>
    <row r="244" spans="1:7">
      <c r="A244" s="75" t="str">
        <f>CONCATENATE(SwaggerURL,input017)</f>
        <v>https://esi.evetech.net/latest/markets/10000021/history/?datasource=tranquility&amp;type_id=42696</v>
      </c>
      <c r="B244">
        <v>850</v>
      </c>
      <c r="C244">
        <v>850</v>
      </c>
      <c r="D244">
        <v>3</v>
      </c>
      <c r="E244">
        <v>1900</v>
      </c>
      <c r="F244" s="80">
        <v>44531</v>
      </c>
      <c r="G244" t="str">
        <f>IFERROR(IF((F244-F243)&gt;1,(LARGE(F244:$F244,1)-LARGE(F$244:$F244,2))-1,""),"")</f>
        <v/>
      </c>
    </row>
    <row r="245" spans="1:7">
      <c r="A245" s="91" t="s">
        <v>47045</v>
      </c>
      <c r="B245">
        <v>1045</v>
      </c>
      <c r="C245">
        <v>1045</v>
      </c>
      <c r="D245">
        <v>2</v>
      </c>
      <c r="E245">
        <v>700</v>
      </c>
      <c r="F245" s="80">
        <v>44532</v>
      </c>
      <c r="G245" t="str">
        <f>IFERROR(IF((F245-F244)&gt;1,(LARGE(F245:$F245,1)-LARGE(F$244:$F245,2))-1,""),"")</f>
        <v/>
      </c>
    </row>
    <row r="246" spans="1:7">
      <c r="A246" s="90">
        <f ca="1">MAX(0,(CurrentDate-1)-F257)</f>
        <v>1.0941305555606959</v>
      </c>
      <c r="B246">
        <v>1039</v>
      </c>
      <c r="C246">
        <v>1039</v>
      </c>
      <c r="D246">
        <v>1</v>
      </c>
      <c r="E246">
        <v>1000</v>
      </c>
      <c r="F246" s="80">
        <v>44533</v>
      </c>
      <c r="G246" t="str">
        <f>IFERROR(IF((F246-F245)&gt;1,(LARGE(F246:$F246,1)-LARGE(F$244:$F246,2))-1,""),"")</f>
        <v/>
      </c>
    </row>
    <row r="247" spans="1:7">
      <c r="A247" s="91" t="s">
        <v>47031</v>
      </c>
      <c r="B247">
        <v>900</v>
      </c>
      <c r="C247">
        <v>900</v>
      </c>
      <c r="D247">
        <v>4</v>
      </c>
      <c r="E247">
        <v>1400</v>
      </c>
      <c r="F247" s="80">
        <v>44535</v>
      </c>
      <c r="G247">
        <f>IFERROR(IF((F247-F246)&gt;1,(LARGE(F247:$F247,1)-LARGE(F$244:$F247,2))-1,""),"")</f>
        <v>1</v>
      </c>
    </row>
    <row r="248" spans="1:7">
      <c r="A248" s="88">
        <f ca="1">(SUM(E244:E257)/(A246+14)+SUM(G244:G257))</f>
        <v>2478.8692786573256</v>
      </c>
      <c r="B248">
        <v>1038</v>
      </c>
      <c r="C248">
        <v>1038</v>
      </c>
      <c r="D248">
        <v>1</v>
      </c>
      <c r="E248">
        <v>214</v>
      </c>
      <c r="F248" s="80">
        <v>44536</v>
      </c>
      <c r="G248" t="str">
        <f>IFERROR(IF((F248-F247)&gt;1,(LARGE(F248:$F248,1)-LARGE(F$244:$F248,2))-1,""),"")</f>
        <v/>
      </c>
    </row>
    <row r="249" spans="1:7">
      <c r="A249" s="88">
        <f ca="1">(SUM(E250:E257)/(A246+7)+SUM(G250:G257))</f>
        <v>2676.2951552325308</v>
      </c>
      <c r="B249">
        <v>1039</v>
      </c>
      <c r="C249">
        <v>1039</v>
      </c>
      <c r="D249">
        <v>5</v>
      </c>
      <c r="E249">
        <v>10504</v>
      </c>
      <c r="F249" s="80">
        <v>44537</v>
      </c>
      <c r="G249" t="str">
        <f>IFERROR(IF((F249-F248)&gt;1,(LARGE(F249:$F249,1)-LARGE(F$244:$F249,2))-1,""),"")</f>
        <v/>
      </c>
    </row>
    <row r="250" spans="1:7">
      <c r="A250" s="89">
        <f ca="1">AVERAGE(A248,A249)</f>
        <v>2577.5822169449284</v>
      </c>
      <c r="B250">
        <v>1039</v>
      </c>
      <c r="C250">
        <v>1039</v>
      </c>
      <c r="D250">
        <v>5</v>
      </c>
      <c r="E250">
        <v>1700</v>
      </c>
      <c r="F250" s="80">
        <v>44539</v>
      </c>
      <c r="G250">
        <f>IFERROR(IF((F250-F249)&gt;1,(LARGE(F250:$F250,1)-LARGE(F$244:$F250,2))-1,""),"")</f>
        <v>1</v>
      </c>
    </row>
    <row r="251" spans="1:7">
      <c r="B251">
        <v>999</v>
      </c>
      <c r="C251">
        <v>999</v>
      </c>
      <c r="D251">
        <v>2</v>
      </c>
      <c r="E251">
        <v>570</v>
      </c>
      <c r="F251" s="80">
        <v>44540</v>
      </c>
      <c r="G251" t="str">
        <f>IFERROR(IF((F251-F250)&gt;1,(LARGE(F251:$F251,1)-LARGE(F$244:$F251,2))-1,""),"")</f>
        <v/>
      </c>
    </row>
    <row r="252" spans="1:7">
      <c r="B252">
        <v>999</v>
      </c>
      <c r="C252">
        <v>999</v>
      </c>
      <c r="D252">
        <v>7</v>
      </c>
      <c r="E252">
        <v>3700</v>
      </c>
      <c r="F252" s="80">
        <v>44541</v>
      </c>
      <c r="G252" t="str">
        <f>IFERROR(IF((F252-F251)&gt;1,(LARGE(F252:$F252,1)-LARGE(F$244:$F252,2))-1,""),"")</f>
        <v/>
      </c>
    </row>
    <row r="253" spans="1:7">
      <c r="B253">
        <v>1065</v>
      </c>
      <c r="C253">
        <v>1065</v>
      </c>
      <c r="D253">
        <v>1</v>
      </c>
      <c r="E253">
        <v>1000</v>
      </c>
      <c r="F253" s="80">
        <v>44542</v>
      </c>
      <c r="G253" t="str">
        <f>IFERROR(IF((F253-F252)&gt;1,(LARGE(F253:$F253,1)-LARGE(F$244:$F253,2))-1,""),"")</f>
        <v/>
      </c>
    </row>
    <row r="254" spans="1:7">
      <c r="B254">
        <v>1200</v>
      </c>
      <c r="C254">
        <v>1200</v>
      </c>
      <c r="D254">
        <v>5</v>
      </c>
      <c r="E254">
        <v>12268</v>
      </c>
      <c r="F254" s="80">
        <v>44543</v>
      </c>
      <c r="G254" t="str">
        <f>IFERROR(IF((F254-F253)&gt;1,(LARGE(F254:$F254,1)-LARGE(F$244:$F254,2))-1,""),"")</f>
        <v/>
      </c>
    </row>
    <row r="255" spans="1:7">
      <c r="B255">
        <v>1295</v>
      </c>
      <c r="C255">
        <v>1295</v>
      </c>
      <c r="D255">
        <v>1</v>
      </c>
      <c r="E255">
        <v>500</v>
      </c>
      <c r="F255" s="80">
        <v>44544</v>
      </c>
      <c r="G255" t="str">
        <f>IFERROR(IF((F255-F254)&gt;1,(LARGE(F255:$F255,1)-LARGE(F$244:$F255,2))-1,""),"")</f>
        <v/>
      </c>
    </row>
    <row r="256" spans="1:7">
      <c r="B256">
        <v>1295</v>
      </c>
      <c r="C256">
        <v>1295</v>
      </c>
      <c r="D256">
        <v>1</v>
      </c>
      <c r="E256">
        <v>1000</v>
      </c>
      <c r="F256" s="80">
        <v>44546</v>
      </c>
      <c r="G256">
        <f>IFERROR(IF((F256-F255)&gt;1,(LARGE(F256:$F256,1)-LARGE(F$244:$F256,2))-1,""),"")</f>
        <v>1</v>
      </c>
    </row>
    <row r="257" spans="1:7">
      <c r="B257">
        <v>2500</v>
      </c>
      <c r="C257">
        <v>2500</v>
      </c>
      <c r="D257">
        <v>3</v>
      </c>
      <c r="E257">
        <v>900</v>
      </c>
      <c r="F257" s="80">
        <v>44548</v>
      </c>
      <c r="G257">
        <f>IFERROR(IF((F257-F256)&gt;1,(LARGE(F257:$F257,1)-LARGE(F$244:$F257,2))-1,""),"")</f>
        <v>1</v>
      </c>
    </row>
    <row r="258" spans="1:7">
      <c r="A258" s="75">
        <f>VLOOKUP(TradeSheet!A19,TypeIDs!B:C,2,FALSE)</f>
        <v>42695</v>
      </c>
      <c r="B258" t="s">
        <v>47021</v>
      </c>
      <c r="C258" t="s">
        <v>47022</v>
      </c>
      <c r="D258" t="s">
        <v>47023</v>
      </c>
      <c r="E258" t="s">
        <v>47024</v>
      </c>
      <c r="F258" t="s">
        <v>47035</v>
      </c>
      <c r="G258" t="s">
        <v>47034</v>
      </c>
    </row>
    <row r="259" spans="1:7">
      <c r="A259" s="75" t="str">
        <f>CONCATENATE(SwaggerURL,input018)</f>
        <v>https://esi.evetech.net/latest/markets/10000021/history/?datasource=tranquility&amp;type_id=42695</v>
      </c>
      <c r="B259">
        <v>800</v>
      </c>
      <c r="C259">
        <v>800</v>
      </c>
      <c r="D259">
        <v>4</v>
      </c>
      <c r="E259">
        <v>1500</v>
      </c>
      <c r="F259" s="80">
        <v>44531</v>
      </c>
      <c r="G259" t="str">
        <f>IFERROR(IF((F259-F258)&gt;1,(LARGE(F259:$F259,1)-LARGE(F$259:$F259,2))-1,""),"")</f>
        <v/>
      </c>
    </row>
    <row r="260" spans="1:7">
      <c r="A260" s="91" t="s">
        <v>47045</v>
      </c>
      <c r="B260">
        <v>800</v>
      </c>
      <c r="C260">
        <v>800</v>
      </c>
      <c r="D260">
        <v>2</v>
      </c>
      <c r="E260">
        <v>900</v>
      </c>
      <c r="F260" s="80">
        <v>44532</v>
      </c>
      <c r="G260" t="str">
        <f>IFERROR(IF((F260-F259)&gt;1,(LARGE(F260:$F260,1)-LARGE(F$259:$F260,2))-1,""),"")</f>
        <v/>
      </c>
    </row>
    <row r="261" spans="1:7">
      <c r="A261" s="90">
        <f ca="1">MAX(0,(CurrentDate-1)-F272)</f>
        <v>9.4130555560695939E-2</v>
      </c>
      <c r="B261">
        <v>800</v>
      </c>
      <c r="C261">
        <v>800</v>
      </c>
      <c r="D261">
        <v>2</v>
      </c>
      <c r="E261">
        <v>989</v>
      </c>
      <c r="F261" s="80">
        <v>44533</v>
      </c>
      <c r="G261" t="str">
        <f>IFERROR(IF((F261-F260)&gt;1,(LARGE(F261:$F261,1)-LARGE(F$259:$F261,2))-1,""),"")</f>
        <v/>
      </c>
    </row>
    <row r="262" spans="1:7">
      <c r="A262" s="91" t="s">
        <v>47031</v>
      </c>
      <c r="B262">
        <v>1397</v>
      </c>
      <c r="C262">
        <v>1397</v>
      </c>
      <c r="D262">
        <v>4</v>
      </c>
      <c r="E262">
        <v>1800</v>
      </c>
      <c r="F262" s="80">
        <v>44535</v>
      </c>
      <c r="G262">
        <f>IFERROR(IF((F262-F261)&gt;1,(LARGE(F262:$F262,1)-LARGE(F$259:$F262,2))-1,""),"")</f>
        <v>1</v>
      </c>
    </row>
    <row r="263" spans="1:7">
      <c r="A263" s="88">
        <f ca="1">(SUM(E259:E272)/(A261+14)+SUM(G259:G272))</f>
        <v>4248.6104706297456</v>
      </c>
      <c r="B263">
        <v>1400</v>
      </c>
      <c r="C263">
        <v>1400</v>
      </c>
      <c r="D263">
        <v>2</v>
      </c>
      <c r="E263">
        <v>321</v>
      </c>
      <c r="F263" s="80">
        <v>44537</v>
      </c>
      <c r="G263">
        <f>IFERROR(IF((F263-F262)&gt;1,(LARGE(F263:$F263,1)-LARGE(F$259:$F263,2))-1,""),"")</f>
        <v>1</v>
      </c>
    </row>
    <row r="264" spans="1:7">
      <c r="A264" s="88">
        <f ca="1">(SUM(E265:E272)/(A261+7)+SUM(G265:G272))</f>
        <v>7205.1378052304863</v>
      </c>
      <c r="B264">
        <v>1400</v>
      </c>
      <c r="C264">
        <v>1400</v>
      </c>
      <c r="D264">
        <v>3</v>
      </c>
      <c r="E264">
        <v>3200</v>
      </c>
      <c r="F264" s="80">
        <v>44539</v>
      </c>
      <c r="G264">
        <f>IFERROR(IF((F264-F263)&gt;1,(LARGE(F264:$F264,1)-LARGE(F$259:$F264,2))-1,""),"")</f>
        <v>1</v>
      </c>
    </row>
    <row r="265" spans="1:7">
      <c r="A265" s="89">
        <f ca="1">AVERAGE(A263,A264)</f>
        <v>5726.8741379301155</v>
      </c>
      <c r="B265">
        <v>1399</v>
      </c>
      <c r="C265">
        <v>1399</v>
      </c>
      <c r="D265">
        <v>2</v>
      </c>
      <c r="E265">
        <v>1070</v>
      </c>
      <c r="F265" s="80">
        <v>44540</v>
      </c>
      <c r="G265" t="str">
        <f>IFERROR(IF((F265-F264)&gt;1,(LARGE(F265:$F265,1)-LARGE(F$259:$F265,2))-1,""),"")</f>
        <v/>
      </c>
    </row>
    <row r="266" spans="1:7">
      <c r="B266">
        <v>1399</v>
      </c>
      <c r="C266">
        <v>1399</v>
      </c>
      <c r="D266">
        <v>4</v>
      </c>
      <c r="E266">
        <v>6400</v>
      </c>
      <c r="F266" s="80">
        <v>44541</v>
      </c>
      <c r="G266" t="str">
        <f>IFERROR(IF((F266-F265)&gt;1,(LARGE(F266:$F266,1)-LARGE(F$259:$F266,2))-1,""),"")</f>
        <v/>
      </c>
    </row>
    <row r="267" spans="1:7">
      <c r="B267">
        <v>1399</v>
      </c>
      <c r="C267">
        <v>1399</v>
      </c>
      <c r="D267">
        <v>1</v>
      </c>
      <c r="E267">
        <v>600</v>
      </c>
      <c r="F267" s="80">
        <v>44542</v>
      </c>
      <c r="G267" t="str">
        <f>IFERROR(IF((F267-F266)&gt;1,(LARGE(F267:$F267,1)-LARGE(F$259:$F267,2))-1,""),"")</f>
        <v/>
      </c>
    </row>
    <row r="268" spans="1:7">
      <c r="B268">
        <v>1400</v>
      </c>
      <c r="C268">
        <v>1400</v>
      </c>
      <c r="D268">
        <v>5</v>
      </c>
      <c r="E268">
        <v>13486</v>
      </c>
      <c r="F268" s="80">
        <v>44543</v>
      </c>
      <c r="G268" t="str">
        <f>IFERROR(IF((F268-F267)&gt;1,(LARGE(F268:$F268,1)-LARGE(F$259:$F268,2))-1,""),"")</f>
        <v/>
      </c>
    </row>
    <row r="269" spans="1:7">
      <c r="B269">
        <v>1350</v>
      </c>
      <c r="C269">
        <v>1350</v>
      </c>
      <c r="D269">
        <v>2</v>
      </c>
      <c r="E269">
        <v>1100</v>
      </c>
      <c r="F269" s="80">
        <v>44544</v>
      </c>
      <c r="G269" t="str">
        <f>IFERROR(IF((F269-F268)&gt;1,(LARGE(F269:$F269,1)-LARGE(F$259:$F269,2))-1,""),"")</f>
        <v/>
      </c>
    </row>
    <row r="270" spans="1:7">
      <c r="B270">
        <v>1400</v>
      </c>
      <c r="C270">
        <v>1400</v>
      </c>
      <c r="D270">
        <v>3</v>
      </c>
      <c r="E270">
        <v>25900</v>
      </c>
      <c r="F270" s="80">
        <v>44546</v>
      </c>
      <c r="G270">
        <f>IFERROR(IF((F270-F269)&gt;1,(LARGE(F270:$F270,1)-LARGE(F$259:$F270,2))-1,""),"")</f>
        <v>1</v>
      </c>
    </row>
    <row r="271" spans="1:7">
      <c r="B271">
        <v>950</v>
      </c>
      <c r="C271">
        <v>950</v>
      </c>
      <c r="D271">
        <v>2</v>
      </c>
      <c r="E271">
        <v>1600</v>
      </c>
      <c r="F271" s="80">
        <v>44548</v>
      </c>
      <c r="G271">
        <f>IFERROR(IF((F271-F270)&gt;1,(LARGE(F271:$F271,1)-LARGE(F$259:$F271,2))-1,""),"")</f>
        <v>1</v>
      </c>
    </row>
    <row r="272" spans="1:7">
      <c r="B272">
        <v>949</v>
      </c>
      <c r="C272">
        <v>949</v>
      </c>
      <c r="D272">
        <v>3</v>
      </c>
      <c r="E272">
        <v>944</v>
      </c>
      <c r="F272" s="80">
        <v>44549</v>
      </c>
      <c r="G272" t="str">
        <f>IFERROR(IF((F272-F271)&gt;1,(LARGE(F272:$F272,1)-LARGE(F$259:$F272,2))-1,""),"")</f>
        <v/>
      </c>
    </row>
    <row r="273" spans="1:7">
      <c r="A273" s="75">
        <f>VLOOKUP(TradeSheet!A20,TypeIDs!B:C,2,FALSE)</f>
        <v>42838</v>
      </c>
      <c r="B273" t="s">
        <v>47021</v>
      </c>
      <c r="C273" t="s">
        <v>47022</v>
      </c>
      <c r="D273" t="s">
        <v>47023</v>
      </c>
      <c r="E273" t="s">
        <v>47024</v>
      </c>
      <c r="F273" t="s">
        <v>47035</v>
      </c>
      <c r="G273" t="s">
        <v>47034</v>
      </c>
    </row>
    <row r="274" spans="1:7">
      <c r="A274" s="75" t="str">
        <f>CONCATENATE(SwaggerURL,input019)</f>
        <v>https://esi.evetech.net/latest/markets/10000021/history/?datasource=tranquility&amp;type_id=42838</v>
      </c>
      <c r="B274">
        <v>1000</v>
      </c>
      <c r="C274">
        <v>1000</v>
      </c>
      <c r="D274">
        <v>1</v>
      </c>
      <c r="E274">
        <v>300</v>
      </c>
      <c r="F274" s="80">
        <v>44531</v>
      </c>
      <c r="G274" t="str">
        <f>IFERROR(IF((F274-F273)&gt;1,(LARGE(F274:$F274,1)-LARGE(F$274:$F274,2))-1,""),"")</f>
        <v/>
      </c>
    </row>
    <row r="275" spans="1:7">
      <c r="A275" s="91" t="s">
        <v>47045</v>
      </c>
      <c r="B275">
        <v>1000</v>
      </c>
      <c r="C275">
        <v>1000</v>
      </c>
      <c r="D275">
        <v>3</v>
      </c>
      <c r="E275">
        <v>1600</v>
      </c>
      <c r="F275" s="80">
        <v>44532</v>
      </c>
      <c r="G275" t="str">
        <f>IFERROR(IF((F275-F274)&gt;1,(LARGE(F275:$F275,1)-LARGE(F$274:$F275,2))-1,""),"")</f>
        <v/>
      </c>
    </row>
    <row r="276" spans="1:7">
      <c r="A276" s="90">
        <f ca="1">MAX(0,(CurrentDate-1)-F287)</f>
        <v>1.0941305555606959</v>
      </c>
      <c r="B276">
        <v>1000</v>
      </c>
      <c r="C276">
        <v>1000</v>
      </c>
      <c r="D276">
        <v>2</v>
      </c>
      <c r="E276">
        <v>1492</v>
      </c>
      <c r="F276" s="80">
        <v>44535</v>
      </c>
      <c r="G276">
        <f>IFERROR(IF((F276-F275)&gt;1,(LARGE(F276:$F276,1)-LARGE(F$274:$F276,2))-1,""),"")</f>
        <v>2</v>
      </c>
    </row>
    <row r="277" spans="1:7">
      <c r="A277" s="91" t="s">
        <v>47031</v>
      </c>
      <c r="B277">
        <v>1000</v>
      </c>
      <c r="C277">
        <v>1000</v>
      </c>
      <c r="D277">
        <v>2</v>
      </c>
      <c r="E277">
        <v>1300</v>
      </c>
      <c r="F277" s="80">
        <v>44536</v>
      </c>
      <c r="G277" t="str">
        <f>IFERROR(IF((F277-F276)&gt;1,(LARGE(F277:$F277,1)-LARGE(F$274:$F277,2))-1,""),"")</f>
        <v/>
      </c>
    </row>
    <row r="278" spans="1:7">
      <c r="A278" s="88">
        <f ca="1">(SUM(E274:E287)/(A276+14)+SUM(G274:G287))</f>
        <v>2252.0261367223575</v>
      </c>
      <c r="B278">
        <v>777</v>
      </c>
      <c r="C278">
        <v>777</v>
      </c>
      <c r="D278">
        <v>1</v>
      </c>
      <c r="E278">
        <v>600</v>
      </c>
      <c r="F278" s="80">
        <v>44537</v>
      </c>
      <c r="G278" t="str">
        <f>IFERROR(IF((F278-F277)&gt;1,(LARGE(F278:$F278,1)-LARGE(F$274:$F278,2))-1,""),"")</f>
        <v/>
      </c>
    </row>
    <row r="279" spans="1:7">
      <c r="A279" s="88">
        <f ca="1">(SUM(E280:E287)/(A276+7)+SUM(G280:G287))</f>
        <v>3429.1747668985304</v>
      </c>
      <c r="B279">
        <v>777</v>
      </c>
      <c r="C279">
        <v>777</v>
      </c>
      <c r="D279">
        <v>2</v>
      </c>
      <c r="E279">
        <v>900</v>
      </c>
      <c r="F279" s="80">
        <v>44538</v>
      </c>
      <c r="G279" t="str">
        <f>IFERROR(IF((F279-F278)&gt;1,(LARGE(F279:$F279,1)-LARGE(F$274:$F279,2))-1,""),"")</f>
        <v/>
      </c>
    </row>
    <row r="280" spans="1:7">
      <c r="A280" s="89">
        <f ca="1">AVERAGE(A278,A279)</f>
        <v>2840.6004518104437</v>
      </c>
      <c r="B280">
        <v>777</v>
      </c>
      <c r="C280">
        <v>777</v>
      </c>
      <c r="D280">
        <v>4</v>
      </c>
      <c r="E280">
        <v>801</v>
      </c>
      <c r="F280" s="80">
        <v>44539</v>
      </c>
      <c r="G280" t="str">
        <f>IFERROR(IF((F280-F279)&gt;1,(LARGE(F280:$F280,1)-LARGE(F$274:$F280,2))-1,""),"")</f>
        <v/>
      </c>
    </row>
    <row r="281" spans="1:7">
      <c r="B281">
        <v>999</v>
      </c>
      <c r="C281">
        <v>999</v>
      </c>
      <c r="D281">
        <v>2</v>
      </c>
      <c r="E281">
        <v>110</v>
      </c>
      <c r="F281" s="80">
        <v>44540</v>
      </c>
      <c r="G281" t="str">
        <f>IFERROR(IF((F281-F280)&gt;1,(LARGE(F281:$F281,1)-LARGE(F$274:$F281,2))-1,""),"")</f>
        <v/>
      </c>
    </row>
    <row r="282" spans="1:7">
      <c r="B282">
        <v>777</v>
      </c>
      <c r="C282">
        <v>777</v>
      </c>
      <c r="D282">
        <v>2</v>
      </c>
      <c r="E282">
        <v>1033</v>
      </c>
      <c r="F282" s="80">
        <v>44541</v>
      </c>
      <c r="G282" t="str">
        <f>IFERROR(IF((F282-F281)&gt;1,(LARGE(F282:$F282,1)-LARGE(F$274:$F282,2))-1,""),"")</f>
        <v/>
      </c>
    </row>
    <row r="283" spans="1:7">
      <c r="B283">
        <v>777</v>
      </c>
      <c r="C283">
        <v>777</v>
      </c>
      <c r="D283">
        <v>1</v>
      </c>
      <c r="E283">
        <v>600</v>
      </c>
      <c r="F283" s="80">
        <v>44542</v>
      </c>
      <c r="G283" t="str">
        <f>IFERROR(IF((F283-F282)&gt;1,(LARGE(F283:$F283,1)-LARGE(F$274:$F283,2))-1,""),"")</f>
        <v/>
      </c>
    </row>
    <row r="284" spans="1:7">
      <c r="B284">
        <v>775</v>
      </c>
      <c r="C284">
        <v>775</v>
      </c>
      <c r="D284">
        <v>1</v>
      </c>
      <c r="E284">
        <v>300</v>
      </c>
      <c r="F284" s="80">
        <v>44543</v>
      </c>
      <c r="G284" t="str">
        <f>IFERROR(IF((F284-F283)&gt;1,(LARGE(F284:$F284,1)-LARGE(F$274:$F284,2))-1,""),"")</f>
        <v/>
      </c>
    </row>
    <row r="285" spans="1:7">
      <c r="B285">
        <v>777</v>
      </c>
      <c r="C285">
        <v>777</v>
      </c>
      <c r="D285">
        <v>2</v>
      </c>
      <c r="E285">
        <v>2300</v>
      </c>
      <c r="F285" s="80">
        <v>44544</v>
      </c>
      <c r="G285" t="str">
        <f>IFERROR(IF((F285-F284)&gt;1,(LARGE(F285:$F285,1)-LARGE(F$274:$F285,2))-1,""),"")</f>
        <v/>
      </c>
    </row>
    <row r="286" spans="1:7">
      <c r="B286">
        <v>777</v>
      </c>
      <c r="C286">
        <v>777</v>
      </c>
      <c r="D286">
        <v>1</v>
      </c>
      <c r="E286">
        <v>20796</v>
      </c>
      <c r="F286" s="80">
        <v>44546</v>
      </c>
      <c r="G286">
        <f>IFERROR(IF((F286-F285)&gt;1,(LARGE(F286:$F286,1)-LARGE(F$274:$F286,2))-1,""),"")</f>
        <v>1</v>
      </c>
    </row>
    <row r="287" spans="1:7">
      <c r="B287">
        <v>777</v>
      </c>
      <c r="C287">
        <v>777</v>
      </c>
      <c r="D287">
        <v>4</v>
      </c>
      <c r="E287">
        <v>1800</v>
      </c>
      <c r="F287" s="80">
        <v>44548</v>
      </c>
      <c r="G287">
        <f>IFERROR(IF((F287-F286)&gt;1,(LARGE(F287:$F287,1)-LARGE(F$274:$F287,2))-1,""),"")</f>
        <v>1</v>
      </c>
    </row>
    <row r="288" spans="1:7">
      <c r="A288" s="75">
        <f>VLOOKUP(TradeSheet!A21,TypeIDs!B:C,2,FALSE)</f>
        <v>42839</v>
      </c>
      <c r="B288" t="s">
        <v>47021</v>
      </c>
      <c r="C288" t="s">
        <v>47022</v>
      </c>
      <c r="D288" t="s">
        <v>47023</v>
      </c>
      <c r="E288" t="s">
        <v>47024</v>
      </c>
      <c r="F288" t="s">
        <v>47035</v>
      </c>
      <c r="G288" t="s">
        <v>47034</v>
      </c>
    </row>
    <row r="289" spans="1:7">
      <c r="A289" s="75" t="str">
        <f>CONCATENATE(SwaggerURL,input020)</f>
        <v>https://esi.evetech.net/latest/markets/10000021/history/?datasource=tranquility&amp;type_id=42839</v>
      </c>
      <c r="B289">
        <v>1000</v>
      </c>
      <c r="C289">
        <v>1000</v>
      </c>
      <c r="D289">
        <v>2</v>
      </c>
      <c r="E289">
        <v>600</v>
      </c>
      <c r="F289" s="80">
        <v>44529</v>
      </c>
      <c r="G289" t="str">
        <f>IFERROR(IF((F289-F288)&gt;1,(LARGE(F289:$F289,1)-LARGE(F$289:$F289,2))-1,""),"")</f>
        <v/>
      </c>
    </row>
    <row r="290" spans="1:7">
      <c r="A290" s="3" t="s">
        <v>47031</v>
      </c>
      <c r="B290">
        <v>1000</v>
      </c>
      <c r="C290">
        <v>1000</v>
      </c>
      <c r="D290">
        <v>2</v>
      </c>
      <c r="E290">
        <v>617</v>
      </c>
      <c r="F290" s="80">
        <v>44530</v>
      </c>
      <c r="G290" t="str">
        <f>IFERROR(IF((F290-F289)&gt;1,(LARGE(F290:$F290,1)-LARGE(F$289:$F290,2))-1,""),"")</f>
        <v/>
      </c>
    </row>
    <row r="291" spans="1:7">
      <c r="A291" s="3" t="e">
        <f>AVERAGE(H289:H302)</f>
        <v>#DIV/0!</v>
      </c>
      <c r="B291">
        <v>1000</v>
      </c>
      <c r="C291">
        <v>1000</v>
      </c>
      <c r="D291">
        <v>5</v>
      </c>
      <c r="E291">
        <v>2895</v>
      </c>
      <c r="F291" s="80">
        <v>44531</v>
      </c>
      <c r="G291" t="str">
        <f>IFERROR(IF((F291-F290)&gt;1,(LARGE(F291:$F291,1)-LARGE(F$289:$F291,2))-1,""),"")</f>
        <v/>
      </c>
    </row>
    <row r="292" spans="1:7">
      <c r="A292" s="3">
        <f>AVERAGE(E289:E302)</f>
        <v>950.07142857142856</v>
      </c>
      <c r="B292">
        <v>1000</v>
      </c>
      <c r="C292">
        <v>1000</v>
      </c>
      <c r="D292">
        <v>3</v>
      </c>
      <c r="E292">
        <v>1600</v>
      </c>
      <c r="F292" s="80">
        <v>44532</v>
      </c>
      <c r="G292" t="str">
        <f>IFERROR(IF((F292-F291)&gt;1,(LARGE(F292:$F292,1)-LARGE(F$289:$F292,2))-1,""),"")</f>
        <v/>
      </c>
    </row>
    <row r="293" spans="1:7">
      <c r="A293" s="14" t="s">
        <v>47032</v>
      </c>
      <c r="B293">
        <v>1000</v>
      </c>
      <c r="C293">
        <v>1000</v>
      </c>
      <c r="D293">
        <v>3</v>
      </c>
      <c r="E293">
        <v>1800</v>
      </c>
      <c r="F293" s="80">
        <v>44535</v>
      </c>
      <c r="G293">
        <f>IFERROR(IF((F293-F292)&gt;1,(LARGE(F293:$F293,1)-LARGE(F$289:$F293,2))-1,""),"")</f>
        <v>2</v>
      </c>
    </row>
    <row r="294" spans="1:7">
      <c r="A294" s="14">
        <f>E302</f>
        <v>1800</v>
      </c>
      <c r="B294">
        <v>1000</v>
      </c>
      <c r="C294">
        <v>1000</v>
      </c>
      <c r="D294">
        <v>1</v>
      </c>
      <c r="E294">
        <v>300</v>
      </c>
      <c r="F294" s="80">
        <v>44537</v>
      </c>
      <c r="G294">
        <f>IFERROR(IF((F294-F293)&gt;1,(LARGE(F294:$F294,1)-LARGE(F$289:$F294,2))-1,""),"")</f>
        <v>1</v>
      </c>
    </row>
    <row r="295" spans="1:7">
      <c r="B295">
        <v>1000</v>
      </c>
      <c r="C295">
        <v>1000</v>
      </c>
      <c r="D295">
        <v>1</v>
      </c>
      <c r="E295">
        <v>300</v>
      </c>
      <c r="F295" s="80">
        <v>44538</v>
      </c>
      <c r="G295" t="str">
        <f>IFERROR(IF((F295-F294)&gt;1,(LARGE(F295:$F295,1)-LARGE(F$289:$F295,2))-1,""),"")</f>
        <v/>
      </c>
    </row>
    <row r="296" spans="1:7">
      <c r="B296">
        <v>1000</v>
      </c>
      <c r="C296">
        <v>1000</v>
      </c>
      <c r="D296">
        <v>4</v>
      </c>
      <c r="E296">
        <v>800</v>
      </c>
      <c r="F296" s="80">
        <v>44539</v>
      </c>
      <c r="G296" t="str">
        <f>IFERROR(IF((F296-F295)&gt;1,(LARGE(F296:$F296,1)-LARGE(F$289:$F296,2))-1,""),"")</f>
        <v/>
      </c>
    </row>
    <row r="297" spans="1:7">
      <c r="B297">
        <v>1000</v>
      </c>
      <c r="C297">
        <v>1000</v>
      </c>
      <c r="D297">
        <v>4</v>
      </c>
      <c r="E297">
        <v>490</v>
      </c>
      <c r="F297" s="80">
        <v>44540</v>
      </c>
      <c r="G297" t="str">
        <f>IFERROR(IF((F297-F296)&gt;1,(LARGE(F297:$F297,1)-LARGE(F$289:$F297,2))-1,""),"")</f>
        <v/>
      </c>
    </row>
    <row r="298" spans="1:7">
      <c r="B298">
        <v>1000</v>
      </c>
      <c r="C298">
        <v>1000</v>
      </c>
      <c r="D298">
        <v>2</v>
      </c>
      <c r="E298">
        <v>1033</v>
      </c>
      <c r="F298" s="80">
        <v>44541</v>
      </c>
      <c r="G298" t="str">
        <f>IFERROR(IF((F298-F297)&gt;1,(LARGE(F298:$F298,1)-LARGE(F$289:$F298,2))-1,""),"")</f>
        <v/>
      </c>
    </row>
    <row r="299" spans="1:7">
      <c r="B299">
        <v>900</v>
      </c>
      <c r="C299">
        <v>900</v>
      </c>
      <c r="D299">
        <v>1</v>
      </c>
      <c r="E299">
        <v>200</v>
      </c>
      <c r="F299" s="80">
        <v>44543</v>
      </c>
      <c r="G299">
        <f>IFERROR(IF((F299-F298)&gt;1,(LARGE(F299:$F299,1)-LARGE(F$289:$F299,2))-1,""),"")</f>
        <v>1</v>
      </c>
    </row>
    <row r="300" spans="1:7">
      <c r="B300">
        <v>1000</v>
      </c>
      <c r="C300">
        <v>1000</v>
      </c>
      <c r="D300">
        <v>3</v>
      </c>
      <c r="E300">
        <v>566</v>
      </c>
      <c r="F300" s="80">
        <v>44544</v>
      </c>
      <c r="G300" t="str">
        <f>IFERROR(IF((F300-F299)&gt;1,(LARGE(F300:$F300,1)-LARGE(F$289:$F300,2))-1,""),"")</f>
        <v/>
      </c>
    </row>
    <row r="301" spans="1:7">
      <c r="B301">
        <v>1000</v>
      </c>
      <c r="C301">
        <v>1000</v>
      </c>
      <c r="D301">
        <v>1</v>
      </c>
      <c r="E301">
        <v>300</v>
      </c>
      <c r="F301" s="80">
        <v>44547</v>
      </c>
      <c r="G301">
        <f>IFERROR(IF((F301-F300)&gt;1,(LARGE(F301:$F301,1)-LARGE(F$289:$F301,2))-1,""),"")</f>
        <v>2</v>
      </c>
    </row>
    <row r="302" spans="1:7">
      <c r="B302">
        <v>1000</v>
      </c>
      <c r="C302">
        <v>1000</v>
      </c>
      <c r="D302">
        <v>4</v>
      </c>
      <c r="E302">
        <v>1800</v>
      </c>
      <c r="F302" s="80">
        <v>44548</v>
      </c>
      <c r="G302" t="str">
        <f>IFERROR(IF((F302-F301)&gt;1,(LARGE(F302:$F302,1)-LARGE(F$289:$F302,2))-1,""),"")</f>
        <v/>
      </c>
    </row>
    <row r="303" spans="1:7">
      <c r="A303" s="75">
        <f>VLOOKUP(TradeSheet!A22,TypeIDs!B:C,2,FALSE)</f>
        <v>42840</v>
      </c>
      <c r="B303" t="s">
        <v>47021</v>
      </c>
      <c r="C303" t="s">
        <v>47022</v>
      </c>
      <c r="D303" t="s">
        <v>47023</v>
      </c>
      <c r="E303" t="s">
        <v>47024</v>
      </c>
      <c r="F303" t="s">
        <v>47035</v>
      </c>
      <c r="G303" t="s">
        <v>47034</v>
      </c>
    </row>
    <row r="304" spans="1:7">
      <c r="A304" s="75" t="str">
        <f>CONCATENATE(SwaggerURL,input021)</f>
        <v>https://esi.evetech.net/latest/markets/10000021/history/?datasource=tranquility&amp;type_id=42840</v>
      </c>
      <c r="B304">
        <v>1000</v>
      </c>
      <c r="C304">
        <v>1000</v>
      </c>
      <c r="D304">
        <v>2</v>
      </c>
      <c r="E304">
        <v>800</v>
      </c>
      <c r="F304" s="80">
        <v>44530</v>
      </c>
      <c r="G304" t="str">
        <f>IFERROR(IF((F304-F303)&gt;1,(LARGE(F304:$F304,1)-LARGE(F$304:$F304,2))-1,""),"")</f>
        <v/>
      </c>
    </row>
    <row r="305" spans="1:7">
      <c r="A305" s="3" t="s">
        <v>47031</v>
      </c>
      <c r="B305">
        <v>1000</v>
      </c>
      <c r="C305">
        <v>1000</v>
      </c>
      <c r="D305">
        <v>3</v>
      </c>
      <c r="E305">
        <v>1195</v>
      </c>
      <c r="F305" s="80">
        <v>44531</v>
      </c>
      <c r="G305" t="str">
        <f>IFERROR(IF((F305-F304)&gt;1,(LARGE(F305:$F305,1)-LARGE(F$304:$F305,2))-1,""),"")</f>
        <v/>
      </c>
    </row>
    <row r="306" spans="1:7">
      <c r="A306" s="3" t="e">
        <f>AVERAGE(H304:H317)</f>
        <v>#DIV/0!</v>
      </c>
      <c r="B306">
        <v>1000</v>
      </c>
      <c r="C306">
        <v>1000</v>
      </c>
      <c r="D306">
        <v>3</v>
      </c>
      <c r="E306">
        <v>1600</v>
      </c>
      <c r="F306" s="80">
        <v>44532</v>
      </c>
      <c r="G306" t="str">
        <f>IFERROR(IF((F306-F305)&gt;1,(LARGE(F306:$F306,1)-LARGE(F$304:$F306,2))-1,""),"")</f>
        <v/>
      </c>
    </row>
    <row r="307" spans="1:7">
      <c r="A307" s="3">
        <f>AVERAGE(E304:E317)</f>
        <v>1157.2142857142858</v>
      </c>
      <c r="B307">
        <v>1000</v>
      </c>
      <c r="C307">
        <v>1000</v>
      </c>
      <c r="D307">
        <v>3</v>
      </c>
      <c r="E307">
        <v>1300</v>
      </c>
      <c r="F307" s="80">
        <v>44535</v>
      </c>
      <c r="G307">
        <f>IFERROR(IF((F307-F306)&gt;1,(LARGE(F307:$F307,1)-LARGE(F$304:$F307,2))-1,""),"")</f>
        <v>2</v>
      </c>
    </row>
    <row r="308" spans="1:7">
      <c r="A308" s="14" t="s">
        <v>47032</v>
      </c>
      <c r="B308">
        <v>1000</v>
      </c>
      <c r="C308">
        <v>1000</v>
      </c>
      <c r="D308">
        <v>1</v>
      </c>
      <c r="E308">
        <v>600</v>
      </c>
      <c r="F308" s="80">
        <v>44536</v>
      </c>
      <c r="G308" t="str">
        <f>IFERROR(IF((F308-F307)&gt;1,(LARGE(F308:$F308,1)-LARGE(F$304:$F308,2))-1,""),"")</f>
        <v/>
      </c>
    </row>
    <row r="309" spans="1:7">
      <c r="A309" s="14">
        <f>E317</f>
        <v>1200</v>
      </c>
      <c r="B309">
        <v>1000</v>
      </c>
      <c r="C309">
        <v>1000</v>
      </c>
      <c r="D309">
        <v>1</v>
      </c>
      <c r="E309">
        <v>600</v>
      </c>
      <c r="F309" s="80">
        <v>44537</v>
      </c>
      <c r="G309" t="str">
        <f>IFERROR(IF((F309-F308)&gt;1,(LARGE(F309:$F309,1)-LARGE(F$304:$F309,2))-1,""),"")</f>
        <v/>
      </c>
    </row>
    <row r="310" spans="1:7">
      <c r="B310">
        <v>1000</v>
      </c>
      <c r="C310">
        <v>1000</v>
      </c>
      <c r="D310">
        <v>2</v>
      </c>
      <c r="E310">
        <v>900</v>
      </c>
      <c r="F310" s="80">
        <v>44538</v>
      </c>
      <c r="G310" t="str">
        <f>IFERROR(IF((F310-F309)&gt;1,(LARGE(F310:$F310,1)-LARGE(F$304:$F310,2))-1,""),"")</f>
        <v/>
      </c>
    </row>
    <row r="311" spans="1:7">
      <c r="B311">
        <v>1000</v>
      </c>
      <c r="C311">
        <v>1000</v>
      </c>
      <c r="D311">
        <v>6</v>
      </c>
      <c r="E311">
        <v>2392</v>
      </c>
      <c r="F311" s="80">
        <v>44539</v>
      </c>
      <c r="G311" t="str">
        <f>IFERROR(IF((F311-F310)&gt;1,(LARGE(F311:$F311,1)-LARGE(F$304:$F311,2))-1,""),"")</f>
        <v/>
      </c>
    </row>
    <row r="312" spans="1:7">
      <c r="B312">
        <v>1000</v>
      </c>
      <c r="C312">
        <v>1000</v>
      </c>
      <c r="D312">
        <v>3</v>
      </c>
      <c r="E312">
        <v>440</v>
      </c>
      <c r="F312" s="80">
        <v>44540</v>
      </c>
      <c r="G312" t="str">
        <f>IFERROR(IF((F312-F311)&gt;1,(LARGE(F312:$F312,1)-LARGE(F$304:$F312,2))-1,""),"")</f>
        <v/>
      </c>
    </row>
    <row r="313" spans="1:7">
      <c r="B313">
        <v>1000</v>
      </c>
      <c r="C313">
        <v>1000</v>
      </c>
      <c r="D313">
        <v>4</v>
      </c>
      <c r="E313">
        <v>3037</v>
      </c>
      <c r="F313" s="80">
        <v>44541</v>
      </c>
      <c r="G313" t="str">
        <f>IFERROR(IF((F313-F312)&gt;1,(LARGE(F313:$F313,1)-LARGE(F$304:$F313,2))-1,""),"")</f>
        <v/>
      </c>
    </row>
    <row r="314" spans="1:7">
      <c r="B314">
        <v>1485</v>
      </c>
      <c r="C314">
        <v>1485</v>
      </c>
      <c r="D314">
        <v>2</v>
      </c>
      <c r="E314">
        <v>500</v>
      </c>
      <c r="F314" s="80">
        <v>44543</v>
      </c>
      <c r="G314">
        <f>IFERROR(IF((F314-F313)&gt;1,(LARGE(F314:$F314,1)-LARGE(F$304:$F314,2))-1,""),"")</f>
        <v>1</v>
      </c>
    </row>
    <row r="315" spans="1:7">
      <c r="B315">
        <v>1485</v>
      </c>
      <c r="C315">
        <v>1485</v>
      </c>
      <c r="D315">
        <v>3</v>
      </c>
      <c r="E315">
        <v>637</v>
      </c>
      <c r="F315" s="80">
        <v>44544</v>
      </c>
      <c r="G315" t="str">
        <f>IFERROR(IF((F315-F314)&gt;1,(LARGE(F315:$F315,1)-LARGE(F$304:$F315,2))-1,""),"")</f>
        <v/>
      </c>
    </row>
    <row r="316" spans="1:7">
      <c r="B316">
        <v>700</v>
      </c>
      <c r="C316">
        <v>700</v>
      </c>
      <c r="D316">
        <v>3</v>
      </c>
      <c r="E316">
        <v>1000</v>
      </c>
      <c r="F316" s="80">
        <v>44547</v>
      </c>
      <c r="G316">
        <f>IFERROR(IF((F316-F315)&gt;1,(LARGE(F316:$F316,1)-LARGE(F$304:$F316,2))-1,""),"")</f>
        <v>2</v>
      </c>
    </row>
    <row r="317" spans="1:7">
      <c r="B317">
        <v>699</v>
      </c>
      <c r="C317">
        <v>699</v>
      </c>
      <c r="D317">
        <v>3</v>
      </c>
      <c r="E317">
        <v>1200</v>
      </c>
      <c r="F317" s="80">
        <v>44548</v>
      </c>
      <c r="G317" t="str">
        <f>IFERROR(IF((F317-F316)&gt;1,(LARGE(F317:$F317,1)-LARGE(F$304:$F317,2))-1,""),"")</f>
        <v/>
      </c>
    </row>
    <row r="318" spans="1:7">
      <c r="A318" s="75">
        <f>VLOOKUP(TradeSheet!A23,TypeIDs!B:C,2,FALSE)</f>
        <v>47931</v>
      </c>
      <c r="B318" t="s">
        <v>47021</v>
      </c>
      <c r="C318" t="s">
        <v>47022</v>
      </c>
      <c r="D318" t="s">
        <v>47023</v>
      </c>
      <c r="E318" t="s">
        <v>47024</v>
      </c>
      <c r="F318" t="s">
        <v>47035</v>
      </c>
      <c r="G318" t="s">
        <v>47034</v>
      </c>
    </row>
    <row r="319" spans="1:7">
      <c r="A319" s="75" t="str">
        <f>CONCATENATE(SwaggerURL,input022)</f>
        <v>https://esi.evetech.net/latest/markets/10000021/history/?datasource=tranquility&amp;type_id=47931</v>
      </c>
      <c r="B319">
        <v>2500</v>
      </c>
      <c r="C319">
        <v>2500</v>
      </c>
      <c r="D319">
        <v>2</v>
      </c>
      <c r="E319">
        <v>5298</v>
      </c>
      <c r="F319" s="80">
        <v>44523</v>
      </c>
      <c r="G319" t="str">
        <f>IFERROR(IF((F319-F318)&gt;1,(LARGE(F319:$F319,1)-LARGE(F$319:$F319,2))-1,""),"")</f>
        <v/>
      </c>
    </row>
    <row r="320" spans="1:7">
      <c r="A320" s="3" t="s">
        <v>47031</v>
      </c>
      <c r="B320">
        <v>2500</v>
      </c>
      <c r="C320">
        <v>2500</v>
      </c>
      <c r="D320">
        <v>2</v>
      </c>
      <c r="E320">
        <v>2512</v>
      </c>
      <c r="F320" s="80">
        <v>44525</v>
      </c>
      <c r="G320">
        <f>IFERROR(IF((F320-F319)&gt;1,(LARGE(F320:$F320,1)-LARGE(F$319:$F320,2))-1,""),"")</f>
        <v>1</v>
      </c>
    </row>
    <row r="321" spans="1:7">
      <c r="A321" s="3" t="e">
        <f>AVERAGE(H319:H332)</f>
        <v>#DIV/0!</v>
      </c>
      <c r="B321">
        <v>2500</v>
      </c>
      <c r="C321">
        <v>2500</v>
      </c>
      <c r="D321">
        <v>1</v>
      </c>
      <c r="E321">
        <v>2500</v>
      </c>
      <c r="F321" s="80">
        <v>44526</v>
      </c>
      <c r="G321" t="str">
        <f>IFERROR(IF((F321-F320)&gt;1,(LARGE(F321:$F321,1)-LARGE(F$319:$F321,2))-1,""),"")</f>
        <v/>
      </c>
    </row>
    <row r="322" spans="1:7">
      <c r="A322" s="3">
        <f>AVERAGE(E319:E332)</f>
        <v>2736.4285714285716</v>
      </c>
      <c r="B322">
        <v>2500</v>
      </c>
      <c r="C322">
        <v>2500</v>
      </c>
      <c r="D322">
        <v>2</v>
      </c>
      <c r="E322">
        <v>3500</v>
      </c>
      <c r="F322" s="80">
        <v>44527</v>
      </c>
      <c r="G322" t="str">
        <f>IFERROR(IF((F322-F321)&gt;1,(LARGE(F322:$F322,1)-LARGE(F$319:$F322,2))-1,""),"")</f>
        <v/>
      </c>
    </row>
    <row r="323" spans="1:7">
      <c r="A323" s="14" t="s">
        <v>47032</v>
      </c>
      <c r="B323">
        <v>2500</v>
      </c>
      <c r="C323">
        <v>2500</v>
      </c>
      <c r="D323">
        <v>3</v>
      </c>
      <c r="E323">
        <v>3000</v>
      </c>
      <c r="F323" s="80">
        <v>44528</v>
      </c>
      <c r="G323" t="str">
        <f>IFERROR(IF((F323-F322)&gt;1,(LARGE(F323:$F323,1)-LARGE(F$319:$F323,2))-1,""),"")</f>
        <v/>
      </c>
    </row>
    <row r="324" spans="1:7">
      <c r="A324" s="14">
        <f>E332</f>
        <v>500</v>
      </c>
      <c r="B324">
        <v>3836</v>
      </c>
      <c r="C324">
        <v>3836</v>
      </c>
      <c r="D324">
        <v>3</v>
      </c>
      <c r="E324">
        <v>4000</v>
      </c>
      <c r="F324" s="80">
        <v>44529</v>
      </c>
      <c r="G324" t="str">
        <f>IFERROR(IF((F324-F323)&gt;1,(LARGE(F324:$F324,1)-LARGE(F$319:$F324,2))-1,""),"")</f>
        <v/>
      </c>
    </row>
    <row r="325" spans="1:7">
      <c r="B325">
        <v>1830</v>
      </c>
      <c r="C325">
        <v>1830</v>
      </c>
      <c r="D325">
        <v>1</v>
      </c>
      <c r="E325">
        <v>1000</v>
      </c>
      <c r="F325" s="80">
        <v>44531</v>
      </c>
      <c r="G325">
        <f>IFERROR(IF((F325-F324)&gt;1,(LARGE(F325:$F325,1)-LARGE(F$319:$F325,2))-1,""),"")</f>
        <v>1</v>
      </c>
    </row>
    <row r="326" spans="1:7">
      <c r="B326">
        <v>1820</v>
      </c>
      <c r="C326">
        <v>1820</v>
      </c>
      <c r="D326">
        <v>5</v>
      </c>
      <c r="E326">
        <v>7000</v>
      </c>
      <c r="F326" s="80">
        <v>44532</v>
      </c>
      <c r="G326" t="str">
        <f>IFERROR(IF((F326-F325)&gt;1,(LARGE(F326:$F326,1)-LARGE(F$319:$F326,2))-1,""),"")</f>
        <v/>
      </c>
    </row>
    <row r="327" spans="1:7">
      <c r="B327">
        <v>3830</v>
      </c>
      <c r="C327">
        <v>3830</v>
      </c>
      <c r="D327">
        <v>1</v>
      </c>
      <c r="E327">
        <v>1500</v>
      </c>
      <c r="F327" s="80">
        <v>44534</v>
      </c>
      <c r="G327">
        <f>IFERROR(IF((F327-F326)&gt;1,(LARGE(F327:$F327,1)-LARGE(F$319:$F327,2))-1,""),"")</f>
        <v>1</v>
      </c>
    </row>
    <row r="328" spans="1:7">
      <c r="B328">
        <v>3830</v>
      </c>
      <c r="C328">
        <v>3830</v>
      </c>
      <c r="D328">
        <v>1</v>
      </c>
      <c r="E328">
        <v>500</v>
      </c>
      <c r="F328" s="80">
        <v>44535</v>
      </c>
      <c r="G328" t="str">
        <f>IFERROR(IF((F328-F327)&gt;1,(LARGE(F328:$F328,1)-LARGE(F$319:$F328,2))-1,""),"")</f>
        <v/>
      </c>
    </row>
    <row r="329" spans="1:7">
      <c r="B329">
        <v>3863</v>
      </c>
      <c r="C329">
        <v>3863</v>
      </c>
      <c r="D329">
        <v>1</v>
      </c>
      <c r="E329">
        <v>2000</v>
      </c>
      <c r="F329" s="80">
        <v>44538</v>
      </c>
      <c r="G329">
        <f>IFERROR(IF((F329-F328)&gt;1,(LARGE(F329:$F329,1)-LARGE(F$319:$F329,2))-1,""),"")</f>
        <v>2</v>
      </c>
    </row>
    <row r="330" spans="1:7">
      <c r="B330">
        <v>3830</v>
      </c>
      <c r="C330">
        <v>3830</v>
      </c>
      <c r="D330">
        <v>1</v>
      </c>
      <c r="E330">
        <v>500</v>
      </c>
      <c r="F330" s="80">
        <v>44539</v>
      </c>
      <c r="G330" t="str">
        <f>IFERROR(IF((F330-F329)&gt;1,(LARGE(F330:$F330,1)-LARGE(F$319:$F330,2))-1,""),"")</f>
        <v/>
      </c>
    </row>
    <row r="331" spans="1:7">
      <c r="B331">
        <v>3828</v>
      </c>
      <c r="C331">
        <v>3828</v>
      </c>
      <c r="D331">
        <v>3</v>
      </c>
      <c r="E331">
        <v>4500</v>
      </c>
      <c r="F331" s="80">
        <v>44541</v>
      </c>
      <c r="G331">
        <f>IFERROR(IF((F331-F330)&gt;1,(LARGE(F331:$F331,1)-LARGE(F$319:$F331,2))-1,""),"")</f>
        <v>1</v>
      </c>
    </row>
    <row r="332" spans="1:7">
      <c r="B332">
        <v>3825</v>
      </c>
      <c r="C332">
        <v>3825</v>
      </c>
      <c r="D332">
        <v>1</v>
      </c>
      <c r="E332">
        <v>500</v>
      </c>
      <c r="F332" s="80">
        <v>44546</v>
      </c>
      <c r="G332">
        <f>IFERROR(IF((F332-F331)&gt;1,(LARGE(F332:$F332,1)-LARGE(F$319:$F332,2))-1,""),"")</f>
        <v>4</v>
      </c>
    </row>
    <row r="333" spans="1:7">
      <c r="A333" s="75">
        <f>VLOOKUP(TradeSheet!A24,TypeIDs!B:C,2,FALSE)</f>
        <v>47930</v>
      </c>
      <c r="B333" t="s">
        <v>47021</v>
      </c>
      <c r="C333" t="s">
        <v>47022</v>
      </c>
      <c r="D333" t="s">
        <v>47023</v>
      </c>
      <c r="E333" t="s">
        <v>47024</v>
      </c>
      <c r="F333" t="s">
        <v>47035</v>
      </c>
      <c r="G333" t="s">
        <v>47034</v>
      </c>
    </row>
    <row r="334" spans="1:7">
      <c r="A334" s="75" t="str">
        <f>CONCATENATE(SwaggerURL,input023)</f>
        <v>https://esi.evetech.net/latest/markets/10000021/history/?datasource=tranquility&amp;type_id=47930</v>
      </c>
      <c r="B334">
        <v>3314</v>
      </c>
      <c r="C334">
        <v>3314</v>
      </c>
      <c r="D334">
        <v>1</v>
      </c>
      <c r="E334">
        <v>2500</v>
      </c>
      <c r="F334" s="80">
        <v>44525</v>
      </c>
      <c r="G334" t="str">
        <f>IFERROR(IF((F334-F333)&gt;1,(LARGE(F334:$F334,1)-LARGE(F$334:$F334,2))-1,""),"")</f>
        <v/>
      </c>
    </row>
    <row r="335" spans="1:7">
      <c r="A335" s="3" t="s">
        <v>47031</v>
      </c>
      <c r="B335">
        <v>3314</v>
      </c>
      <c r="C335">
        <v>3314</v>
      </c>
      <c r="D335">
        <v>1</v>
      </c>
      <c r="E335">
        <v>2500</v>
      </c>
      <c r="F335" s="80">
        <v>44526</v>
      </c>
      <c r="G335" t="str">
        <f>IFERROR(IF((F335-F334)&gt;1,(LARGE(F335:$F335,1)-LARGE(F$334:$F335,2))-1,""),"")</f>
        <v/>
      </c>
    </row>
    <row r="336" spans="1:7">
      <c r="A336" s="3" t="e">
        <f>AVERAGE(H334:H347)</f>
        <v>#DIV/0!</v>
      </c>
      <c r="B336">
        <v>3314</v>
      </c>
      <c r="C336">
        <v>3314</v>
      </c>
      <c r="D336">
        <v>2</v>
      </c>
      <c r="E336">
        <v>3500</v>
      </c>
      <c r="F336" s="80">
        <v>44527</v>
      </c>
      <c r="G336" t="str">
        <f>IFERROR(IF((F336-F335)&gt;1,(LARGE(F336:$F336,1)-LARGE(F$334:$F336,2))-1,""),"")</f>
        <v/>
      </c>
    </row>
    <row r="337" spans="1:7">
      <c r="A337" s="3">
        <f>AVERAGE(E334:E347)</f>
        <v>3317.0714285714284</v>
      </c>
      <c r="B337">
        <v>3314</v>
      </c>
      <c r="C337">
        <v>3314</v>
      </c>
      <c r="D337">
        <v>1</v>
      </c>
      <c r="E337">
        <v>2000</v>
      </c>
      <c r="F337" s="80">
        <v>44528</v>
      </c>
      <c r="G337" t="str">
        <f>IFERROR(IF((F337-F336)&gt;1,(LARGE(F337:$F337,1)-LARGE(F$334:$F337,2))-1,""),"")</f>
        <v/>
      </c>
    </row>
    <row r="338" spans="1:7">
      <c r="A338" s="14" t="s">
        <v>47032</v>
      </c>
      <c r="B338">
        <v>3314</v>
      </c>
      <c r="C338">
        <v>3314</v>
      </c>
      <c r="D338">
        <v>1</v>
      </c>
      <c r="E338">
        <v>1000</v>
      </c>
      <c r="F338" s="80">
        <v>44529</v>
      </c>
      <c r="G338" t="str">
        <f>IFERROR(IF((F338-F337)&gt;1,(LARGE(F338:$F338,1)-LARGE(F$334:$F338,2))-1,""),"")</f>
        <v/>
      </c>
    </row>
    <row r="339" spans="1:7">
      <c r="A339" s="14">
        <f>E347</f>
        <v>8500</v>
      </c>
      <c r="B339">
        <v>3300</v>
      </c>
      <c r="C339">
        <v>3300</v>
      </c>
      <c r="D339">
        <v>1</v>
      </c>
      <c r="E339">
        <v>500</v>
      </c>
      <c r="F339" s="80">
        <v>44531</v>
      </c>
      <c r="G339">
        <f>IFERROR(IF((F339-F338)&gt;1,(LARGE(F339:$F339,1)-LARGE(F$334:$F339,2))-1,""),"")</f>
        <v>1</v>
      </c>
    </row>
    <row r="340" spans="1:7">
      <c r="B340">
        <v>3289</v>
      </c>
      <c r="C340">
        <v>3289</v>
      </c>
      <c r="D340">
        <v>3</v>
      </c>
      <c r="E340">
        <v>6500</v>
      </c>
      <c r="F340" s="80">
        <v>44532</v>
      </c>
      <c r="G340" t="str">
        <f>IFERROR(IF((F340-F339)&gt;1,(LARGE(F340:$F340,1)-LARGE(F$334:$F340,2))-1,""),"")</f>
        <v/>
      </c>
    </row>
    <row r="341" spans="1:7">
      <c r="B341">
        <v>3284</v>
      </c>
      <c r="C341">
        <v>3284</v>
      </c>
      <c r="D341">
        <v>1</v>
      </c>
      <c r="E341">
        <v>1500</v>
      </c>
      <c r="F341" s="80">
        <v>44534</v>
      </c>
      <c r="G341">
        <f>IFERROR(IF((F341-F340)&gt;1,(LARGE(F341:$F341,1)-LARGE(F$334:$F341,2))-1,""),"")</f>
        <v>1</v>
      </c>
    </row>
    <row r="342" spans="1:7">
      <c r="B342">
        <v>3181</v>
      </c>
      <c r="C342">
        <v>3181</v>
      </c>
      <c r="D342">
        <v>1</v>
      </c>
      <c r="E342">
        <v>500</v>
      </c>
      <c r="F342" s="80">
        <v>44535</v>
      </c>
      <c r="G342" t="str">
        <f>IFERROR(IF((F342-F341)&gt;1,(LARGE(F342:$F342,1)-LARGE(F$334:$F342,2))-1,""),"")</f>
        <v/>
      </c>
    </row>
    <row r="343" spans="1:7">
      <c r="B343">
        <v>3098</v>
      </c>
      <c r="C343">
        <v>3098</v>
      </c>
      <c r="D343">
        <v>2</v>
      </c>
      <c r="E343">
        <v>2000</v>
      </c>
      <c r="F343" s="80">
        <v>44538</v>
      </c>
      <c r="G343">
        <f>IFERROR(IF((F343-F342)&gt;1,(LARGE(F343:$F343,1)-LARGE(F$334:$F343,2))-1,""),"")</f>
        <v>2</v>
      </c>
    </row>
    <row r="344" spans="1:7">
      <c r="B344">
        <v>2999</v>
      </c>
      <c r="C344">
        <v>2999</v>
      </c>
      <c r="D344">
        <v>2</v>
      </c>
      <c r="E344">
        <v>2500</v>
      </c>
      <c r="F344" s="80">
        <v>44540</v>
      </c>
      <c r="G344">
        <f>IFERROR(IF((F344-F343)&gt;1,(LARGE(F344:$F344,1)-LARGE(F$334:$F344,2))-1,""),"")</f>
        <v>1</v>
      </c>
    </row>
    <row r="345" spans="1:7">
      <c r="B345">
        <v>2947</v>
      </c>
      <c r="C345">
        <v>2947</v>
      </c>
      <c r="D345">
        <v>3</v>
      </c>
      <c r="E345">
        <v>3844</v>
      </c>
      <c r="F345" s="80">
        <v>44541</v>
      </c>
      <c r="G345" t="str">
        <f>IFERROR(IF((F345-F344)&gt;1,(LARGE(F345:$F345,1)-LARGE(F$334:$F345,2))-1,""),"")</f>
        <v/>
      </c>
    </row>
    <row r="346" spans="1:7">
      <c r="B346">
        <v>2800</v>
      </c>
      <c r="C346">
        <v>2800</v>
      </c>
      <c r="D346">
        <v>2</v>
      </c>
      <c r="E346">
        <v>9095</v>
      </c>
      <c r="F346" s="80">
        <v>44546</v>
      </c>
      <c r="G346">
        <f>IFERROR(IF((F346-F345)&gt;1,(LARGE(F346:$F346,1)-LARGE(F$334:$F346,2))-1,""),"")</f>
        <v>4</v>
      </c>
    </row>
    <row r="347" spans="1:7">
      <c r="B347">
        <v>2800</v>
      </c>
      <c r="C347">
        <v>2800</v>
      </c>
      <c r="D347">
        <v>2</v>
      </c>
      <c r="E347">
        <v>8500</v>
      </c>
      <c r="F347" s="80">
        <v>44549</v>
      </c>
      <c r="G347">
        <f>IFERROR(IF((F347-F346)&gt;1,(LARGE(F347:$F347,1)-LARGE(F$334:$F347,2))-1,""),"")</f>
        <v>2</v>
      </c>
    </row>
    <row r="348" spans="1:7">
      <c r="A348" s="75">
        <f>VLOOKUP(TradeSheet!A25,TypeIDs!B:C,2,FALSE)</f>
        <v>47927</v>
      </c>
      <c r="B348" t="s">
        <v>47021</v>
      </c>
      <c r="C348" t="s">
        <v>47022</v>
      </c>
      <c r="D348" t="s">
        <v>47023</v>
      </c>
      <c r="E348" t="s">
        <v>47024</v>
      </c>
      <c r="F348" t="s">
        <v>47035</v>
      </c>
      <c r="G348" t="s">
        <v>47034</v>
      </c>
    </row>
    <row r="349" spans="1:7">
      <c r="A349" s="75" t="str">
        <f>CONCATENATE(SwaggerURL,input024)</f>
        <v>https://esi.evetech.net/latest/markets/10000021/history/?datasource=tranquility&amp;type_id=47927</v>
      </c>
      <c r="B349">
        <v>1326</v>
      </c>
      <c r="C349">
        <v>1326</v>
      </c>
      <c r="D349">
        <v>3</v>
      </c>
      <c r="E349">
        <v>10000</v>
      </c>
      <c r="F349" s="80">
        <v>44523</v>
      </c>
      <c r="G349" t="str">
        <f>IFERROR(IF((F349-F348)&gt;1,(LARGE(F349:$F349,1)-LARGE(F$349:$F349,2))-1,""),"")</f>
        <v/>
      </c>
    </row>
    <row r="350" spans="1:7">
      <c r="A350" s="3" t="s">
        <v>47031</v>
      </c>
      <c r="B350">
        <v>1326</v>
      </c>
      <c r="C350">
        <v>1326</v>
      </c>
      <c r="D350">
        <v>5</v>
      </c>
      <c r="E350">
        <v>7496</v>
      </c>
      <c r="F350" s="80">
        <v>44525</v>
      </c>
      <c r="G350">
        <f>IFERROR(IF((F350-F349)&gt;1,(LARGE(F350:$F350,1)-LARGE(F$349:$F350,2))-1,""),"")</f>
        <v>1</v>
      </c>
    </row>
    <row r="351" spans="1:7">
      <c r="A351" s="3" t="e">
        <f>AVERAGE(H349:H362)</f>
        <v>#DIV/0!</v>
      </c>
      <c r="B351">
        <v>1320</v>
      </c>
      <c r="C351">
        <v>1320</v>
      </c>
      <c r="D351">
        <v>1</v>
      </c>
      <c r="E351">
        <v>5000</v>
      </c>
      <c r="F351" s="80">
        <v>44526</v>
      </c>
      <c r="G351" t="str">
        <f>IFERROR(IF((F351-F350)&gt;1,(LARGE(F351:$F351,1)-LARGE(F$349:$F351,2))-1,""),"")</f>
        <v/>
      </c>
    </row>
    <row r="352" spans="1:7">
      <c r="A352" s="3">
        <f>AVERAGE(E349:E362)</f>
        <v>4476.5</v>
      </c>
      <c r="B352">
        <v>1326</v>
      </c>
      <c r="C352">
        <v>1326</v>
      </c>
      <c r="D352">
        <v>3</v>
      </c>
      <c r="E352">
        <v>2987</v>
      </c>
      <c r="F352" s="80">
        <v>44527</v>
      </c>
      <c r="G352" t="str">
        <f>IFERROR(IF((F352-F351)&gt;1,(LARGE(F352:$F352,1)-LARGE(F$349:$F352,2))-1,""),"")</f>
        <v/>
      </c>
    </row>
    <row r="353" spans="1:7">
      <c r="A353" s="14" t="s">
        <v>47032</v>
      </c>
      <c r="B353">
        <v>1326</v>
      </c>
      <c r="C353">
        <v>1326</v>
      </c>
      <c r="D353">
        <v>2</v>
      </c>
      <c r="E353">
        <v>5000</v>
      </c>
      <c r="F353" s="80">
        <v>44530</v>
      </c>
      <c r="G353">
        <f>IFERROR(IF((F353-F352)&gt;1,(LARGE(F353:$F353,1)-LARGE(F$349:$F353,2))-1,""),"")</f>
        <v>2</v>
      </c>
    </row>
    <row r="354" spans="1:7">
      <c r="A354" s="14">
        <f>E362</f>
        <v>2964</v>
      </c>
      <c r="B354">
        <v>1326</v>
      </c>
      <c r="C354">
        <v>1326</v>
      </c>
      <c r="D354">
        <v>2</v>
      </c>
      <c r="E354">
        <v>5000</v>
      </c>
      <c r="F354" s="80">
        <v>44532</v>
      </c>
      <c r="G354">
        <f>IFERROR(IF((F354-F353)&gt;1,(LARGE(F354:$F354,1)-LARGE(F$349:$F354,2))-1,""),"")</f>
        <v>1</v>
      </c>
    </row>
    <row r="355" spans="1:7">
      <c r="B355">
        <v>1326</v>
      </c>
      <c r="C355">
        <v>1326</v>
      </c>
      <c r="D355">
        <v>2</v>
      </c>
      <c r="E355">
        <v>1250</v>
      </c>
      <c r="F355" s="80">
        <v>44533</v>
      </c>
      <c r="G355" t="str">
        <f>IFERROR(IF((F355-F354)&gt;1,(LARGE(F355:$F355,1)-LARGE(F$349:$F355,2))-1,""),"")</f>
        <v/>
      </c>
    </row>
    <row r="356" spans="1:7">
      <c r="B356">
        <v>1326</v>
      </c>
      <c r="C356">
        <v>1326</v>
      </c>
      <c r="D356">
        <v>2</v>
      </c>
      <c r="E356">
        <v>6500</v>
      </c>
      <c r="F356" s="80">
        <v>44534</v>
      </c>
      <c r="G356" t="str">
        <f>IFERROR(IF((F356-F355)&gt;1,(LARGE(F356:$F356,1)-LARGE(F$349:$F356,2))-1,""),"")</f>
        <v/>
      </c>
    </row>
    <row r="357" spans="1:7">
      <c r="B357">
        <v>1326</v>
      </c>
      <c r="C357">
        <v>1326</v>
      </c>
      <c r="D357">
        <v>2</v>
      </c>
      <c r="E357">
        <v>1000</v>
      </c>
      <c r="F357" s="80">
        <v>44535</v>
      </c>
      <c r="G357" t="str">
        <f>IFERROR(IF((F357-F356)&gt;1,(LARGE(F357:$F357,1)-LARGE(F$349:$F357,2))-1,""),"")</f>
        <v/>
      </c>
    </row>
    <row r="358" spans="1:7">
      <c r="B358">
        <v>1326</v>
      </c>
      <c r="C358">
        <v>1326</v>
      </c>
      <c r="D358">
        <v>4</v>
      </c>
      <c r="E358">
        <v>7474</v>
      </c>
      <c r="F358" s="80">
        <v>44536</v>
      </c>
      <c r="G358" t="str">
        <f>IFERROR(IF((F358-F357)&gt;1,(LARGE(F358:$F358,1)-LARGE(F$349:$F358,2))-1,""),"")</f>
        <v/>
      </c>
    </row>
    <row r="359" spans="1:7">
      <c r="B359">
        <v>1326</v>
      </c>
      <c r="C359">
        <v>1326</v>
      </c>
      <c r="D359">
        <v>1</v>
      </c>
      <c r="E359">
        <v>1000</v>
      </c>
      <c r="F359" s="80">
        <v>44541</v>
      </c>
      <c r="G359">
        <f>IFERROR(IF((F359-F358)&gt;1,(LARGE(F359:$F359,1)-LARGE(F$349:$F359,2))-1,""),"")</f>
        <v>4</v>
      </c>
    </row>
    <row r="360" spans="1:7">
      <c r="B360">
        <v>1325.5</v>
      </c>
      <c r="C360">
        <v>1325</v>
      </c>
      <c r="D360">
        <v>2</v>
      </c>
      <c r="E360">
        <v>2000</v>
      </c>
      <c r="F360" s="80">
        <v>44543</v>
      </c>
      <c r="G360">
        <f>IFERROR(IF((F360-F359)&gt;1,(LARGE(F360:$F360,1)-LARGE(F$349:$F360,2))-1,""),"")</f>
        <v>1</v>
      </c>
    </row>
    <row r="361" spans="1:7">
      <c r="B361">
        <v>1326</v>
      </c>
      <c r="C361">
        <v>1326</v>
      </c>
      <c r="D361">
        <v>1</v>
      </c>
      <c r="E361">
        <v>5000</v>
      </c>
      <c r="F361" s="80">
        <v>44544</v>
      </c>
      <c r="G361" t="str">
        <f>IFERROR(IF((F361-F360)&gt;1,(LARGE(F361:$F361,1)-LARGE(F$349:$F361,2))-1,""),"")</f>
        <v/>
      </c>
    </row>
    <row r="362" spans="1:7">
      <c r="B362">
        <v>1250</v>
      </c>
      <c r="C362">
        <v>1250</v>
      </c>
      <c r="D362">
        <v>1</v>
      </c>
      <c r="E362">
        <v>2964</v>
      </c>
      <c r="F362" s="80">
        <v>44545</v>
      </c>
      <c r="G362" t="str">
        <f>IFERROR(IF((F362-F361)&gt;1,(LARGE(F362:$F362,1)-LARGE(F$349:$F362,2))-1,""),"")</f>
        <v/>
      </c>
    </row>
    <row r="363" spans="1:7">
      <c r="A363" s="75">
        <f>VLOOKUP(TradeSheet!A26,TypeIDs!B:C,2,FALSE)</f>
        <v>47926</v>
      </c>
      <c r="B363" t="s">
        <v>47021</v>
      </c>
      <c r="C363" t="s">
        <v>47022</v>
      </c>
      <c r="D363" t="s">
        <v>47023</v>
      </c>
      <c r="E363" t="s">
        <v>47024</v>
      </c>
      <c r="F363" t="s">
        <v>47035</v>
      </c>
      <c r="G363" t="s">
        <v>47034</v>
      </c>
    </row>
    <row r="364" spans="1:7">
      <c r="A364" s="75" t="str">
        <f>CONCATENATE(SwaggerURL,input025)</f>
        <v>https://esi.evetech.net/latest/markets/10000021/history/?datasource=tranquility&amp;type_id=47926</v>
      </c>
      <c r="B364">
        <v>1394</v>
      </c>
      <c r="C364">
        <v>1394</v>
      </c>
      <c r="D364">
        <v>3</v>
      </c>
      <c r="E364">
        <v>7000</v>
      </c>
      <c r="F364" s="80">
        <v>44524</v>
      </c>
      <c r="G364" t="str">
        <f>IFERROR(IF((F364-F363)&gt;1,(LARGE(F364:$F364,1)-LARGE(F$364:$F364,2))-1,""),"")</f>
        <v/>
      </c>
    </row>
    <row r="365" spans="1:7">
      <c r="A365" s="3" t="s">
        <v>47031</v>
      </c>
      <c r="B365">
        <v>1394</v>
      </c>
      <c r="C365">
        <v>1394</v>
      </c>
      <c r="D365">
        <v>9</v>
      </c>
      <c r="E365">
        <v>36493</v>
      </c>
      <c r="F365" s="80">
        <v>44525</v>
      </c>
      <c r="G365" t="str">
        <f>IFERROR(IF((F365-F364)&gt;1,(LARGE(F365:$F365,1)-LARGE(F$364:$F365,2))-1,""),"")</f>
        <v/>
      </c>
    </row>
    <row r="366" spans="1:7">
      <c r="A366" s="3" t="e">
        <f>AVERAGE(H364:H377)</f>
        <v>#DIV/0!</v>
      </c>
      <c r="B366">
        <v>1390</v>
      </c>
      <c r="C366">
        <v>1390</v>
      </c>
      <c r="D366">
        <v>1</v>
      </c>
      <c r="E366">
        <v>5000</v>
      </c>
      <c r="F366" s="80">
        <v>44526</v>
      </c>
      <c r="G366" t="str">
        <f>IFERROR(IF((F366-F365)&gt;1,(LARGE(F366:$F366,1)-LARGE(F$364:$F366,2))-1,""),"")</f>
        <v/>
      </c>
    </row>
    <row r="367" spans="1:7">
      <c r="A367" s="3">
        <f>AVERAGE(E364:E377)</f>
        <v>8434.3571428571431</v>
      </c>
      <c r="B367">
        <v>1394</v>
      </c>
      <c r="C367">
        <v>1394</v>
      </c>
      <c r="D367">
        <v>5</v>
      </c>
      <c r="E367">
        <v>12500</v>
      </c>
      <c r="F367" s="80">
        <v>44527</v>
      </c>
      <c r="G367" t="str">
        <f>IFERROR(IF((F367-F366)&gt;1,(LARGE(F367:$F367,1)-LARGE(F$364:$F367,2))-1,""),"")</f>
        <v/>
      </c>
    </row>
    <row r="368" spans="1:7">
      <c r="A368" s="14" t="s">
        <v>47032</v>
      </c>
      <c r="B368">
        <v>1394</v>
      </c>
      <c r="C368">
        <v>1394</v>
      </c>
      <c r="D368">
        <v>1</v>
      </c>
      <c r="E368">
        <v>20000</v>
      </c>
      <c r="F368" s="80">
        <v>44528</v>
      </c>
      <c r="G368" t="str">
        <f>IFERROR(IF((F368-F367)&gt;1,(LARGE(F368:$F368,1)-LARGE(F$364:$F368,2))-1,""),"")</f>
        <v/>
      </c>
    </row>
    <row r="369" spans="1:7">
      <c r="A369" s="14">
        <f>E377</f>
        <v>3841</v>
      </c>
      <c r="B369">
        <v>1300</v>
      </c>
      <c r="C369">
        <v>1300</v>
      </c>
      <c r="D369">
        <v>2</v>
      </c>
      <c r="E369">
        <v>10000</v>
      </c>
      <c r="F369" s="80">
        <v>44530</v>
      </c>
      <c r="G369">
        <f>IFERROR(IF((F369-F368)&gt;1,(LARGE(F369:$F369,1)-LARGE(F$364:$F369,2))-1,""),"")</f>
        <v>1</v>
      </c>
    </row>
    <row r="370" spans="1:7">
      <c r="B370">
        <v>1380</v>
      </c>
      <c r="C370">
        <v>1380</v>
      </c>
      <c r="D370">
        <v>2</v>
      </c>
      <c r="E370">
        <v>5000</v>
      </c>
      <c r="F370" s="80">
        <v>44532</v>
      </c>
      <c r="G370">
        <f>IFERROR(IF((F370-F369)&gt;1,(LARGE(F370:$F370,1)-LARGE(F$364:$F370,2))-1,""),"")</f>
        <v>1</v>
      </c>
    </row>
    <row r="371" spans="1:7">
      <c r="B371">
        <v>1380</v>
      </c>
      <c r="C371">
        <v>1380</v>
      </c>
      <c r="D371">
        <v>1</v>
      </c>
      <c r="E371">
        <v>750</v>
      </c>
      <c r="F371" s="80">
        <v>44533</v>
      </c>
      <c r="G371" t="str">
        <f>IFERROR(IF((F371-F370)&gt;1,(LARGE(F371:$F371,1)-LARGE(F$364:$F371,2))-1,""),"")</f>
        <v/>
      </c>
    </row>
    <row r="372" spans="1:7">
      <c r="B372">
        <v>1380</v>
      </c>
      <c r="C372">
        <v>1380</v>
      </c>
      <c r="D372">
        <v>5</v>
      </c>
      <c r="E372">
        <v>7036</v>
      </c>
      <c r="F372" s="80">
        <v>44534</v>
      </c>
      <c r="G372" t="str">
        <f>IFERROR(IF((F372-F371)&gt;1,(LARGE(F372:$F372,1)-LARGE(F$364:$F372,2))-1,""),"")</f>
        <v/>
      </c>
    </row>
    <row r="373" spans="1:7">
      <c r="B373">
        <v>1299</v>
      </c>
      <c r="C373">
        <v>1299</v>
      </c>
      <c r="D373">
        <v>1</v>
      </c>
      <c r="E373">
        <v>500</v>
      </c>
      <c r="F373" s="80">
        <v>44535</v>
      </c>
      <c r="G373" t="str">
        <f>IFERROR(IF((F373-F372)&gt;1,(LARGE(F373:$F373,1)-LARGE(F$364:$F373,2))-1,""),"")</f>
        <v/>
      </c>
    </row>
    <row r="374" spans="1:7">
      <c r="B374">
        <v>1345</v>
      </c>
      <c r="C374">
        <v>1345</v>
      </c>
      <c r="D374">
        <v>5</v>
      </c>
      <c r="E374">
        <v>7961</v>
      </c>
      <c r="F374" s="80">
        <v>44536</v>
      </c>
      <c r="G374" t="str">
        <f>IFERROR(IF((F374-F373)&gt;1,(LARGE(F374:$F374,1)-LARGE(F$364:$F374,2))-1,""),"")</f>
        <v/>
      </c>
    </row>
    <row r="375" spans="1:7">
      <c r="B375">
        <v>1336</v>
      </c>
      <c r="C375">
        <v>1336</v>
      </c>
      <c r="D375">
        <v>1</v>
      </c>
      <c r="E375">
        <v>1000</v>
      </c>
      <c r="F375" s="80">
        <v>44541</v>
      </c>
      <c r="G375">
        <f>IFERROR(IF((F375-F374)&gt;1,(LARGE(F375:$F375,1)-LARGE(F$364:$F375,2))-1,""),"")</f>
        <v>4</v>
      </c>
    </row>
    <row r="376" spans="1:7">
      <c r="B376">
        <v>1300</v>
      </c>
      <c r="C376">
        <v>1300</v>
      </c>
      <c r="D376">
        <v>1</v>
      </c>
      <c r="E376">
        <v>1000</v>
      </c>
      <c r="F376" s="80">
        <v>44543</v>
      </c>
      <c r="G376">
        <f>IFERROR(IF((F376-F375)&gt;1,(LARGE(F376:$F376,1)-LARGE(F$364:$F376,2))-1,""),"")</f>
        <v>1</v>
      </c>
    </row>
    <row r="377" spans="1:7">
      <c r="B377">
        <v>1150</v>
      </c>
      <c r="C377">
        <v>1150</v>
      </c>
      <c r="D377">
        <v>1</v>
      </c>
      <c r="E377">
        <v>3841</v>
      </c>
      <c r="F377" s="80">
        <v>44545</v>
      </c>
      <c r="G377">
        <f>IFERROR(IF((F377-F376)&gt;1,(LARGE(F377:$F377,1)-LARGE(F$364:$F377,2))-1,""),"")</f>
        <v>1</v>
      </c>
    </row>
    <row r="378" spans="1:7">
      <c r="A378" s="75">
        <f>VLOOKUP(TradeSheet!A27,TypeIDs!B:C,2,FALSE)</f>
        <v>47928</v>
      </c>
      <c r="B378" t="s">
        <v>47021</v>
      </c>
      <c r="C378" t="s">
        <v>47022</v>
      </c>
      <c r="D378" t="s">
        <v>47023</v>
      </c>
      <c r="E378" t="s">
        <v>47024</v>
      </c>
      <c r="F378" t="s">
        <v>47035</v>
      </c>
      <c r="G378" t="s">
        <v>47034</v>
      </c>
    </row>
    <row r="379" spans="1:7">
      <c r="A379" s="75" t="str">
        <f>CONCATENATE(SwaggerURL,input026)</f>
        <v>https://esi.evetech.net/latest/markets/10000021/history/?datasource=tranquility&amp;type_id=47928</v>
      </c>
      <c r="B379">
        <v>950</v>
      </c>
      <c r="C379">
        <v>950</v>
      </c>
      <c r="D379">
        <v>3</v>
      </c>
      <c r="E379">
        <v>3000</v>
      </c>
      <c r="F379" s="80">
        <v>44511</v>
      </c>
      <c r="G379" t="str">
        <f>IFERROR(IF((F379-F378)&gt;1,(LARGE(F379:$F379,1)-LARGE(F$379:$F379,2))-1,""),"")</f>
        <v/>
      </c>
    </row>
    <row r="380" spans="1:7">
      <c r="A380" s="3" t="s">
        <v>47031</v>
      </c>
      <c r="B380">
        <v>1000</v>
      </c>
      <c r="C380">
        <v>1000</v>
      </c>
      <c r="D380">
        <v>2</v>
      </c>
      <c r="E380">
        <v>2500</v>
      </c>
      <c r="F380" s="80">
        <v>44513</v>
      </c>
      <c r="G380">
        <f>IFERROR(IF((F380-F379)&gt;1,(LARGE(F380:$F380,1)-LARGE(F$379:$F380,2))-1,""),"")</f>
        <v>1</v>
      </c>
    </row>
    <row r="381" spans="1:7">
      <c r="A381" s="3" t="e">
        <f>AVERAGE(H379:H392)</f>
        <v>#DIV/0!</v>
      </c>
      <c r="B381">
        <v>1000</v>
      </c>
      <c r="C381">
        <v>1000</v>
      </c>
      <c r="D381">
        <v>1</v>
      </c>
      <c r="E381">
        <v>1000</v>
      </c>
      <c r="F381" s="80">
        <v>44515</v>
      </c>
      <c r="G381">
        <f>IFERROR(IF((F381-F380)&gt;1,(LARGE(F381:$F381,1)-LARGE(F$379:$F381,2))-1,""),"")</f>
        <v>1</v>
      </c>
    </row>
    <row r="382" spans="1:7">
      <c r="A382" s="3">
        <f>AVERAGE(E379:E392)</f>
        <v>2071.4285714285716</v>
      </c>
      <c r="B382">
        <v>1000</v>
      </c>
      <c r="C382">
        <v>1000</v>
      </c>
      <c r="D382">
        <v>1</v>
      </c>
      <c r="E382">
        <v>700</v>
      </c>
      <c r="F382" s="80">
        <v>44516</v>
      </c>
      <c r="G382" t="str">
        <f>IFERROR(IF((F382-F381)&gt;1,(LARGE(F382:$F382,1)-LARGE(F$379:$F382,2))-1,""),"")</f>
        <v/>
      </c>
    </row>
    <row r="383" spans="1:7">
      <c r="A383" s="14" t="s">
        <v>47032</v>
      </c>
      <c r="B383">
        <v>1000</v>
      </c>
      <c r="C383">
        <v>1000</v>
      </c>
      <c r="D383">
        <v>3</v>
      </c>
      <c r="E383">
        <v>2501</v>
      </c>
      <c r="F383" s="80">
        <v>44522</v>
      </c>
      <c r="G383">
        <f>IFERROR(IF((F383-F382)&gt;1,(LARGE(F383:$F383,1)-LARGE(F$379:$F383,2))-1,""),"")</f>
        <v>5</v>
      </c>
    </row>
    <row r="384" spans="1:7">
      <c r="A384" s="14">
        <f>E392</f>
        <v>2500</v>
      </c>
      <c r="B384">
        <v>1000</v>
      </c>
      <c r="C384">
        <v>1000</v>
      </c>
      <c r="D384">
        <v>3</v>
      </c>
      <c r="E384">
        <v>7500</v>
      </c>
      <c r="F384" s="80">
        <v>44523</v>
      </c>
      <c r="G384" t="str">
        <f>IFERROR(IF((F384-F383)&gt;1,(LARGE(F384:$F384,1)-LARGE(F$379:$F384,2))-1,""),"")</f>
        <v/>
      </c>
    </row>
    <row r="385" spans="1:7">
      <c r="B385">
        <v>1000</v>
      </c>
      <c r="C385">
        <v>1000</v>
      </c>
      <c r="D385">
        <v>1</v>
      </c>
      <c r="E385">
        <v>2500</v>
      </c>
      <c r="F385" s="80">
        <v>44526</v>
      </c>
      <c r="G385">
        <f>IFERROR(IF((F385-F384)&gt;1,(LARGE(F385:$F385,1)-LARGE(F$379:$F385,2))-1,""),"")</f>
        <v>2</v>
      </c>
    </row>
    <row r="386" spans="1:7">
      <c r="B386">
        <v>1000</v>
      </c>
      <c r="C386">
        <v>1000</v>
      </c>
      <c r="D386">
        <v>1</v>
      </c>
      <c r="E386">
        <v>2299</v>
      </c>
      <c r="F386" s="80">
        <v>44527</v>
      </c>
      <c r="G386" t="str">
        <f>IFERROR(IF((F386-F385)&gt;1,(LARGE(F386:$F386,1)-LARGE(F$379:$F386,2))-1,""),"")</f>
        <v/>
      </c>
    </row>
    <row r="387" spans="1:7">
      <c r="B387">
        <v>1800</v>
      </c>
      <c r="C387">
        <v>1800</v>
      </c>
      <c r="D387">
        <v>2</v>
      </c>
      <c r="E387">
        <v>1000</v>
      </c>
      <c r="F387" s="80">
        <v>44529</v>
      </c>
      <c r="G387">
        <f>IFERROR(IF((F387-F386)&gt;1,(LARGE(F387:$F387,1)-LARGE(F$379:$F387,2))-1,""),"")</f>
        <v>1</v>
      </c>
    </row>
    <row r="388" spans="1:7">
      <c r="B388">
        <v>1800</v>
      </c>
      <c r="C388">
        <v>1800</v>
      </c>
      <c r="D388">
        <v>1</v>
      </c>
      <c r="E388">
        <v>1000</v>
      </c>
      <c r="F388" s="80">
        <v>44531</v>
      </c>
      <c r="G388">
        <f>IFERROR(IF((F388-F387)&gt;1,(LARGE(F388:$F388,1)-LARGE(F$379:$F388,2))-1,""),"")</f>
        <v>1</v>
      </c>
    </row>
    <row r="389" spans="1:7">
      <c r="B389">
        <v>1800</v>
      </c>
      <c r="C389">
        <v>1800</v>
      </c>
      <c r="D389">
        <v>1</v>
      </c>
      <c r="E389">
        <v>1000</v>
      </c>
      <c r="F389" s="80">
        <v>44532</v>
      </c>
      <c r="G389" t="str">
        <f>IFERROR(IF((F389-F388)&gt;1,(LARGE(F389:$F389,1)-LARGE(F$379:$F389,2))-1,""),"")</f>
        <v/>
      </c>
    </row>
    <row r="390" spans="1:7">
      <c r="B390">
        <v>1800</v>
      </c>
      <c r="C390">
        <v>1800</v>
      </c>
      <c r="D390">
        <v>1</v>
      </c>
      <c r="E390">
        <v>500</v>
      </c>
      <c r="F390" s="80">
        <v>44535</v>
      </c>
      <c r="G390">
        <f>IFERROR(IF((F390-F389)&gt;1,(LARGE(F390:$F390,1)-LARGE(F$379:$F390,2))-1,""),"")</f>
        <v>2</v>
      </c>
    </row>
    <row r="391" spans="1:7">
      <c r="B391">
        <v>1995</v>
      </c>
      <c r="C391">
        <v>1995</v>
      </c>
      <c r="D391">
        <v>1</v>
      </c>
      <c r="E391">
        <v>1000</v>
      </c>
      <c r="F391" s="80">
        <v>44540</v>
      </c>
      <c r="G391">
        <f>IFERROR(IF((F391-F390)&gt;1,(LARGE(F391:$F391,1)-LARGE(F$379:$F391,2))-1,""),"")</f>
        <v>4</v>
      </c>
    </row>
    <row r="392" spans="1:7">
      <c r="B392">
        <v>1950</v>
      </c>
      <c r="C392">
        <v>1950</v>
      </c>
      <c r="D392">
        <v>2</v>
      </c>
      <c r="E392">
        <v>2500</v>
      </c>
      <c r="F392" s="80">
        <v>44547</v>
      </c>
      <c r="G392">
        <f>IFERROR(IF((F392-F391)&gt;1,(LARGE(F392:$F392,1)-LARGE(F$379:$F392,2))-1,""),"")</f>
        <v>6</v>
      </c>
    </row>
    <row r="393" spans="1:7">
      <c r="A393" s="75">
        <f>VLOOKUP(TradeSheet!A28,TypeIDs!B:C,2,FALSE)</f>
        <v>47924</v>
      </c>
      <c r="B393" t="s">
        <v>47021</v>
      </c>
      <c r="C393" t="s">
        <v>47022</v>
      </c>
      <c r="D393" t="s">
        <v>47023</v>
      </c>
      <c r="E393" t="s">
        <v>47024</v>
      </c>
      <c r="F393" t="s">
        <v>47035</v>
      </c>
      <c r="G393" t="s">
        <v>47034</v>
      </c>
    </row>
    <row r="394" spans="1:7">
      <c r="A394" s="75" t="str">
        <f>CONCATENATE(SwaggerURL,input027)</f>
        <v>https://esi.evetech.net/latest/markets/10000021/history/?datasource=tranquility&amp;type_id=47924</v>
      </c>
      <c r="B394">
        <v>1298</v>
      </c>
      <c r="C394">
        <v>1298</v>
      </c>
      <c r="D394">
        <v>3</v>
      </c>
      <c r="E394">
        <v>5000</v>
      </c>
      <c r="F394" s="80">
        <v>44520</v>
      </c>
      <c r="G394" t="str">
        <f>IFERROR(IF((F394-F393)&gt;1,(LARGE(F394:$F394,1)-LARGE(F$394:$F394,2))-1,""),"")</f>
        <v/>
      </c>
    </row>
    <row r="395" spans="1:7">
      <c r="A395" s="3" t="s">
        <v>47031</v>
      </c>
      <c r="B395">
        <v>1297</v>
      </c>
      <c r="C395">
        <v>1297</v>
      </c>
      <c r="D395">
        <v>2</v>
      </c>
      <c r="E395">
        <v>3000</v>
      </c>
      <c r="F395" s="80">
        <v>44521</v>
      </c>
      <c r="G395" t="str">
        <f>IFERROR(IF((F395-F394)&gt;1,(LARGE(F395:$F395,1)-LARGE(F$394:$F395,2))-1,""),"")</f>
        <v/>
      </c>
    </row>
    <row r="396" spans="1:7">
      <c r="A396" s="3" t="e">
        <f>AVERAGE(H394:H407)</f>
        <v>#DIV/0!</v>
      </c>
      <c r="B396">
        <v>1297</v>
      </c>
      <c r="C396">
        <v>1297</v>
      </c>
      <c r="D396">
        <v>1</v>
      </c>
      <c r="E396">
        <v>1000</v>
      </c>
      <c r="F396" s="80">
        <v>44522</v>
      </c>
      <c r="G396" t="str">
        <f>IFERROR(IF((F396-F395)&gt;1,(LARGE(F396:$F396,1)-LARGE(F$394:$F396,2))-1,""),"")</f>
        <v/>
      </c>
    </row>
    <row r="397" spans="1:7">
      <c r="A397" s="3">
        <f>AVERAGE(E394:E407)</f>
        <v>3267.8571428571427</v>
      </c>
      <c r="B397">
        <v>1298</v>
      </c>
      <c r="C397">
        <v>1298</v>
      </c>
      <c r="D397">
        <v>3</v>
      </c>
      <c r="E397">
        <v>10000</v>
      </c>
      <c r="F397" s="80">
        <v>44523</v>
      </c>
      <c r="G397" t="str">
        <f>IFERROR(IF((F397-F396)&gt;1,(LARGE(F397:$F397,1)-LARGE(F$394:$F397,2))-1,""),"")</f>
        <v/>
      </c>
    </row>
    <row r="398" spans="1:7">
      <c r="A398" s="14" t="s">
        <v>47032</v>
      </c>
      <c r="B398">
        <v>1297</v>
      </c>
      <c r="C398">
        <v>1297</v>
      </c>
      <c r="D398">
        <v>3</v>
      </c>
      <c r="E398">
        <v>5000</v>
      </c>
      <c r="F398" s="80">
        <v>44525</v>
      </c>
      <c r="G398">
        <f>IFERROR(IF((F398-F397)&gt;1,(LARGE(F398:$F398,1)-LARGE(F$394:$F398,2))-1,""),"")</f>
        <v>1</v>
      </c>
    </row>
    <row r="399" spans="1:7">
      <c r="A399" s="14">
        <f>E407</f>
        <v>1000</v>
      </c>
      <c r="B399">
        <v>1250</v>
      </c>
      <c r="C399">
        <v>1250</v>
      </c>
      <c r="D399">
        <v>1</v>
      </c>
      <c r="E399">
        <v>5000</v>
      </c>
      <c r="F399" s="80">
        <v>44526</v>
      </c>
      <c r="G399" t="str">
        <f>IFERROR(IF((F399-F398)&gt;1,(LARGE(F399:$F399,1)-LARGE(F$394:$F399,2))-1,""),"")</f>
        <v/>
      </c>
    </row>
    <row r="400" spans="1:7">
      <c r="B400">
        <v>1250</v>
      </c>
      <c r="C400">
        <v>1250</v>
      </c>
      <c r="D400">
        <v>2</v>
      </c>
      <c r="E400">
        <v>1500</v>
      </c>
      <c r="F400" s="80">
        <v>44527</v>
      </c>
      <c r="G400" t="str">
        <f>IFERROR(IF((F400-F399)&gt;1,(LARGE(F400:$F400,1)-LARGE(F$394:$F400,2))-1,""),"")</f>
        <v/>
      </c>
    </row>
    <row r="401" spans="1:7">
      <c r="B401">
        <v>1100</v>
      </c>
      <c r="C401">
        <v>1100</v>
      </c>
      <c r="D401">
        <v>1</v>
      </c>
      <c r="E401">
        <v>1000</v>
      </c>
      <c r="F401" s="80">
        <v>44530</v>
      </c>
      <c r="G401">
        <f>IFERROR(IF((F401-F400)&gt;1,(LARGE(F401:$F401,1)-LARGE(F$394:$F401,2))-1,""),"")</f>
        <v>2</v>
      </c>
    </row>
    <row r="402" spans="1:7">
      <c r="B402">
        <v>1100</v>
      </c>
      <c r="C402">
        <v>1100</v>
      </c>
      <c r="D402">
        <v>1</v>
      </c>
      <c r="E402">
        <v>2000</v>
      </c>
      <c r="F402" s="80">
        <v>44532</v>
      </c>
      <c r="G402">
        <f>IFERROR(IF((F402-F401)&gt;1,(LARGE(F402:$F402,1)-LARGE(F$394:$F402,2))-1,""),"")</f>
        <v>1</v>
      </c>
    </row>
    <row r="403" spans="1:7">
      <c r="B403">
        <v>1100</v>
      </c>
      <c r="C403">
        <v>1100</v>
      </c>
      <c r="D403">
        <v>1</v>
      </c>
      <c r="E403">
        <v>750</v>
      </c>
      <c r="F403" s="80">
        <v>44533</v>
      </c>
      <c r="G403" t="str">
        <f>IFERROR(IF((F403-F402)&gt;1,(LARGE(F403:$F403,1)-LARGE(F$394:$F403,2))-1,""),"")</f>
        <v/>
      </c>
    </row>
    <row r="404" spans="1:7">
      <c r="B404">
        <v>1100</v>
      </c>
      <c r="C404">
        <v>1100</v>
      </c>
      <c r="D404">
        <v>3</v>
      </c>
      <c r="E404">
        <v>4500</v>
      </c>
      <c r="F404" s="80">
        <v>44536</v>
      </c>
      <c r="G404">
        <f>IFERROR(IF((F404-F403)&gt;1,(LARGE(F404:$F404,1)-LARGE(F$394:$F404,2))-1,""),"")</f>
        <v>2</v>
      </c>
    </row>
    <row r="405" spans="1:7">
      <c r="B405">
        <v>1298</v>
      </c>
      <c r="C405">
        <v>1298</v>
      </c>
      <c r="D405">
        <v>1</v>
      </c>
      <c r="E405">
        <v>1000</v>
      </c>
      <c r="F405" s="80">
        <v>44541</v>
      </c>
      <c r="G405">
        <f>IFERROR(IF((F405-F404)&gt;1,(LARGE(F405:$F405,1)-LARGE(F$394:$F405,2))-1,""),"")</f>
        <v>4</v>
      </c>
    </row>
    <row r="406" spans="1:7">
      <c r="B406">
        <v>1150</v>
      </c>
      <c r="C406">
        <v>1150</v>
      </c>
      <c r="D406">
        <v>1</v>
      </c>
      <c r="E406">
        <v>5000</v>
      </c>
      <c r="F406" s="80">
        <v>44544</v>
      </c>
      <c r="G406">
        <f>IFERROR(IF((F406-F405)&gt;1,(LARGE(F406:$F406,1)-LARGE(F$394:$F406,2))-1,""),"")</f>
        <v>2</v>
      </c>
    </row>
    <row r="407" spans="1:7">
      <c r="B407">
        <v>1195</v>
      </c>
      <c r="C407">
        <v>1195</v>
      </c>
      <c r="D407">
        <v>1</v>
      </c>
      <c r="E407">
        <v>1000</v>
      </c>
      <c r="F407" s="80">
        <v>44545</v>
      </c>
      <c r="G407" t="str">
        <f>IFERROR(IF((F407-F406)&gt;1,(LARGE(F407:$F407,1)-LARGE(F$394:$F407,2))-1,""),"")</f>
        <v/>
      </c>
    </row>
    <row r="408" spans="1:7">
      <c r="A408" s="75">
        <f>VLOOKUP(TradeSheet!A29,TypeIDs!B:C,2,FALSE)</f>
        <v>47925</v>
      </c>
      <c r="B408" t="s">
        <v>47021</v>
      </c>
      <c r="C408" t="s">
        <v>47022</v>
      </c>
      <c r="D408" t="s">
        <v>47023</v>
      </c>
      <c r="E408" t="s">
        <v>47024</v>
      </c>
      <c r="F408" t="s">
        <v>47035</v>
      </c>
      <c r="G408" t="s">
        <v>47034</v>
      </c>
    </row>
    <row r="409" spans="1:7">
      <c r="A409" s="75" t="str">
        <f>CONCATENATE(SwaggerURL,input028)</f>
        <v>https://esi.evetech.net/latest/markets/10000021/history/?datasource=tranquility&amp;type_id=47925</v>
      </c>
      <c r="B409">
        <v>455.9</v>
      </c>
      <c r="C409">
        <v>455.9</v>
      </c>
      <c r="D409">
        <v>4</v>
      </c>
      <c r="E409">
        <v>12000</v>
      </c>
      <c r="F409" s="80">
        <v>44523</v>
      </c>
      <c r="G409" t="str">
        <f>IFERROR(IF((F409-F408)&gt;1,(LARGE(F409:$F409,1)-LARGE(F$409:$F409,2))-1,""),"")</f>
        <v/>
      </c>
    </row>
    <row r="410" spans="1:7">
      <c r="A410" s="3" t="s">
        <v>47031</v>
      </c>
      <c r="B410">
        <v>455.9</v>
      </c>
      <c r="C410">
        <v>455.9</v>
      </c>
      <c r="D410">
        <v>3</v>
      </c>
      <c r="E410">
        <v>2730</v>
      </c>
      <c r="F410" s="80">
        <v>44525</v>
      </c>
      <c r="G410">
        <f>IFERROR(IF((F410-F409)&gt;1,(LARGE(F410:$F410,1)-LARGE(F$409:$F410,2))-1,""),"")</f>
        <v>1</v>
      </c>
    </row>
    <row r="411" spans="1:7">
      <c r="A411" s="3" t="e">
        <f>AVERAGE(H409:H422)</f>
        <v>#DIV/0!</v>
      </c>
      <c r="B411">
        <v>455.9</v>
      </c>
      <c r="C411">
        <v>455.9</v>
      </c>
      <c r="D411">
        <v>1</v>
      </c>
      <c r="E411">
        <v>5000</v>
      </c>
      <c r="F411" s="80">
        <v>44526</v>
      </c>
      <c r="G411" t="str">
        <f>IFERROR(IF((F411-F410)&gt;1,(LARGE(F411:$F411,1)-LARGE(F$409:$F411,2))-1,""),"")</f>
        <v/>
      </c>
    </row>
    <row r="412" spans="1:7">
      <c r="A412" s="3">
        <f>AVERAGE(E409:E422)</f>
        <v>2886</v>
      </c>
      <c r="B412">
        <v>455.9</v>
      </c>
      <c r="C412">
        <v>455.9</v>
      </c>
      <c r="D412">
        <v>2</v>
      </c>
      <c r="E412">
        <v>3000</v>
      </c>
      <c r="F412" s="80">
        <v>44527</v>
      </c>
      <c r="G412" t="str">
        <f>IFERROR(IF((F412-F411)&gt;1,(LARGE(F412:$F412,1)-LARGE(F$409:$F412,2))-1,""),"")</f>
        <v/>
      </c>
    </row>
    <row r="413" spans="1:7">
      <c r="A413" s="14" t="s">
        <v>47032</v>
      </c>
      <c r="B413">
        <v>453.2</v>
      </c>
      <c r="C413">
        <v>453.2</v>
      </c>
      <c r="D413">
        <v>1</v>
      </c>
      <c r="E413">
        <v>1000</v>
      </c>
      <c r="F413" s="80">
        <v>44530</v>
      </c>
      <c r="G413">
        <f>IFERROR(IF((F413-F412)&gt;1,(LARGE(F413:$F413,1)-LARGE(F$409:$F413,2))-1,""),"")</f>
        <v>2</v>
      </c>
    </row>
    <row r="414" spans="1:7">
      <c r="A414" s="14">
        <f>E422</f>
        <v>1730</v>
      </c>
      <c r="B414">
        <v>453.2</v>
      </c>
      <c r="C414">
        <v>453.2</v>
      </c>
      <c r="D414">
        <v>1</v>
      </c>
      <c r="E414">
        <v>1532</v>
      </c>
      <c r="F414" s="80">
        <v>44531</v>
      </c>
      <c r="G414" t="str">
        <f>IFERROR(IF((F414-F413)&gt;1,(LARGE(F414:$F414,1)-LARGE(F$409:$F414,2))-1,""),"")</f>
        <v/>
      </c>
    </row>
    <row r="415" spans="1:7">
      <c r="B415">
        <v>455.9</v>
      </c>
      <c r="C415">
        <v>455.9</v>
      </c>
      <c r="D415">
        <v>1</v>
      </c>
      <c r="E415">
        <v>2000</v>
      </c>
      <c r="F415" s="80">
        <v>44532</v>
      </c>
      <c r="G415" t="str">
        <f>IFERROR(IF((F415-F414)&gt;1,(LARGE(F415:$F415,1)-LARGE(F$409:$F415,2))-1,""),"")</f>
        <v/>
      </c>
    </row>
    <row r="416" spans="1:7">
      <c r="B416">
        <v>455.9</v>
      </c>
      <c r="C416">
        <v>455.9</v>
      </c>
      <c r="D416">
        <v>2</v>
      </c>
      <c r="E416">
        <v>1500</v>
      </c>
      <c r="F416" s="80">
        <v>44533</v>
      </c>
      <c r="G416" t="str">
        <f>IFERROR(IF((F416-F415)&gt;1,(LARGE(F416:$F416,1)-LARGE(F$409:$F416,2))-1,""),"")</f>
        <v/>
      </c>
    </row>
    <row r="417" spans="1:7">
      <c r="B417">
        <v>455.9</v>
      </c>
      <c r="C417">
        <v>455.9</v>
      </c>
      <c r="D417">
        <v>2</v>
      </c>
      <c r="E417">
        <v>1500</v>
      </c>
      <c r="F417" s="80">
        <v>44534</v>
      </c>
      <c r="G417" t="str">
        <f>IFERROR(IF((F417-F416)&gt;1,(LARGE(F417:$F417,1)-LARGE(F$409:$F417,2))-1,""),"")</f>
        <v/>
      </c>
    </row>
    <row r="418" spans="1:7">
      <c r="B418">
        <v>455.9</v>
      </c>
      <c r="C418">
        <v>455.9</v>
      </c>
      <c r="D418">
        <v>1</v>
      </c>
      <c r="E418">
        <v>500</v>
      </c>
      <c r="F418" s="80">
        <v>44535</v>
      </c>
      <c r="G418" t="str">
        <f>IFERROR(IF((F418-F417)&gt;1,(LARGE(F418:$F418,1)-LARGE(F$409:$F418,2))-1,""),"")</f>
        <v/>
      </c>
    </row>
    <row r="419" spans="1:7">
      <c r="B419">
        <v>455.9</v>
      </c>
      <c r="C419">
        <v>455.9</v>
      </c>
      <c r="D419">
        <v>4</v>
      </c>
      <c r="E419">
        <v>6412</v>
      </c>
      <c r="F419" s="80">
        <v>44536</v>
      </c>
      <c r="G419" t="str">
        <f>IFERROR(IF((F419-F418)&gt;1,(LARGE(F419:$F419,1)-LARGE(F$409:$F419,2))-1,""),"")</f>
        <v/>
      </c>
    </row>
    <row r="420" spans="1:7">
      <c r="B420">
        <v>455.9</v>
      </c>
      <c r="C420">
        <v>455.9</v>
      </c>
      <c r="D420">
        <v>1</v>
      </c>
      <c r="E420">
        <v>1000</v>
      </c>
      <c r="F420" s="80">
        <v>44541</v>
      </c>
      <c r="G420">
        <f>IFERROR(IF((F420-F419)&gt;1,(LARGE(F420:$F420,1)-LARGE(F$409:$F420,2))-1,""),"")</f>
        <v>4</v>
      </c>
    </row>
    <row r="421" spans="1:7">
      <c r="B421">
        <v>450</v>
      </c>
      <c r="C421">
        <v>450</v>
      </c>
      <c r="D421">
        <v>1</v>
      </c>
      <c r="E421">
        <v>500</v>
      </c>
      <c r="F421" s="80">
        <v>44543</v>
      </c>
      <c r="G421">
        <f>IFERROR(IF((F421-F420)&gt;1,(LARGE(F421:$F421,1)-LARGE(F$409:$F421,2))-1,""),"")</f>
        <v>1</v>
      </c>
    </row>
    <row r="422" spans="1:7">
      <c r="B422">
        <v>449.3</v>
      </c>
      <c r="C422">
        <v>449.3</v>
      </c>
      <c r="D422">
        <v>1</v>
      </c>
      <c r="E422">
        <v>1730</v>
      </c>
      <c r="F422" s="80">
        <v>44545</v>
      </c>
      <c r="G422">
        <f>IFERROR(IF((F422-F421)&gt;1,(LARGE(F422:$F422,1)-LARGE(F$409:$F422,2))-1,""),"")</f>
        <v>1</v>
      </c>
    </row>
    <row r="423" spans="1:7">
      <c r="A423" s="75">
        <f>VLOOKUP(TradeSheet!A30,TypeIDs!B:C,2,FALSE)</f>
        <v>47885</v>
      </c>
      <c r="B423" t="s">
        <v>47021</v>
      </c>
      <c r="C423" t="s">
        <v>47022</v>
      </c>
      <c r="D423" t="s">
        <v>47023</v>
      </c>
      <c r="E423" t="s">
        <v>47024</v>
      </c>
      <c r="F423" t="s">
        <v>47035</v>
      </c>
      <c r="G423" t="s">
        <v>47034</v>
      </c>
    </row>
    <row r="424" spans="1:7">
      <c r="A424" s="75" t="str">
        <f>CONCATENATE(SwaggerURL,input029)</f>
        <v>https://esi.evetech.net/latest/markets/10000021/history/?datasource=tranquility&amp;type_id=47885</v>
      </c>
      <c r="B424">
        <v>438.7</v>
      </c>
      <c r="C424">
        <v>438.7</v>
      </c>
      <c r="D424">
        <v>3</v>
      </c>
      <c r="E424">
        <v>2700</v>
      </c>
      <c r="F424" s="80">
        <v>44511</v>
      </c>
      <c r="G424" t="str">
        <f>IFERROR(IF((F424-F423)&gt;1,(LARGE(F424:$F424,1)-LARGE(F$424:$F424,2))-1,""),"")</f>
        <v/>
      </c>
    </row>
    <row r="425" spans="1:7">
      <c r="A425" s="3" t="s">
        <v>47031</v>
      </c>
      <c r="B425">
        <v>438.7</v>
      </c>
      <c r="C425">
        <v>438.7</v>
      </c>
      <c r="D425">
        <v>3</v>
      </c>
      <c r="E425">
        <v>2500</v>
      </c>
      <c r="F425" s="80">
        <v>44513</v>
      </c>
      <c r="G425">
        <f>IFERROR(IF((F425-F424)&gt;1,(LARGE(F425:$F425,1)-LARGE(F$424:$F425,2))-1,""),"")</f>
        <v>1</v>
      </c>
    </row>
    <row r="426" spans="1:7">
      <c r="A426" s="3" t="e">
        <f>AVERAGE(H424:H437)</f>
        <v>#DIV/0!</v>
      </c>
      <c r="B426">
        <v>438.7</v>
      </c>
      <c r="C426">
        <v>438.7</v>
      </c>
      <c r="D426">
        <v>1</v>
      </c>
      <c r="E426">
        <v>1000</v>
      </c>
      <c r="F426" s="80">
        <v>44514</v>
      </c>
      <c r="G426" t="str">
        <f>IFERROR(IF((F426-F425)&gt;1,(LARGE(F426:$F426,1)-LARGE(F$424:$F426,2))-1,""),"")</f>
        <v/>
      </c>
    </row>
    <row r="427" spans="1:7">
      <c r="A427" s="3">
        <f>AVERAGE(E424:E437)</f>
        <v>2350.4285714285716</v>
      </c>
      <c r="B427">
        <v>436.7</v>
      </c>
      <c r="C427">
        <v>436.7</v>
      </c>
      <c r="D427">
        <v>1</v>
      </c>
      <c r="E427">
        <v>500</v>
      </c>
      <c r="F427" s="80">
        <v>44519</v>
      </c>
      <c r="G427">
        <f>IFERROR(IF((F427-F426)&gt;1,(LARGE(F427:$F427,1)-LARGE(F$424:$F427,2))-1,""),"")</f>
        <v>4</v>
      </c>
    </row>
    <row r="428" spans="1:7">
      <c r="A428" s="14" t="s">
        <v>47032</v>
      </c>
      <c r="B428">
        <v>436.7</v>
      </c>
      <c r="C428">
        <v>436.7</v>
      </c>
      <c r="D428">
        <v>2</v>
      </c>
      <c r="E428">
        <v>3000</v>
      </c>
      <c r="F428" s="80">
        <v>44520</v>
      </c>
      <c r="G428" t="str">
        <f>IFERROR(IF((F428-F427)&gt;1,(LARGE(F428:$F428,1)-LARGE(F$424:$F428,2))-1,""),"")</f>
        <v/>
      </c>
    </row>
    <row r="429" spans="1:7">
      <c r="A429" s="14">
        <f>E437</f>
        <v>1000</v>
      </c>
      <c r="B429">
        <v>436.7</v>
      </c>
      <c r="C429">
        <v>436.7</v>
      </c>
      <c r="D429">
        <v>1</v>
      </c>
      <c r="E429">
        <v>1000</v>
      </c>
      <c r="F429" s="80">
        <v>44521</v>
      </c>
      <c r="G429" t="str">
        <f>IFERROR(IF((F429-F428)&gt;1,(LARGE(F429:$F429,1)-LARGE(F$424:$F429,2))-1,""),"")</f>
        <v/>
      </c>
    </row>
    <row r="430" spans="1:7">
      <c r="B430">
        <v>436.6</v>
      </c>
      <c r="C430">
        <v>436.6</v>
      </c>
      <c r="D430">
        <v>1</v>
      </c>
      <c r="E430">
        <v>2000</v>
      </c>
      <c r="F430" s="80">
        <v>44523</v>
      </c>
      <c r="G430">
        <f>IFERROR(IF((F430-F429)&gt;1,(LARGE(F430:$F430,1)-LARGE(F$424:$F430,2))-1,""),"")</f>
        <v>1</v>
      </c>
    </row>
    <row r="431" spans="1:7">
      <c r="B431">
        <v>436.6</v>
      </c>
      <c r="C431">
        <v>436.6</v>
      </c>
      <c r="D431">
        <v>2</v>
      </c>
      <c r="E431">
        <v>3706</v>
      </c>
      <c r="F431" s="80">
        <v>44525</v>
      </c>
      <c r="G431">
        <f>IFERROR(IF((F431-F430)&gt;1,(LARGE(F431:$F431,1)-LARGE(F$424:$F431,2))-1,""),"")</f>
        <v>1</v>
      </c>
    </row>
    <row r="432" spans="1:7">
      <c r="B432">
        <v>434.7</v>
      </c>
      <c r="C432">
        <v>434.7</v>
      </c>
      <c r="D432">
        <v>1</v>
      </c>
      <c r="E432">
        <v>5000</v>
      </c>
      <c r="F432" s="80">
        <v>44526</v>
      </c>
      <c r="G432" t="str">
        <f>IFERROR(IF((F432-F431)&gt;1,(LARGE(F432:$F432,1)-LARGE(F$424:$F432,2))-1,""),"")</f>
        <v/>
      </c>
    </row>
    <row r="433" spans="1:7">
      <c r="B433">
        <v>432.8</v>
      </c>
      <c r="C433">
        <v>432.8</v>
      </c>
      <c r="D433">
        <v>1</v>
      </c>
      <c r="E433">
        <v>2500</v>
      </c>
      <c r="F433" s="80">
        <v>44531</v>
      </c>
      <c r="G433">
        <f>IFERROR(IF((F433-F432)&gt;1,(LARGE(F433:$F433,1)-LARGE(F$424:$F433,2))-1,""),"")</f>
        <v>4</v>
      </c>
    </row>
    <row r="434" spans="1:7">
      <c r="B434">
        <v>434.7</v>
      </c>
      <c r="C434">
        <v>434.7</v>
      </c>
      <c r="D434">
        <v>2</v>
      </c>
      <c r="E434">
        <v>2000</v>
      </c>
      <c r="F434" s="80">
        <v>44532</v>
      </c>
      <c r="G434" t="str">
        <f>IFERROR(IF((F434-F433)&gt;1,(LARGE(F434:$F434,1)-LARGE(F$424:$F434,2))-1,""),"")</f>
        <v/>
      </c>
    </row>
    <row r="435" spans="1:7">
      <c r="B435">
        <v>436.7</v>
      </c>
      <c r="C435">
        <v>436.7</v>
      </c>
      <c r="D435">
        <v>4</v>
      </c>
      <c r="E435">
        <v>5000</v>
      </c>
      <c r="F435" s="80">
        <v>44536</v>
      </c>
      <c r="G435">
        <f>IFERROR(IF((F435-F434)&gt;1,(LARGE(F435:$F435,1)-LARGE(F$424:$F435,2))-1,""),"")</f>
        <v>3</v>
      </c>
    </row>
    <row r="436" spans="1:7">
      <c r="B436">
        <v>473.7</v>
      </c>
      <c r="C436">
        <v>473.7</v>
      </c>
      <c r="D436">
        <v>1</v>
      </c>
      <c r="E436">
        <v>1000</v>
      </c>
      <c r="F436" s="80">
        <v>44541</v>
      </c>
      <c r="G436">
        <f>IFERROR(IF((F436-F435)&gt;1,(LARGE(F436:$F436,1)-LARGE(F$424:$F436,2))-1,""),"")</f>
        <v>4</v>
      </c>
    </row>
    <row r="437" spans="1:7">
      <c r="B437">
        <v>432.4</v>
      </c>
      <c r="C437">
        <v>432.4</v>
      </c>
      <c r="D437">
        <v>1</v>
      </c>
      <c r="E437">
        <v>1000</v>
      </c>
      <c r="F437" s="80">
        <v>44545</v>
      </c>
      <c r="G437">
        <f>IFERROR(IF((F437-F436)&gt;1,(LARGE(F437:$F437,1)-LARGE(F$424:$F437,2))-1,""),"")</f>
        <v>3</v>
      </c>
    </row>
    <row r="438" spans="1:7">
      <c r="A438" s="75">
        <f>VLOOKUP(TradeSheet!A31,TypeIDs!B:C,2,FALSE)</f>
        <v>12557</v>
      </c>
      <c r="B438" t="s">
        <v>47021</v>
      </c>
      <c r="C438" t="s">
        <v>47022</v>
      </c>
      <c r="D438" t="s">
        <v>47023</v>
      </c>
      <c r="E438" t="s">
        <v>47024</v>
      </c>
      <c r="F438" t="s">
        <v>47035</v>
      </c>
      <c r="G438" t="s">
        <v>47034</v>
      </c>
    </row>
    <row r="439" spans="1:7">
      <c r="A439" s="75" t="str">
        <f>CONCATENATE(SwaggerURL,input030)</f>
        <v>https://esi.evetech.net/latest/markets/10000021/history/?datasource=tranquility&amp;type_id=12557</v>
      </c>
      <c r="B439">
        <v>624650</v>
      </c>
      <c r="C439">
        <v>623950</v>
      </c>
      <c r="D439">
        <v>5</v>
      </c>
      <c r="E439">
        <v>24</v>
      </c>
      <c r="F439" s="80">
        <v>44523</v>
      </c>
      <c r="G439" t="str">
        <f>IFERROR(IF((F439-F438)&gt;1,(LARGE(F439:$F439,1)-LARGE(F$439:$F439,2))-1,""),"")</f>
        <v/>
      </c>
    </row>
    <row r="440" spans="1:7">
      <c r="A440" s="3" t="s">
        <v>47031</v>
      </c>
      <c r="B440">
        <v>624800</v>
      </c>
      <c r="C440">
        <v>624800</v>
      </c>
      <c r="D440">
        <v>2</v>
      </c>
      <c r="E440">
        <v>12</v>
      </c>
      <c r="F440" s="80">
        <v>44525</v>
      </c>
      <c r="G440">
        <f>IFERROR(IF((F440-F439)&gt;1,(LARGE(F440:$F440,1)-LARGE(F$439:$F440,2))-1,""),"")</f>
        <v>1</v>
      </c>
    </row>
    <row r="441" spans="1:7">
      <c r="A441" s="3" t="e">
        <f>AVERAGE(H439:H452)</f>
        <v>#DIV/0!</v>
      </c>
      <c r="B441">
        <v>624800</v>
      </c>
      <c r="C441">
        <v>624800</v>
      </c>
      <c r="D441">
        <v>1</v>
      </c>
      <c r="E441">
        <v>4</v>
      </c>
      <c r="F441" s="80">
        <v>44526</v>
      </c>
      <c r="G441" t="str">
        <f>IFERROR(IF((F441-F440)&gt;1,(LARGE(F441:$F441,1)-LARGE(F$439:$F441,2))-1,""),"")</f>
        <v/>
      </c>
    </row>
    <row r="442" spans="1:7">
      <c r="A442" s="3">
        <f>AVERAGE(E439:E452)</f>
        <v>8.2857142857142865</v>
      </c>
      <c r="B442">
        <v>500000</v>
      </c>
      <c r="C442">
        <v>500000</v>
      </c>
      <c r="D442">
        <v>1</v>
      </c>
      <c r="E442">
        <v>4</v>
      </c>
      <c r="F442" s="80">
        <v>44533</v>
      </c>
      <c r="G442">
        <f>IFERROR(IF((F442-F441)&gt;1,(LARGE(F442:$F442,1)-LARGE(F$439:$F442,2))-1,""),"")</f>
        <v>6</v>
      </c>
    </row>
    <row r="443" spans="1:7">
      <c r="A443" s="14" t="s">
        <v>47032</v>
      </c>
      <c r="B443">
        <v>490100</v>
      </c>
      <c r="C443">
        <v>490100</v>
      </c>
      <c r="D443">
        <v>1</v>
      </c>
      <c r="E443">
        <v>4</v>
      </c>
      <c r="F443" s="80">
        <v>44534</v>
      </c>
      <c r="G443" t="str">
        <f>IFERROR(IF((F443-F442)&gt;1,(LARGE(F443:$F443,1)-LARGE(F$439:$F443,2))-1,""),"")</f>
        <v/>
      </c>
    </row>
    <row r="444" spans="1:7">
      <c r="A444" s="14">
        <f>E452</f>
        <v>4</v>
      </c>
      <c r="B444">
        <v>496700</v>
      </c>
      <c r="C444">
        <v>490100</v>
      </c>
      <c r="D444">
        <v>3</v>
      </c>
      <c r="E444">
        <v>6</v>
      </c>
      <c r="F444" s="80">
        <v>44535</v>
      </c>
      <c r="G444" t="str">
        <f>IFERROR(IF((F444-F443)&gt;1,(LARGE(F444:$F444,1)-LARGE(F$439:$F444,2))-1,""),"")</f>
        <v/>
      </c>
    </row>
    <row r="445" spans="1:7">
      <c r="B445">
        <v>475000</v>
      </c>
      <c r="C445">
        <v>475000</v>
      </c>
      <c r="D445">
        <v>1</v>
      </c>
      <c r="E445">
        <v>4</v>
      </c>
      <c r="F445" s="80">
        <v>44538</v>
      </c>
      <c r="G445">
        <f>IFERROR(IF((F445-F444)&gt;1,(LARGE(F445:$F445,1)-LARGE(F$439:$F445,2))-1,""),"")</f>
        <v>2</v>
      </c>
    </row>
    <row r="446" spans="1:7">
      <c r="B446">
        <v>470000</v>
      </c>
      <c r="C446">
        <v>470000</v>
      </c>
      <c r="D446">
        <v>1</v>
      </c>
      <c r="E446">
        <v>4</v>
      </c>
      <c r="F446" s="80">
        <v>44539</v>
      </c>
      <c r="G446" t="str">
        <f>IFERROR(IF((F446-F445)&gt;1,(LARGE(F446:$F446,1)-LARGE(F$439:$F446,2))-1,""),"")</f>
        <v/>
      </c>
    </row>
    <row r="447" spans="1:7">
      <c r="B447">
        <v>470000</v>
      </c>
      <c r="C447">
        <v>470000</v>
      </c>
      <c r="D447">
        <v>1</v>
      </c>
      <c r="E447">
        <v>4</v>
      </c>
      <c r="F447" s="80">
        <v>44542</v>
      </c>
      <c r="G447">
        <f>IFERROR(IF((F447-F446)&gt;1,(LARGE(F447:$F447,1)-LARGE(F$439:$F447,2))-1,""),"")</f>
        <v>2</v>
      </c>
    </row>
    <row r="448" spans="1:7">
      <c r="B448">
        <v>470000</v>
      </c>
      <c r="C448">
        <v>470000</v>
      </c>
      <c r="D448">
        <v>3</v>
      </c>
      <c r="E448">
        <v>12</v>
      </c>
      <c r="F448" s="80">
        <v>44544</v>
      </c>
      <c r="G448">
        <f>IFERROR(IF((F448-F447)&gt;1,(LARGE(F448:$F448,1)-LARGE(F$439:$F448,2))-1,""),"")</f>
        <v>1</v>
      </c>
    </row>
    <row r="449" spans="1:7">
      <c r="B449">
        <v>470000</v>
      </c>
      <c r="C449">
        <v>470000</v>
      </c>
      <c r="D449">
        <v>2</v>
      </c>
      <c r="E449">
        <v>2</v>
      </c>
      <c r="F449" s="80">
        <v>44545</v>
      </c>
      <c r="G449" t="str">
        <f>IFERROR(IF((F449-F448)&gt;1,(LARGE(F449:$F449,1)-LARGE(F$439:$F449,2))-1,""),"")</f>
        <v/>
      </c>
    </row>
    <row r="450" spans="1:7">
      <c r="B450">
        <v>470000</v>
      </c>
      <c r="C450">
        <v>470000</v>
      </c>
      <c r="D450">
        <v>4</v>
      </c>
      <c r="E450">
        <v>22</v>
      </c>
      <c r="F450" s="80">
        <v>44546</v>
      </c>
      <c r="G450" t="str">
        <f>IFERROR(IF((F450-F449)&gt;1,(LARGE(F450:$F450,1)-LARGE(F$439:$F450,2))-1,""),"")</f>
        <v/>
      </c>
    </row>
    <row r="451" spans="1:7">
      <c r="B451">
        <v>470100</v>
      </c>
      <c r="C451">
        <v>470100</v>
      </c>
      <c r="D451">
        <v>2</v>
      </c>
      <c r="E451">
        <v>10</v>
      </c>
      <c r="F451" s="80">
        <v>44548</v>
      </c>
      <c r="G451">
        <f>IFERROR(IF((F451-F450)&gt;1,(LARGE(F451:$F451,1)-LARGE(F$439:$F451,2))-1,""),"")</f>
        <v>1</v>
      </c>
    </row>
    <row r="452" spans="1:7">
      <c r="B452">
        <v>470100</v>
      </c>
      <c r="C452">
        <v>470100</v>
      </c>
      <c r="D452">
        <v>1</v>
      </c>
      <c r="E452">
        <v>4</v>
      </c>
      <c r="F452" s="80">
        <v>44549</v>
      </c>
      <c r="G452" t="str">
        <f>IFERROR(IF((F452-F451)&gt;1,(LARGE(F452:$F452,1)-LARGE(F$439:$F452,2))-1,""),"")</f>
        <v/>
      </c>
    </row>
    <row r="453" spans="1:7">
      <c r="A453" s="75">
        <f>VLOOKUP(TradeSheet!A32,TypeIDs!B:C,2,FALSE)</f>
        <v>12816</v>
      </c>
      <c r="B453" t="s">
        <v>47021</v>
      </c>
      <c r="C453" t="s">
        <v>47022</v>
      </c>
      <c r="D453" t="s">
        <v>47023</v>
      </c>
      <c r="E453" t="s">
        <v>47024</v>
      </c>
      <c r="F453" t="s">
        <v>47035</v>
      </c>
      <c r="G453" t="s">
        <v>47034</v>
      </c>
    </row>
    <row r="454" spans="1:7">
      <c r="A454" s="75" t="str">
        <f>CONCATENATE(SwaggerURL,input031)</f>
        <v>https://esi.evetech.net/latest/markets/10000021/history/?datasource=tranquility&amp;type_id=12816</v>
      </c>
      <c r="B454">
        <v>941400</v>
      </c>
      <c r="C454">
        <v>940700</v>
      </c>
      <c r="D454">
        <v>4</v>
      </c>
      <c r="E454">
        <v>48</v>
      </c>
      <c r="F454" s="80">
        <v>44532</v>
      </c>
      <c r="G454" t="str">
        <f>IFERROR(IF((F454-F453)&gt;1,(LARGE(F454:$F454,1)-LARGE(F$454:$F454,2))-1,""),"")</f>
        <v/>
      </c>
    </row>
    <row r="455" spans="1:7">
      <c r="A455" s="3" t="s">
        <v>47031</v>
      </c>
      <c r="B455">
        <v>942000</v>
      </c>
      <c r="C455">
        <v>942000</v>
      </c>
      <c r="D455">
        <v>2</v>
      </c>
      <c r="E455">
        <v>54</v>
      </c>
      <c r="F455" s="80">
        <v>44533</v>
      </c>
      <c r="G455" t="str">
        <f>IFERROR(IF((F455-F454)&gt;1,(LARGE(F455:$F455,1)-LARGE(F$454:$F455,2))-1,""),"")</f>
        <v/>
      </c>
    </row>
    <row r="456" spans="1:7">
      <c r="A456" s="3" t="e">
        <f>AVERAGE(H454:H467)</f>
        <v>#DIV/0!</v>
      </c>
      <c r="B456">
        <v>942000</v>
      </c>
      <c r="C456">
        <v>942000</v>
      </c>
      <c r="D456">
        <v>13</v>
      </c>
      <c r="E456">
        <v>106</v>
      </c>
      <c r="F456" s="80">
        <v>44535</v>
      </c>
      <c r="G456">
        <f>IFERROR(IF((F456-F455)&gt;1,(LARGE(F456:$F456,1)-LARGE(F$454:$F456,2))-1,""),"")</f>
        <v>1</v>
      </c>
    </row>
    <row r="457" spans="1:7">
      <c r="A457" s="3">
        <f>AVERAGE(E454:E467)</f>
        <v>80.214285714285708</v>
      </c>
      <c r="B457">
        <v>942000</v>
      </c>
      <c r="C457">
        <v>942000</v>
      </c>
      <c r="D457">
        <v>2</v>
      </c>
      <c r="E457">
        <v>20</v>
      </c>
      <c r="F457" s="80">
        <v>44536</v>
      </c>
      <c r="G457" t="str">
        <f>IFERROR(IF((F457-F456)&gt;1,(LARGE(F457:$F457,1)-LARGE(F$454:$F457,2))-1,""),"")</f>
        <v/>
      </c>
    </row>
    <row r="458" spans="1:7">
      <c r="A458" s="14" t="s">
        <v>47032</v>
      </c>
      <c r="B458">
        <v>942000</v>
      </c>
      <c r="C458">
        <v>942000</v>
      </c>
      <c r="D458">
        <v>5</v>
      </c>
      <c r="E458">
        <v>132</v>
      </c>
      <c r="F458" s="80">
        <v>44537</v>
      </c>
      <c r="G458" t="str">
        <f>IFERROR(IF((F458-F457)&gt;1,(LARGE(F458:$F458,1)-LARGE(F$454:$F458,2))-1,""),"")</f>
        <v/>
      </c>
    </row>
    <row r="459" spans="1:7">
      <c r="A459" s="14">
        <f>E467</f>
        <v>57</v>
      </c>
      <c r="B459">
        <v>942032.43</v>
      </c>
      <c r="C459">
        <v>942000</v>
      </c>
      <c r="D459">
        <v>6</v>
      </c>
      <c r="E459">
        <v>74</v>
      </c>
      <c r="F459" s="80">
        <v>44539</v>
      </c>
      <c r="G459">
        <f>IFERROR(IF((F459-F458)&gt;1,(LARGE(F459:$F459,1)-LARGE(F$454:$F459,2))-1,""),"")</f>
        <v>1</v>
      </c>
    </row>
    <row r="460" spans="1:7">
      <c r="B460">
        <v>942000</v>
      </c>
      <c r="C460">
        <v>942000</v>
      </c>
      <c r="D460">
        <v>4</v>
      </c>
      <c r="E460">
        <v>118</v>
      </c>
      <c r="F460" s="80">
        <v>44540</v>
      </c>
      <c r="G460" t="str">
        <f>IFERROR(IF((F460-F459)&gt;1,(LARGE(F460:$F460,1)-LARGE(F$454:$F460,2))-1,""),"")</f>
        <v/>
      </c>
    </row>
    <row r="461" spans="1:7">
      <c r="B461">
        <v>942000</v>
      </c>
      <c r="C461">
        <v>942000</v>
      </c>
      <c r="D461">
        <v>3</v>
      </c>
      <c r="E461">
        <v>146</v>
      </c>
      <c r="F461" s="80">
        <v>44541</v>
      </c>
      <c r="G461" t="str">
        <f>IFERROR(IF((F461-F460)&gt;1,(LARGE(F461:$F461,1)-LARGE(F$454:$F461,2))-1,""),"")</f>
        <v/>
      </c>
    </row>
    <row r="462" spans="1:7">
      <c r="B462">
        <v>942000</v>
      </c>
      <c r="C462">
        <v>942000</v>
      </c>
      <c r="D462">
        <v>5</v>
      </c>
      <c r="E462">
        <v>144</v>
      </c>
      <c r="F462" s="80">
        <v>44542</v>
      </c>
      <c r="G462" t="str">
        <f>IFERROR(IF((F462-F461)&gt;1,(LARGE(F462:$F462,1)-LARGE(F$454:$F462,2))-1,""),"")</f>
        <v/>
      </c>
    </row>
    <row r="463" spans="1:7">
      <c r="B463">
        <v>942000</v>
      </c>
      <c r="C463">
        <v>942000</v>
      </c>
      <c r="D463">
        <v>1</v>
      </c>
      <c r="E463">
        <v>6</v>
      </c>
      <c r="F463" s="80">
        <v>44543</v>
      </c>
      <c r="G463" t="str">
        <f>IFERROR(IF((F463-F462)&gt;1,(LARGE(F463:$F463,1)-LARGE(F$454:$F463,2))-1,""),"")</f>
        <v/>
      </c>
    </row>
    <row r="464" spans="1:7">
      <c r="B464">
        <v>915703.7</v>
      </c>
      <c r="C464">
        <v>800000</v>
      </c>
      <c r="D464">
        <v>3</v>
      </c>
      <c r="E464">
        <v>54</v>
      </c>
      <c r="F464" s="80">
        <v>44544</v>
      </c>
      <c r="G464" t="str">
        <f>IFERROR(IF((F464-F463)&gt;1,(LARGE(F464:$F464,1)-LARGE(F$454:$F464,2))-1,""),"")</f>
        <v/>
      </c>
    </row>
    <row r="465" spans="1:7">
      <c r="B465">
        <v>800000</v>
      </c>
      <c r="C465">
        <v>800000</v>
      </c>
      <c r="D465">
        <v>3</v>
      </c>
      <c r="E465">
        <v>20</v>
      </c>
      <c r="F465" s="80">
        <v>44545</v>
      </c>
      <c r="G465" t="str">
        <f>IFERROR(IF((F465-F464)&gt;1,(LARGE(F465:$F465,1)-LARGE(F$454:$F465,2))-1,""),"")</f>
        <v/>
      </c>
    </row>
    <row r="466" spans="1:7">
      <c r="B466">
        <v>942000</v>
      </c>
      <c r="C466">
        <v>942000</v>
      </c>
      <c r="D466">
        <v>3</v>
      </c>
      <c r="E466">
        <v>144</v>
      </c>
      <c r="F466" s="80">
        <v>44547</v>
      </c>
      <c r="G466">
        <f>IFERROR(IF((F466-F465)&gt;1,(LARGE(F466:$F466,1)-LARGE(F$454:$F466,2))-1,""),"")</f>
        <v>1</v>
      </c>
    </row>
    <row r="467" spans="1:7">
      <c r="B467">
        <v>825000</v>
      </c>
      <c r="C467">
        <v>825000</v>
      </c>
      <c r="D467">
        <v>3</v>
      </c>
      <c r="E467">
        <v>57</v>
      </c>
      <c r="F467" s="80">
        <v>44548</v>
      </c>
      <c r="G467" t="str">
        <f>IFERROR(IF((F467-F466)&gt;1,(LARGE(F467:$F467,1)-LARGE(F$454:$F467,2))-1,""),"")</f>
        <v/>
      </c>
    </row>
    <row r="468" spans="1:7">
      <c r="A468" s="75">
        <f>VLOOKUP(TradeSheet!A33,TypeIDs!B:C,2,FALSE)</f>
        <v>12820</v>
      </c>
      <c r="B468" t="s">
        <v>47021</v>
      </c>
      <c r="C468" t="s">
        <v>47022</v>
      </c>
      <c r="D468" t="s">
        <v>47023</v>
      </c>
      <c r="E468" t="s">
        <v>47024</v>
      </c>
      <c r="F468" t="s">
        <v>47035</v>
      </c>
      <c r="G468" t="s">
        <v>47034</v>
      </c>
    </row>
    <row r="469" spans="1:7">
      <c r="A469" s="75" t="str">
        <f>CONCATENATE(SwaggerURL,input032)</f>
        <v>https://esi.evetech.net/latest/markets/10000021/history/?datasource=tranquility&amp;type_id=12820</v>
      </c>
      <c r="B469">
        <v>927800</v>
      </c>
      <c r="C469">
        <v>927800</v>
      </c>
      <c r="D469">
        <v>1</v>
      </c>
      <c r="E469">
        <v>8</v>
      </c>
      <c r="F469" s="80">
        <v>44531</v>
      </c>
      <c r="G469" t="str">
        <f>IFERROR(IF((F469-F468)&gt;1,(LARGE(F469:$F469,1)-LARGE(F$469:$F469,2))-1,""),"")</f>
        <v/>
      </c>
    </row>
    <row r="470" spans="1:7">
      <c r="A470" s="3" t="s">
        <v>47031</v>
      </c>
      <c r="B470">
        <v>927800</v>
      </c>
      <c r="C470">
        <v>927800</v>
      </c>
      <c r="D470">
        <v>1</v>
      </c>
      <c r="E470">
        <v>12</v>
      </c>
      <c r="F470" s="80">
        <v>44532</v>
      </c>
      <c r="G470" t="str">
        <f>IFERROR(IF((F470-F469)&gt;1,(LARGE(F470:$F470,1)-LARGE(F$469:$F470,2))-1,""),"")</f>
        <v/>
      </c>
    </row>
    <row r="471" spans="1:7">
      <c r="A471" s="3" t="e">
        <f>AVERAGE(H469:H482)</f>
        <v>#DIV/0!</v>
      </c>
      <c r="B471">
        <v>927800</v>
      </c>
      <c r="C471">
        <v>927800</v>
      </c>
      <c r="D471">
        <v>2</v>
      </c>
      <c r="E471">
        <v>74</v>
      </c>
      <c r="F471" s="80">
        <v>44533</v>
      </c>
      <c r="G471" t="str">
        <f>IFERROR(IF((F471-F470)&gt;1,(LARGE(F471:$F471,1)-LARGE(F$469:$F471,2))-1,""),"")</f>
        <v/>
      </c>
    </row>
    <row r="472" spans="1:7">
      <c r="A472" s="3">
        <f>AVERAGE(E469:E482)</f>
        <v>40.071428571428569</v>
      </c>
      <c r="B472">
        <v>927941.86</v>
      </c>
      <c r="C472">
        <v>927900</v>
      </c>
      <c r="D472">
        <v>11</v>
      </c>
      <c r="E472">
        <v>86</v>
      </c>
      <c r="F472" s="80">
        <v>44535</v>
      </c>
      <c r="G472">
        <f>IFERROR(IF((F472-F471)&gt;1,(LARGE(F472:$F472,1)-LARGE(F$469:$F472,2))-1,""),"")</f>
        <v>1</v>
      </c>
    </row>
    <row r="473" spans="1:7">
      <c r="A473" s="14" t="s">
        <v>47032</v>
      </c>
      <c r="B473">
        <v>927900</v>
      </c>
      <c r="C473">
        <v>927900</v>
      </c>
      <c r="D473">
        <v>1</v>
      </c>
      <c r="E473">
        <v>16</v>
      </c>
      <c r="F473" s="80">
        <v>44536</v>
      </c>
      <c r="G473" t="str">
        <f>IFERROR(IF((F473-F472)&gt;1,(LARGE(F473:$F473,1)-LARGE(F$469:$F473,2))-1,""),"")</f>
        <v/>
      </c>
    </row>
    <row r="474" spans="1:7">
      <c r="A474" s="14">
        <f>E482</f>
        <v>45</v>
      </c>
      <c r="B474">
        <v>928250</v>
      </c>
      <c r="C474">
        <v>927900</v>
      </c>
      <c r="D474">
        <v>2</v>
      </c>
      <c r="E474">
        <v>16</v>
      </c>
      <c r="F474" s="80">
        <v>44537</v>
      </c>
      <c r="G474" t="str">
        <f>IFERROR(IF((F474-F473)&gt;1,(LARGE(F474:$F474,1)-LARGE(F$469:$F474,2))-1,""),"")</f>
        <v/>
      </c>
    </row>
    <row r="475" spans="1:7">
      <c r="B475">
        <v>927945.16</v>
      </c>
      <c r="C475">
        <v>927900</v>
      </c>
      <c r="D475">
        <v>5</v>
      </c>
      <c r="E475">
        <v>62</v>
      </c>
      <c r="F475" s="80">
        <v>44539</v>
      </c>
      <c r="G475">
        <f>IFERROR(IF((F475-F474)&gt;1,(LARGE(F475:$F475,1)-LARGE(F$469:$F475,2))-1,""),"")</f>
        <v>1</v>
      </c>
    </row>
    <row r="476" spans="1:7">
      <c r="B476">
        <v>927900</v>
      </c>
      <c r="C476">
        <v>927900</v>
      </c>
      <c r="D476">
        <v>4</v>
      </c>
      <c r="E476">
        <v>18</v>
      </c>
      <c r="F476" s="80">
        <v>44540</v>
      </c>
      <c r="G476" t="str">
        <f>IFERROR(IF((F476-F475)&gt;1,(LARGE(F476:$F476,1)-LARGE(F$469:$F476,2))-1,""),"")</f>
        <v/>
      </c>
    </row>
    <row r="477" spans="1:7">
      <c r="B477">
        <v>927900</v>
      </c>
      <c r="C477">
        <v>927900</v>
      </c>
      <c r="D477">
        <v>2</v>
      </c>
      <c r="E477">
        <v>88</v>
      </c>
      <c r="F477" s="80">
        <v>44541</v>
      </c>
      <c r="G477" t="str">
        <f>IFERROR(IF((F477-F476)&gt;1,(LARGE(F477:$F477,1)-LARGE(F$469:$F477,2))-1,""),"")</f>
        <v/>
      </c>
    </row>
    <row r="478" spans="1:7">
      <c r="B478">
        <v>927900</v>
      </c>
      <c r="C478">
        <v>927900</v>
      </c>
      <c r="D478">
        <v>4</v>
      </c>
      <c r="E478">
        <v>76</v>
      </c>
      <c r="F478" s="80">
        <v>44542</v>
      </c>
      <c r="G478" t="str">
        <f>IFERROR(IF((F478-F477)&gt;1,(LARGE(F478:$F478,1)-LARGE(F$469:$F478,2))-1,""),"")</f>
        <v/>
      </c>
    </row>
    <row r="479" spans="1:7">
      <c r="B479">
        <v>927900</v>
      </c>
      <c r="C479">
        <v>927900</v>
      </c>
      <c r="D479">
        <v>1</v>
      </c>
      <c r="E479">
        <v>20</v>
      </c>
      <c r="F479" s="80">
        <v>44543</v>
      </c>
      <c r="G479" t="str">
        <f>IFERROR(IF((F479-F478)&gt;1,(LARGE(F479:$F479,1)-LARGE(F$469:$F479,2))-1,""),"")</f>
        <v/>
      </c>
    </row>
    <row r="480" spans="1:7">
      <c r="B480">
        <v>927900</v>
      </c>
      <c r="C480">
        <v>927900</v>
      </c>
      <c r="D480">
        <v>1</v>
      </c>
      <c r="E480">
        <v>4</v>
      </c>
      <c r="F480" s="80">
        <v>44544</v>
      </c>
      <c r="G480" t="str">
        <f>IFERROR(IF((F480-F479)&gt;1,(LARGE(F480:$F480,1)-LARGE(F$469:$F480,2))-1,""),"")</f>
        <v/>
      </c>
    </row>
    <row r="481" spans="1:7">
      <c r="B481">
        <v>800000</v>
      </c>
      <c r="C481">
        <v>800000</v>
      </c>
      <c r="D481">
        <v>1</v>
      </c>
      <c r="E481">
        <v>36</v>
      </c>
      <c r="F481" s="80">
        <v>44547</v>
      </c>
      <c r="G481">
        <f>IFERROR(IF((F481-F480)&gt;1,(LARGE(F481:$F481,1)-LARGE(F$469:$F481,2))-1,""),"")</f>
        <v>2</v>
      </c>
    </row>
    <row r="482" spans="1:7">
      <c r="B482">
        <v>800000</v>
      </c>
      <c r="C482">
        <v>800000</v>
      </c>
      <c r="D482">
        <v>2</v>
      </c>
      <c r="E482">
        <v>45</v>
      </c>
      <c r="F482" s="80">
        <v>44548</v>
      </c>
      <c r="G482" t="str">
        <f>IFERROR(IF((F482-F481)&gt;1,(LARGE(F482:$F482,1)-LARGE(F$469:$F482,2))-1,""),"")</f>
        <v/>
      </c>
    </row>
    <row r="483" spans="1:7">
      <c r="A483" s="75">
        <f>VLOOKUP(TradeSheet!A34,TypeIDs!B:C,2,FALSE)</f>
        <v>12818</v>
      </c>
      <c r="B483" t="s">
        <v>47021</v>
      </c>
      <c r="C483" t="s">
        <v>47022</v>
      </c>
      <c r="D483" t="s">
        <v>47023</v>
      </c>
      <c r="E483" t="s">
        <v>47024</v>
      </c>
      <c r="F483" t="s">
        <v>47035</v>
      </c>
      <c r="G483" t="s">
        <v>47034</v>
      </c>
    </row>
    <row r="484" spans="1:7">
      <c r="A484" s="75" t="str">
        <f>CONCATENATE(SwaggerURL,input033)</f>
        <v>https://esi.evetech.net/latest/markets/10000021/history/?datasource=tranquility&amp;type_id=12818</v>
      </c>
      <c r="B484">
        <v>445454.55</v>
      </c>
      <c r="C484">
        <v>425000</v>
      </c>
      <c r="D484">
        <v>3</v>
      </c>
      <c r="E484">
        <v>22</v>
      </c>
      <c r="F484" s="80">
        <v>44513</v>
      </c>
      <c r="G484" t="str">
        <f>IFERROR(IF((F484-F483)&gt;1,(LARGE(F484:$F484,1)-LARGE(F$484:$F484,2))-1,""),"")</f>
        <v/>
      </c>
    </row>
    <row r="485" spans="1:7">
      <c r="A485" s="3" t="s">
        <v>47031</v>
      </c>
      <c r="B485">
        <v>450000</v>
      </c>
      <c r="C485">
        <v>450000</v>
      </c>
      <c r="D485">
        <v>5</v>
      </c>
      <c r="E485">
        <v>22</v>
      </c>
      <c r="F485" s="80">
        <v>44514</v>
      </c>
      <c r="G485" t="str">
        <f>IFERROR(IF((F485-F484)&gt;1,(LARGE(F485:$F485,1)-LARGE(F$484:$F485,2))-1,""),"")</f>
        <v/>
      </c>
    </row>
    <row r="486" spans="1:7">
      <c r="A486" s="3" t="e">
        <f>AVERAGE(H484:H497)</f>
        <v>#DIV/0!</v>
      </c>
      <c r="B486">
        <v>451100</v>
      </c>
      <c r="C486">
        <v>451100</v>
      </c>
      <c r="D486">
        <v>2</v>
      </c>
      <c r="E486">
        <v>12</v>
      </c>
      <c r="F486" s="80">
        <v>44519</v>
      </c>
      <c r="G486">
        <f>IFERROR(IF((F486-F485)&gt;1,(LARGE(F486:$F486,1)-LARGE(F$484:$F486,2))-1,""),"")</f>
        <v>4</v>
      </c>
    </row>
    <row r="487" spans="1:7">
      <c r="A487" s="3">
        <f>AVERAGE(E484:E497)</f>
        <v>9.7142857142857135</v>
      </c>
      <c r="B487">
        <v>451100</v>
      </c>
      <c r="C487">
        <v>451100</v>
      </c>
      <c r="D487">
        <v>2</v>
      </c>
      <c r="E487">
        <v>5</v>
      </c>
      <c r="F487" s="80">
        <v>44520</v>
      </c>
      <c r="G487" t="str">
        <f>IFERROR(IF((F487-F486)&gt;1,(LARGE(F487:$F487,1)-LARGE(F$484:$F487,2))-1,""),"")</f>
        <v/>
      </c>
    </row>
    <row r="488" spans="1:7">
      <c r="A488" s="14" t="s">
        <v>47032</v>
      </c>
      <c r="B488">
        <v>450000</v>
      </c>
      <c r="C488">
        <v>450000</v>
      </c>
      <c r="D488">
        <v>1</v>
      </c>
      <c r="E488">
        <v>3</v>
      </c>
      <c r="F488" s="80">
        <v>44522</v>
      </c>
      <c r="G488">
        <f>IFERROR(IF((F488-F487)&gt;1,(LARGE(F488:$F488,1)-LARGE(F$484:$F488,2))-1,""),"")</f>
        <v>1</v>
      </c>
    </row>
    <row r="489" spans="1:7">
      <c r="A489" s="14">
        <f>E497</f>
        <v>5</v>
      </c>
      <c r="B489">
        <v>450000</v>
      </c>
      <c r="C489">
        <v>450000</v>
      </c>
      <c r="D489">
        <v>1</v>
      </c>
      <c r="E489">
        <v>5</v>
      </c>
      <c r="F489" s="80">
        <v>44523</v>
      </c>
      <c r="G489" t="str">
        <f>IFERROR(IF((F489-F488)&gt;1,(LARGE(F489:$F489,1)-LARGE(F$484:$F489,2))-1,""),"")</f>
        <v/>
      </c>
    </row>
    <row r="490" spans="1:7">
      <c r="B490">
        <v>451100</v>
      </c>
      <c r="C490">
        <v>451100</v>
      </c>
      <c r="D490">
        <v>3</v>
      </c>
      <c r="E490">
        <v>21</v>
      </c>
      <c r="F490" s="80">
        <v>44525</v>
      </c>
      <c r="G490">
        <f>IFERROR(IF((F490-F489)&gt;1,(LARGE(F490:$F490,1)-LARGE(F$484:$F490,2))-1,""),"")</f>
        <v>1</v>
      </c>
    </row>
    <row r="491" spans="1:7">
      <c r="B491">
        <v>451100</v>
      </c>
      <c r="C491">
        <v>451100</v>
      </c>
      <c r="D491">
        <v>1</v>
      </c>
      <c r="E491">
        <v>4</v>
      </c>
      <c r="F491" s="80">
        <v>44528</v>
      </c>
      <c r="G491">
        <f>IFERROR(IF((F491-F490)&gt;1,(LARGE(F491:$F491,1)-LARGE(F$484:$F491,2))-1,""),"")</f>
        <v>2</v>
      </c>
    </row>
    <row r="492" spans="1:7">
      <c r="B492">
        <v>451100</v>
      </c>
      <c r="C492">
        <v>451100</v>
      </c>
      <c r="D492">
        <v>1</v>
      </c>
      <c r="E492">
        <v>8</v>
      </c>
      <c r="F492" s="80">
        <v>44529</v>
      </c>
      <c r="G492" t="str">
        <f>IFERROR(IF((F492-F491)&gt;1,(LARGE(F492:$F492,1)-LARGE(F$484:$F492,2))-1,""),"")</f>
        <v/>
      </c>
    </row>
    <row r="493" spans="1:7">
      <c r="B493">
        <v>450000</v>
      </c>
      <c r="C493">
        <v>450000</v>
      </c>
      <c r="D493">
        <v>1</v>
      </c>
      <c r="E493">
        <v>3</v>
      </c>
      <c r="F493" s="80">
        <v>44532</v>
      </c>
      <c r="G493">
        <f>IFERROR(IF((F493-F492)&gt;1,(LARGE(F493:$F493,1)-LARGE(F$484:$F493,2))-1,""),"")</f>
        <v>2</v>
      </c>
    </row>
    <row r="494" spans="1:7">
      <c r="B494">
        <v>450000</v>
      </c>
      <c r="C494">
        <v>450000</v>
      </c>
      <c r="D494">
        <v>1</v>
      </c>
      <c r="E494">
        <v>5</v>
      </c>
      <c r="F494" s="80">
        <v>44533</v>
      </c>
      <c r="G494" t="str">
        <f>IFERROR(IF((F494-F493)&gt;1,(LARGE(F494:$F494,1)-LARGE(F$484:$F494,2))-1,""),"")</f>
        <v/>
      </c>
    </row>
    <row r="495" spans="1:7">
      <c r="B495">
        <v>449900</v>
      </c>
      <c r="C495">
        <v>449900</v>
      </c>
      <c r="D495">
        <v>1</v>
      </c>
      <c r="E495">
        <v>6</v>
      </c>
      <c r="F495" s="80">
        <v>44540</v>
      </c>
      <c r="G495">
        <f>IFERROR(IF((F495-F494)&gt;1,(LARGE(F495:$F495,1)-LARGE(F$484:$F495,2))-1,""),"")</f>
        <v>6</v>
      </c>
    </row>
    <row r="496" spans="1:7">
      <c r="B496">
        <v>450000</v>
      </c>
      <c r="C496">
        <v>450000</v>
      </c>
      <c r="D496">
        <v>1</v>
      </c>
      <c r="E496">
        <v>15</v>
      </c>
      <c r="F496" s="80">
        <v>44542</v>
      </c>
      <c r="G496">
        <f>IFERROR(IF((F496-F495)&gt;1,(LARGE(F496:$F496,1)-LARGE(F$484:$F496,2))-1,""),"")</f>
        <v>1</v>
      </c>
    </row>
    <row r="497" spans="1:7">
      <c r="B497">
        <v>429000</v>
      </c>
      <c r="C497">
        <v>429000</v>
      </c>
      <c r="D497">
        <v>1</v>
      </c>
      <c r="E497">
        <v>5</v>
      </c>
      <c r="F497" s="80">
        <v>44548</v>
      </c>
      <c r="G497">
        <f>IFERROR(IF((F497-F496)&gt;1,(LARGE(F497:$F497,1)-LARGE(F$484:$F497,2))-1,""),"")</f>
        <v>5</v>
      </c>
    </row>
    <row r="498" spans="1:7">
      <c r="A498" s="75">
        <f>VLOOKUP(TradeSheet!A35,TypeIDs!B:C,2,FALSE)</f>
        <v>12565</v>
      </c>
      <c r="B498" t="s">
        <v>47021</v>
      </c>
      <c r="C498" t="s">
        <v>47022</v>
      </c>
      <c r="D498" t="s">
        <v>47023</v>
      </c>
      <c r="E498" t="s">
        <v>47024</v>
      </c>
      <c r="F498" t="s">
        <v>47035</v>
      </c>
      <c r="G498" t="s">
        <v>47034</v>
      </c>
    </row>
    <row r="499" spans="1:7">
      <c r="A499" s="75" t="str">
        <f>CONCATENATE(SwaggerURL,input034)</f>
        <v>https://esi.evetech.net/latest/markets/10000021/history/?datasource=tranquility&amp;type_id=12565</v>
      </c>
      <c r="B499">
        <v>399300</v>
      </c>
      <c r="C499">
        <v>399300</v>
      </c>
      <c r="D499">
        <v>1</v>
      </c>
      <c r="E499">
        <v>2</v>
      </c>
      <c r="F499" s="80">
        <v>44517</v>
      </c>
      <c r="G499" t="str">
        <f>IFERROR(IF((F499-F498)&gt;1,(LARGE(F499:$F499,1)-LARGE(F$499:$F499,2))-1,""),"")</f>
        <v/>
      </c>
    </row>
    <row r="500" spans="1:7">
      <c r="A500" s="3" t="s">
        <v>47031</v>
      </c>
      <c r="B500">
        <v>399300</v>
      </c>
      <c r="C500">
        <v>399300</v>
      </c>
      <c r="D500">
        <v>1</v>
      </c>
      <c r="E500">
        <v>8</v>
      </c>
      <c r="F500" s="80">
        <v>44518</v>
      </c>
      <c r="G500" t="str">
        <f>IFERROR(IF((F500-F499)&gt;1,(LARGE(F500:$F500,1)-LARGE(F$499:$F500,2))-1,""),"")</f>
        <v/>
      </c>
    </row>
    <row r="501" spans="1:7">
      <c r="A501" s="3" t="e">
        <f>AVERAGE(H499:H512)</f>
        <v>#DIV/0!</v>
      </c>
      <c r="B501">
        <v>399300</v>
      </c>
      <c r="C501">
        <v>399300</v>
      </c>
      <c r="D501">
        <v>2</v>
      </c>
      <c r="E501">
        <v>8</v>
      </c>
      <c r="F501" s="80">
        <v>44521</v>
      </c>
      <c r="G501">
        <f>IFERROR(IF((F501-F500)&gt;1,(LARGE(F501:$F501,1)-LARGE(F$499:$F501,2))-1,""),"")</f>
        <v>2</v>
      </c>
    </row>
    <row r="502" spans="1:7">
      <c r="A502" s="3">
        <f>AVERAGE(E499:E512)</f>
        <v>6.8571428571428568</v>
      </c>
      <c r="B502">
        <v>399300</v>
      </c>
      <c r="C502">
        <v>399300</v>
      </c>
      <c r="D502">
        <v>1</v>
      </c>
      <c r="E502">
        <v>4</v>
      </c>
      <c r="F502" s="80">
        <v>44523</v>
      </c>
      <c r="G502">
        <f>IFERROR(IF((F502-F501)&gt;1,(LARGE(F502:$F502,1)-LARGE(F$499:$F502,2))-1,""),"")</f>
        <v>1</v>
      </c>
    </row>
    <row r="503" spans="1:7">
      <c r="A503" s="14" t="s">
        <v>47032</v>
      </c>
      <c r="B503">
        <v>399000</v>
      </c>
      <c r="C503">
        <v>399000</v>
      </c>
      <c r="D503">
        <v>1</v>
      </c>
      <c r="E503">
        <v>4</v>
      </c>
      <c r="F503" s="80">
        <v>44526</v>
      </c>
      <c r="G503">
        <f>IFERROR(IF((F503-F502)&gt;1,(LARGE(F503:$F503,1)-LARGE(F$499:$F503,2))-1,""),"")</f>
        <v>2</v>
      </c>
    </row>
    <row r="504" spans="1:7">
      <c r="A504" s="14">
        <f>E512</f>
        <v>2</v>
      </c>
      <c r="B504">
        <v>399300</v>
      </c>
      <c r="C504">
        <v>399300</v>
      </c>
      <c r="D504">
        <v>2</v>
      </c>
      <c r="E504">
        <v>8</v>
      </c>
      <c r="F504" s="80">
        <v>44527</v>
      </c>
      <c r="G504" t="str">
        <f>IFERROR(IF((F504-F503)&gt;1,(LARGE(F504:$F504,1)-LARGE(F$499:$F504,2))-1,""),"")</f>
        <v/>
      </c>
    </row>
    <row r="505" spans="1:7">
      <c r="B505">
        <v>388900</v>
      </c>
      <c r="C505">
        <v>388900</v>
      </c>
      <c r="D505">
        <v>1</v>
      </c>
      <c r="E505">
        <v>4</v>
      </c>
      <c r="F505" s="80">
        <v>44533</v>
      </c>
      <c r="G505">
        <f>IFERROR(IF((F505-F504)&gt;1,(LARGE(F505:$F505,1)-LARGE(F$499:$F505,2))-1,""),"")</f>
        <v>5</v>
      </c>
    </row>
    <row r="506" spans="1:7">
      <c r="B506">
        <v>388900</v>
      </c>
      <c r="C506">
        <v>388900</v>
      </c>
      <c r="D506">
        <v>1</v>
      </c>
      <c r="E506">
        <v>2</v>
      </c>
      <c r="F506" s="80">
        <v>44534</v>
      </c>
      <c r="G506" t="str">
        <f>IFERROR(IF((F506-F505)&gt;1,(LARGE(F506:$F506,1)-LARGE(F$499:$F506,2))-1,""),"")</f>
        <v/>
      </c>
    </row>
    <row r="507" spans="1:7">
      <c r="B507">
        <v>350000</v>
      </c>
      <c r="C507">
        <v>350000</v>
      </c>
      <c r="D507">
        <v>2</v>
      </c>
      <c r="E507">
        <v>12</v>
      </c>
      <c r="F507" s="80">
        <v>44538</v>
      </c>
      <c r="G507">
        <f>IFERROR(IF((F507-F506)&gt;1,(LARGE(F507:$F507,1)-LARGE(F$499:$F507,2))-1,""),"")</f>
        <v>3</v>
      </c>
    </row>
    <row r="508" spans="1:7">
      <c r="B508">
        <v>254818.18</v>
      </c>
      <c r="C508">
        <v>1000</v>
      </c>
      <c r="D508">
        <v>3</v>
      </c>
      <c r="E508">
        <v>11</v>
      </c>
      <c r="F508" s="80">
        <v>44542</v>
      </c>
      <c r="G508">
        <f>IFERROR(IF((F508-F507)&gt;1,(LARGE(F508:$F508,1)-LARGE(F$499:$F508,2))-1,""),"")</f>
        <v>3</v>
      </c>
    </row>
    <row r="509" spans="1:7">
      <c r="B509">
        <v>389000</v>
      </c>
      <c r="C509">
        <v>389000</v>
      </c>
      <c r="D509">
        <v>2</v>
      </c>
      <c r="E509">
        <v>8</v>
      </c>
      <c r="F509" s="80">
        <v>44544</v>
      </c>
      <c r="G509">
        <f>IFERROR(IF((F509-F508)&gt;1,(LARGE(F509:$F509,1)-LARGE(F$499:$F509,2))-1,""),"")</f>
        <v>1</v>
      </c>
    </row>
    <row r="510" spans="1:7">
      <c r="B510">
        <v>389000</v>
      </c>
      <c r="C510">
        <v>389000</v>
      </c>
      <c r="D510">
        <v>1</v>
      </c>
      <c r="E510">
        <v>2</v>
      </c>
      <c r="F510" s="80">
        <v>44546</v>
      </c>
      <c r="G510">
        <f>IFERROR(IF((F510-F509)&gt;1,(LARGE(F510:$F510,1)-LARGE(F$499:$F510,2))-1,""),"")</f>
        <v>1</v>
      </c>
    </row>
    <row r="511" spans="1:7">
      <c r="B511">
        <v>398685.71</v>
      </c>
      <c r="C511">
        <v>398000</v>
      </c>
      <c r="D511">
        <v>4</v>
      </c>
      <c r="E511">
        <v>21</v>
      </c>
      <c r="F511" s="80">
        <v>44547</v>
      </c>
      <c r="G511" t="str">
        <f>IFERROR(IF((F511-F510)&gt;1,(LARGE(F511:$F511,1)-LARGE(F$499:$F511,2))-1,""),"")</f>
        <v/>
      </c>
    </row>
    <row r="512" spans="1:7">
      <c r="B512">
        <v>398000</v>
      </c>
      <c r="C512">
        <v>398000</v>
      </c>
      <c r="D512">
        <v>1</v>
      </c>
      <c r="E512">
        <v>2</v>
      </c>
      <c r="F512" s="80">
        <v>44548</v>
      </c>
      <c r="G512" t="str">
        <f>IFERROR(IF((F512-F511)&gt;1,(LARGE(F512:$F512,1)-LARGE(F$499:$F512,2))-1,""),"")</f>
        <v/>
      </c>
    </row>
    <row r="513" spans="1:7">
      <c r="A513" s="75">
        <f>VLOOKUP(TradeSheet!A36,TypeIDs!B:C,2,FALSE)</f>
        <v>23105</v>
      </c>
      <c r="B513" t="s">
        <v>47021</v>
      </c>
      <c r="C513" t="s">
        <v>47022</v>
      </c>
      <c r="D513" t="s">
        <v>47023</v>
      </c>
      <c r="E513" t="s">
        <v>47024</v>
      </c>
      <c r="F513" t="s">
        <v>47035</v>
      </c>
      <c r="G513" t="s">
        <v>47034</v>
      </c>
    </row>
    <row r="514" spans="1:7">
      <c r="A514" s="75" t="str">
        <f>CONCATENATE(SwaggerURL,input035)</f>
        <v>https://esi.evetech.net/latest/markets/10000021/history/?datasource=tranquility&amp;type_id=23105</v>
      </c>
      <c r="B514">
        <v>990000</v>
      </c>
      <c r="C514">
        <v>990000</v>
      </c>
      <c r="D514">
        <v>4</v>
      </c>
      <c r="E514">
        <v>36</v>
      </c>
      <c r="F514" s="80">
        <v>44508</v>
      </c>
      <c r="G514" t="str">
        <f>IFERROR(IF((F514-F513)&gt;1,(LARGE(F514:$F514,1)-LARGE(F$514:$F514,2))-1,""),"")</f>
        <v/>
      </c>
    </row>
    <row r="515" spans="1:7">
      <c r="A515" s="3" t="s">
        <v>47031</v>
      </c>
      <c r="B515">
        <v>990000</v>
      </c>
      <c r="C515">
        <v>990000</v>
      </c>
      <c r="D515">
        <v>1</v>
      </c>
      <c r="E515">
        <v>12</v>
      </c>
      <c r="F515" s="80">
        <v>44513</v>
      </c>
      <c r="G515">
        <f>IFERROR(IF((F515-F514)&gt;1,(LARGE(F515:$F515,1)-LARGE(F$514:$F515,2))-1,""),"")</f>
        <v>4</v>
      </c>
    </row>
    <row r="516" spans="1:7">
      <c r="A516" s="3" t="e">
        <f>AVERAGE(H514:H527)</f>
        <v>#DIV/0!</v>
      </c>
      <c r="B516">
        <v>990000</v>
      </c>
      <c r="C516">
        <v>990000</v>
      </c>
      <c r="D516">
        <v>2</v>
      </c>
      <c r="E516">
        <v>12</v>
      </c>
      <c r="F516" s="80">
        <v>44514</v>
      </c>
      <c r="G516" t="str">
        <f>IFERROR(IF((F516-F515)&gt;1,(LARGE(F516:$F516,1)-LARGE(F$514:$F516,2))-1,""),"")</f>
        <v/>
      </c>
    </row>
    <row r="517" spans="1:7">
      <c r="A517" s="3">
        <f>AVERAGE(E514:E527)</f>
        <v>16.857142857142858</v>
      </c>
      <c r="B517">
        <v>990000</v>
      </c>
      <c r="C517">
        <v>990000</v>
      </c>
      <c r="D517">
        <v>1</v>
      </c>
      <c r="E517">
        <v>8</v>
      </c>
      <c r="F517" s="80">
        <v>44516</v>
      </c>
      <c r="G517">
        <f>IFERROR(IF((F517-F516)&gt;1,(LARGE(F517:$F517,1)-LARGE(F$514:$F517,2))-1,""),"")</f>
        <v>1</v>
      </c>
    </row>
    <row r="518" spans="1:7">
      <c r="A518" s="14" t="s">
        <v>47032</v>
      </c>
      <c r="B518">
        <v>990000</v>
      </c>
      <c r="C518">
        <v>990000</v>
      </c>
      <c r="D518">
        <v>2</v>
      </c>
      <c r="E518">
        <v>14</v>
      </c>
      <c r="F518" s="80">
        <v>44517</v>
      </c>
      <c r="G518" t="str">
        <f>IFERROR(IF((F518-F517)&gt;1,(LARGE(F518:$F518,1)-LARGE(F$514:$F518,2))-1,""),"")</f>
        <v/>
      </c>
    </row>
    <row r="519" spans="1:7">
      <c r="A519" s="14">
        <f>E527</f>
        <v>8</v>
      </c>
      <c r="B519">
        <v>990000</v>
      </c>
      <c r="C519">
        <v>990000</v>
      </c>
      <c r="D519">
        <v>2</v>
      </c>
      <c r="E519">
        <v>8</v>
      </c>
      <c r="F519" s="80">
        <v>44519</v>
      </c>
      <c r="G519">
        <f>IFERROR(IF((F519-F518)&gt;1,(LARGE(F519:$F519,1)-LARGE(F$514:$F519,2))-1,""),"")</f>
        <v>1</v>
      </c>
    </row>
    <row r="520" spans="1:7">
      <c r="B520">
        <v>990000</v>
      </c>
      <c r="C520">
        <v>990000</v>
      </c>
      <c r="D520">
        <v>1</v>
      </c>
      <c r="E520">
        <v>8</v>
      </c>
      <c r="F520" s="80">
        <v>44520</v>
      </c>
      <c r="G520" t="str">
        <f>IFERROR(IF((F520-F519)&gt;1,(LARGE(F520:$F520,1)-LARGE(F$514:$F520,2))-1,""),"")</f>
        <v/>
      </c>
    </row>
    <row r="521" spans="1:7">
      <c r="B521">
        <v>990000</v>
      </c>
      <c r="C521">
        <v>990000</v>
      </c>
      <c r="D521">
        <v>1</v>
      </c>
      <c r="E521">
        <v>8</v>
      </c>
      <c r="F521" s="80">
        <v>44522</v>
      </c>
      <c r="G521">
        <f>IFERROR(IF((F521-F520)&gt;1,(LARGE(F521:$F521,1)-LARGE(F$514:$F521,2))-1,""),"")</f>
        <v>1</v>
      </c>
    </row>
    <row r="522" spans="1:7">
      <c r="B522">
        <v>1068000</v>
      </c>
      <c r="C522">
        <v>1068000</v>
      </c>
      <c r="D522">
        <v>1</v>
      </c>
      <c r="E522">
        <v>4</v>
      </c>
      <c r="F522" s="80">
        <v>44533</v>
      </c>
      <c r="G522">
        <f>IFERROR(IF((F522-F521)&gt;1,(LARGE(F522:$F522,1)-LARGE(F$514:$F522,2))-1,""),"")</f>
        <v>10</v>
      </c>
    </row>
    <row r="523" spans="1:7">
      <c r="B523">
        <v>981411.76</v>
      </c>
      <c r="C523">
        <v>700000</v>
      </c>
      <c r="D523">
        <v>3</v>
      </c>
      <c r="E523">
        <v>34</v>
      </c>
      <c r="F523" s="80">
        <v>44540</v>
      </c>
      <c r="G523">
        <f>IFERROR(IF((F523-F522)&gt;1,(LARGE(F523:$F523,1)-LARGE(F$514:$F523,2))-1,""),"")</f>
        <v>6</v>
      </c>
    </row>
    <row r="524" spans="1:7">
      <c r="B524">
        <v>1068000</v>
      </c>
      <c r="C524">
        <v>1068000</v>
      </c>
      <c r="D524">
        <v>4</v>
      </c>
      <c r="E524">
        <v>68</v>
      </c>
      <c r="F524" s="80">
        <v>44542</v>
      </c>
      <c r="G524">
        <f>IFERROR(IF((F524-F523)&gt;1,(LARGE(F524:$F524,1)-LARGE(F$514:$F524,2))-1,""),"")</f>
        <v>1</v>
      </c>
    </row>
    <row r="525" spans="1:7">
      <c r="B525">
        <v>1068000</v>
      </c>
      <c r="C525">
        <v>1068000</v>
      </c>
      <c r="D525">
        <v>1</v>
      </c>
      <c r="E525">
        <v>8</v>
      </c>
      <c r="F525" s="80">
        <v>44543</v>
      </c>
      <c r="G525" t="str">
        <f>IFERROR(IF((F525-F524)&gt;1,(LARGE(F525:$F525,1)-LARGE(F$514:$F525,2))-1,""),"")</f>
        <v/>
      </c>
    </row>
    <row r="526" spans="1:7">
      <c r="B526">
        <v>1068000</v>
      </c>
      <c r="C526">
        <v>1068000</v>
      </c>
      <c r="D526">
        <v>1</v>
      </c>
      <c r="E526">
        <v>8</v>
      </c>
      <c r="F526" s="80">
        <v>44544</v>
      </c>
      <c r="G526" t="str">
        <f>IFERROR(IF((F526-F525)&gt;1,(LARGE(F526:$F526,1)-LARGE(F$514:$F526,2))-1,""),"")</f>
        <v/>
      </c>
    </row>
    <row r="527" spans="1:7">
      <c r="B527">
        <v>1068000</v>
      </c>
      <c r="C527">
        <v>1068000</v>
      </c>
      <c r="D527">
        <v>1</v>
      </c>
      <c r="E527">
        <v>8</v>
      </c>
      <c r="F527" s="80">
        <v>44548</v>
      </c>
      <c r="G527">
        <f>IFERROR(IF((F527-F526)&gt;1,(LARGE(F527:$F527,1)-LARGE(F$514:$F527,2))-1,""),"")</f>
        <v>3</v>
      </c>
    </row>
    <row r="528" spans="1:7">
      <c r="A528" s="75">
        <f>VLOOKUP(TradeSheet!A37,TypeIDs!B:C,2,FALSE)</f>
        <v>23089</v>
      </c>
      <c r="B528" t="s">
        <v>47021</v>
      </c>
      <c r="C528" t="s">
        <v>47022</v>
      </c>
      <c r="D528" t="s">
        <v>47023</v>
      </c>
      <c r="E528" t="s">
        <v>47024</v>
      </c>
      <c r="F528" t="s">
        <v>47035</v>
      </c>
      <c r="G528" t="s">
        <v>47034</v>
      </c>
    </row>
    <row r="529" spans="1:7">
      <c r="A529" s="75" t="str">
        <f>CONCATENATE(SwaggerURL,input036)</f>
        <v>https://esi.evetech.net/latest/markets/10000021/history/?datasource=tranquility&amp;type_id=23089</v>
      </c>
      <c r="B529">
        <v>575500</v>
      </c>
      <c r="C529">
        <v>575000</v>
      </c>
      <c r="D529">
        <v>3</v>
      </c>
      <c r="E529">
        <v>8</v>
      </c>
      <c r="F529" s="80">
        <v>44513</v>
      </c>
      <c r="G529" t="str">
        <f>IFERROR(IF((F529-F528)&gt;1,(LARGE(F529:$F529,1)-LARGE(F$529:$F529,2))-1,""),"")</f>
        <v/>
      </c>
    </row>
    <row r="530" spans="1:7">
      <c r="A530" s="3" t="s">
        <v>47031</v>
      </c>
      <c r="B530">
        <v>576000</v>
      </c>
      <c r="C530">
        <v>576000</v>
      </c>
      <c r="D530">
        <v>4</v>
      </c>
      <c r="E530">
        <v>22</v>
      </c>
      <c r="F530" s="80">
        <v>44514</v>
      </c>
      <c r="G530" t="str">
        <f>IFERROR(IF((F530-F529)&gt;1,(LARGE(F530:$F530,1)-LARGE(F$529:$F530,2))-1,""),"")</f>
        <v/>
      </c>
    </row>
    <row r="531" spans="1:7">
      <c r="A531" s="3" t="e">
        <f>AVERAGE(H529:H542)</f>
        <v>#DIV/0!</v>
      </c>
      <c r="B531">
        <v>576000</v>
      </c>
      <c r="C531">
        <v>576000</v>
      </c>
      <c r="D531">
        <v>1</v>
      </c>
      <c r="E531">
        <v>6</v>
      </c>
      <c r="F531" s="80">
        <v>44515</v>
      </c>
      <c r="G531" t="str">
        <f>IFERROR(IF((F531-F530)&gt;1,(LARGE(F531:$F531,1)-LARGE(F$529:$F531,2))-1,""),"")</f>
        <v/>
      </c>
    </row>
    <row r="532" spans="1:7">
      <c r="A532" s="3">
        <f>AVERAGE(E529:E542)</f>
        <v>8.1428571428571423</v>
      </c>
      <c r="B532">
        <v>576000</v>
      </c>
      <c r="C532">
        <v>576000</v>
      </c>
      <c r="D532">
        <v>1</v>
      </c>
      <c r="E532">
        <v>15</v>
      </c>
      <c r="F532" s="80">
        <v>44520</v>
      </c>
      <c r="G532">
        <f>IFERROR(IF((F532-F531)&gt;1,(LARGE(F532:$F532,1)-LARGE(F$529:$F532,2))-1,""),"")</f>
        <v>4</v>
      </c>
    </row>
    <row r="533" spans="1:7">
      <c r="A533" s="14" t="s">
        <v>47032</v>
      </c>
      <c r="B533">
        <v>576000</v>
      </c>
      <c r="C533">
        <v>576000</v>
      </c>
      <c r="D533">
        <v>2</v>
      </c>
      <c r="E533">
        <v>11</v>
      </c>
      <c r="F533" s="80">
        <v>44521</v>
      </c>
      <c r="G533" t="str">
        <f>IFERROR(IF((F533-F532)&gt;1,(LARGE(F533:$F533,1)-LARGE(F$529:$F533,2))-1,""),"")</f>
        <v/>
      </c>
    </row>
    <row r="534" spans="1:7">
      <c r="A534" s="14">
        <f>E542</f>
        <v>5</v>
      </c>
      <c r="B534">
        <v>576000</v>
      </c>
      <c r="C534">
        <v>576000</v>
      </c>
      <c r="D534">
        <v>1</v>
      </c>
      <c r="E534">
        <v>5</v>
      </c>
      <c r="F534" s="80">
        <v>44523</v>
      </c>
      <c r="G534">
        <f>IFERROR(IF((F534-F533)&gt;1,(LARGE(F534:$F534,1)-LARGE(F$529:$F534,2))-1,""),"")</f>
        <v>1</v>
      </c>
    </row>
    <row r="535" spans="1:7">
      <c r="B535">
        <v>576000</v>
      </c>
      <c r="C535">
        <v>576000</v>
      </c>
      <c r="D535">
        <v>1</v>
      </c>
      <c r="E535">
        <v>6</v>
      </c>
      <c r="F535" s="80">
        <v>44524</v>
      </c>
      <c r="G535" t="str">
        <f>IFERROR(IF((F535-F534)&gt;1,(LARGE(F535:$F535,1)-LARGE(F$529:$F535,2))-1,""),"")</f>
        <v/>
      </c>
    </row>
    <row r="536" spans="1:7">
      <c r="B536">
        <v>576000</v>
      </c>
      <c r="C536">
        <v>576000</v>
      </c>
      <c r="D536">
        <v>2</v>
      </c>
      <c r="E536">
        <v>13</v>
      </c>
      <c r="F536" s="80">
        <v>44525</v>
      </c>
      <c r="G536" t="str">
        <f>IFERROR(IF((F536-F535)&gt;1,(LARGE(F536:$F536,1)-LARGE(F$529:$F536,2))-1,""),"")</f>
        <v/>
      </c>
    </row>
    <row r="537" spans="1:7">
      <c r="B537">
        <v>576000</v>
      </c>
      <c r="C537">
        <v>576000</v>
      </c>
      <c r="D537">
        <v>1</v>
      </c>
      <c r="E537">
        <v>4</v>
      </c>
      <c r="F537" s="80">
        <v>44528</v>
      </c>
      <c r="G537">
        <f>IFERROR(IF((F537-F536)&gt;1,(LARGE(F537:$F537,1)-LARGE(F$529:$F537,2))-1,""),"")</f>
        <v>2</v>
      </c>
    </row>
    <row r="538" spans="1:7">
      <c r="B538">
        <v>576000</v>
      </c>
      <c r="C538">
        <v>576000</v>
      </c>
      <c r="D538">
        <v>1</v>
      </c>
      <c r="E538">
        <v>3</v>
      </c>
      <c r="F538" s="80">
        <v>44529</v>
      </c>
      <c r="G538" t="str">
        <f>IFERROR(IF((F538-F537)&gt;1,(LARGE(F538:$F538,1)-LARGE(F$529:$F538,2))-1,""),"")</f>
        <v/>
      </c>
    </row>
    <row r="539" spans="1:7">
      <c r="B539">
        <v>576100</v>
      </c>
      <c r="C539">
        <v>576100</v>
      </c>
      <c r="D539">
        <v>1</v>
      </c>
      <c r="E539">
        <v>5</v>
      </c>
      <c r="F539" s="80">
        <v>44533</v>
      </c>
      <c r="G539">
        <f>IFERROR(IF((F539-F538)&gt;1,(LARGE(F539:$F539,1)-LARGE(F$529:$F539,2))-1,""),"")</f>
        <v>3</v>
      </c>
    </row>
    <row r="540" spans="1:7">
      <c r="B540">
        <v>576100</v>
      </c>
      <c r="C540">
        <v>576100</v>
      </c>
      <c r="D540">
        <v>1</v>
      </c>
      <c r="E540">
        <v>10</v>
      </c>
      <c r="F540" s="80">
        <v>44535</v>
      </c>
      <c r="G540">
        <f>IFERROR(IF((F540-F539)&gt;1,(LARGE(F540:$F540,1)-LARGE(F$529:$F540,2))-1,""),"")</f>
        <v>1</v>
      </c>
    </row>
    <row r="541" spans="1:7">
      <c r="B541">
        <v>576000</v>
      </c>
      <c r="C541">
        <v>576000</v>
      </c>
      <c r="D541">
        <v>1</v>
      </c>
      <c r="E541">
        <v>1</v>
      </c>
      <c r="F541" s="80">
        <v>44541</v>
      </c>
      <c r="G541">
        <f>IFERROR(IF((F541-F540)&gt;1,(LARGE(F541:$F541,1)-LARGE(F$529:$F541,2))-1,""),"")</f>
        <v>5</v>
      </c>
    </row>
    <row r="542" spans="1:7">
      <c r="B542">
        <v>575940</v>
      </c>
      <c r="C542">
        <v>575900</v>
      </c>
      <c r="D542">
        <v>2</v>
      </c>
      <c r="E542">
        <v>5</v>
      </c>
      <c r="F542" s="80">
        <v>44548</v>
      </c>
      <c r="G542">
        <f>IFERROR(IF((F542-F541)&gt;1,(LARGE(F542:$F542,1)-LARGE(F$529:$F542,2))-1,""),"")</f>
        <v>6</v>
      </c>
    </row>
    <row r="543" spans="1:7">
      <c r="A543" s="75">
        <f>VLOOKUP(TradeSheet!A38,TypeIDs!B:C,2,FALSE)</f>
        <v>23071</v>
      </c>
      <c r="B543" t="s">
        <v>47021</v>
      </c>
      <c r="C543" t="s">
        <v>47022</v>
      </c>
      <c r="D543" t="s">
        <v>47023</v>
      </c>
      <c r="E543" t="s">
        <v>47024</v>
      </c>
      <c r="F543" t="s">
        <v>47035</v>
      </c>
      <c r="G543" t="s">
        <v>47034</v>
      </c>
    </row>
    <row r="544" spans="1:7">
      <c r="A544" s="75" t="str">
        <f>CONCATENATE(SwaggerURL,input037)</f>
        <v>https://esi.evetech.net/latest/markets/10000021/history/?datasource=tranquility&amp;type_id=23071</v>
      </c>
      <c r="B544">
        <v>360000</v>
      </c>
      <c r="C544">
        <v>360000</v>
      </c>
      <c r="D544">
        <v>1</v>
      </c>
      <c r="E544">
        <v>3</v>
      </c>
      <c r="F544" s="80">
        <v>44527</v>
      </c>
      <c r="G544" t="str">
        <f>IFERROR(IF((F544-F543)&gt;1,(LARGE(F544:$F544,1)-LARGE(F$544:$F544,2))-1,""),"")</f>
        <v/>
      </c>
    </row>
    <row r="545" spans="1:7">
      <c r="A545" s="3" t="s">
        <v>47031</v>
      </c>
      <c r="B545">
        <v>360100</v>
      </c>
      <c r="C545">
        <v>360100</v>
      </c>
      <c r="D545">
        <v>2</v>
      </c>
      <c r="E545">
        <v>8</v>
      </c>
      <c r="F545" s="80">
        <v>44532</v>
      </c>
      <c r="G545">
        <f>IFERROR(IF((F545-F544)&gt;1,(LARGE(F545:$F545,1)-LARGE(F$544:$F545,2))-1,""),"")</f>
        <v>4</v>
      </c>
    </row>
    <row r="546" spans="1:7">
      <c r="A546" s="3" t="e">
        <f>AVERAGE(H544:H557)</f>
        <v>#DIV/0!</v>
      </c>
      <c r="B546">
        <v>360100</v>
      </c>
      <c r="C546">
        <v>360100</v>
      </c>
      <c r="D546">
        <v>2</v>
      </c>
      <c r="E546">
        <v>12</v>
      </c>
      <c r="F546" s="80">
        <v>44533</v>
      </c>
      <c r="G546" t="str">
        <f>IFERROR(IF((F546-F545)&gt;1,(LARGE(F546:$F546,1)-LARGE(F$544:$F546,2))-1,""),"")</f>
        <v/>
      </c>
    </row>
    <row r="547" spans="1:7">
      <c r="A547" s="3">
        <f>AVERAGE(E544:E557)</f>
        <v>13.357142857142858</v>
      </c>
      <c r="B547">
        <v>360100</v>
      </c>
      <c r="C547">
        <v>360100</v>
      </c>
      <c r="D547">
        <v>1</v>
      </c>
      <c r="E547">
        <v>4</v>
      </c>
      <c r="F547" s="80">
        <v>44534</v>
      </c>
      <c r="G547" t="str">
        <f>IFERROR(IF((F547-F546)&gt;1,(LARGE(F547:$F547,1)-LARGE(F$544:$F547,2))-1,""),"")</f>
        <v/>
      </c>
    </row>
    <row r="548" spans="1:7">
      <c r="A548" s="14" t="s">
        <v>47032</v>
      </c>
      <c r="B548">
        <v>360100</v>
      </c>
      <c r="C548">
        <v>360100</v>
      </c>
      <c r="D548">
        <v>1</v>
      </c>
      <c r="E548">
        <v>4</v>
      </c>
      <c r="F548" s="80">
        <v>44535</v>
      </c>
      <c r="G548" t="str">
        <f>IFERROR(IF((F548-F547)&gt;1,(LARGE(F548:$F548,1)-LARGE(F$544:$F548,2))-1,""),"")</f>
        <v/>
      </c>
    </row>
    <row r="549" spans="1:7">
      <c r="A549" s="14">
        <f>E557</f>
        <v>24</v>
      </c>
      <c r="B549">
        <v>360100</v>
      </c>
      <c r="C549">
        <v>360100</v>
      </c>
      <c r="D549">
        <v>1</v>
      </c>
      <c r="E549">
        <v>4</v>
      </c>
      <c r="F549" s="80">
        <v>44536</v>
      </c>
      <c r="G549" t="str">
        <f>IFERROR(IF((F549-F548)&gt;1,(LARGE(F549:$F549,1)-LARGE(F$544:$F549,2))-1,""),"")</f>
        <v/>
      </c>
    </row>
    <row r="550" spans="1:7">
      <c r="B550">
        <v>360100</v>
      </c>
      <c r="C550">
        <v>360100</v>
      </c>
      <c r="D550">
        <v>7</v>
      </c>
      <c r="E550">
        <v>28</v>
      </c>
      <c r="F550" s="80">
        <v>44538</v>
      </c>
      <c r="G550">
        <f>IFERROR(IF((F550-F549)&gt;1,(LARGE(F550:$F550,1)-LARGE(F$544:$F550,2))-1,""),"")</f>
        <v>1</v>
      </c>
    </row>
    <row r="551" spans="1:7">
      <c r="B551">
        <v>360100</v>
      </c>
      <c r="C551">
        <v>360100</v>
      </c>
      <c r="D551">
        <v>1</v>
      </c>
      <c r="E551">
        <v>4</v>
      </c>
      <c r="F551" s="80">
        <v>44539</v>
      </c>
      <c r="G551" t="str">
        <f>IFERROR(IF((F551-F550)&gt;1,(LARGE(F551:$F551,1)-LARGE(F$544:$F551,2))-1,""),"")</f>
        <v/>
      </c>
    </row>
    <row r="552" spans="1:7">
      <c r="B552">
        <v>360100</v>
      </c>
      <c r="C552">
        <v>360100</v>
      </c>
      <c r="D552">
        <v>1</v>
      </c>
      <c r="E552">
        <v>4</v>
      </c>
      <c r="F552" s="80">
        <v>44540</v>
      </c>
      <c r="G552" t="str">
        <f>IFERROR(IF((F552-F551)&gt;1,(LARGE(F552:$F552,1)-LARGE(F$544:$F552,2))-1,""),"")</f>
        <v/>
      </c>
    </row>
    <row r="553" spans="1:7">
      <c r="B553">
        <v>300160</v>
      </c>
      <c r="C553">
        <v>260200</v>
      </c>
      <c r="D553">
        <v>5</v>
      </c>
      <c r="E553">
        <v>20</v>
      </c>
      <c r="F553" s="80">
        <v>44542</v>
      </c>
      <c r="G553">
        <f>IFERROR(IF((F553-F552)&gt;1,(LARGE(F553:$F553,1)-LARGE(F$544:$F553,2))-1,""),"")</f>
        <v>1</v>
      </c>
    </row>
    <row r="554" spans="1:7">
      <c r="B554">
        <v>352964.29</v>
      </c>
      <c r="C554">
        <v>260200</v>
      </c>
      <c r="D554">
        <v>13</v>
      </c>
      <c r="E554">
        <v>56</v>
      </c>
      <c r="F554" s="80">
        <v>44544</v>
      </c>
      <c r="G554">
        <f>IFERROR(IF((F554-F553)&gt;1,(LARGE(F554:$F554,1)-LARGE(F$544:$F554,2))-1,""),"")</f>
        <v>1</v>
      </c>
    </row>
    <row r="555" spans="1:7">
      <c r="B555">
        <v>360100</v>
      </c>
      <c r="C555">
        <v>360100</v>
      </c>
      <c r="D555">
        <v>1</v>
      </c>
      <c r="E555">
        <v>1</v>
      </c>
      <c r="F555" s="80">
        <v>44545</v>
      </c>
      <c r="G555" t="str">
        <f>IFERROR(IF((F555-F554)&gt;1,(LARGE(F555:$F555,1)-LARGE(F$544:$F555,2))-1,""),"")</f>
        <v/>
      </c>
    </row>
    <row r="556" spans="1:7">
      <c r="B556">
        <v>360100</v>
      </c>
      <c r="C556">
        <v>360100</v>
      </c>
      <c r="D556">
        <v>4</v>
      </c>
      <c r="E556">
        <v>15</v>
      </c>
      <c r="F556" s="80">
        <v>44546</v>
      </c>
      <c r="G556" t="str">
        <f>IFERROR(IF((F556-F555)&gt;1,(LARGE(F556:$F556,1)-LARGE(F$544:$F556,2))-1,""),"")</f>
        <v/>
      </c>
    </row>
    <row r="557" spans="1:7">
      <c r="B557">
        <v>360100</v>
      </c>
      <c r="C557">
        <v>360100</v>
      </c>
      <c r="D557">
        <v>4</v>
      </c>
      <c r="E557">
        <v>24</v>
      </c>
      <c r="F557" s="80">
        <v>44547</v>
      </c>
      <c r="G557" t="str">
        <f>IFERROR(IF((F557-F556)&gt;1,(LARGE(F557:$F557,1)-LARGE(F$544:$F557,2))-1,""),"")</f>
        <v/>
      </c>
    </row>
    <row r="558" spans="1:7">
      <c r="A558" s="75">
        <f>VLOOKUP(TradeSheet!A39,TypeIDs!B:C,2,FALSE)</f>
        <v>12787</v>
      </c>
      <c r="B558" t="s">
        <v>47021</v>
      </c>
      <c r="C558" t="s">
        <v>47022</v>
      </c>
      <c r="D558" t="s">
        <v>47023</v>
      </c>
      <c r="E558" t="s">
        <v>47024</v>
      </c>
      <c r="F558" t="s">
        <v>47035</v>
      </c>
      <c r="G558" t="s">
        <v>47034</v>
      </c>
    </row>
    <row r="559" spans="1:7">
      <c r="A559" s="75" t="str">
        <f>CONCATENATE(SwaggerURL,input038)</f>
        <v>https://esi.evetech.net/latest/markets/10000021/history/?datasource=tranquility&amp;type_id=12787</v>
      </c>
      <c r="B559">
        <v>1350</v>
      </c>
      <c r="C559">
        <v>1350</v>
      </c>
      <c r="D559">
        <v>3</v>
      </c>
      <c r="E559">
        <v>7540</v>
      </c>
      <c r="F559" s="80">
        <v>44479</v>
      </c>
      <c r="G559" t="str">
        <f>IFERROR(IF((F559-F558)&gt;1,(LARGE(F559:$F559,1)-LARGE(F$559:$F559,2))-1,""),"")</f>
        <v/>
      </c>
    </row>
    <row r="560" spans="1:7">
      <c r="A560" s="3" t="s">
        <v>47031</v>
      </c>
      <c r="B560">
        <v>1400</v>
      </c>
      <c r="C560">
        <v>1400</v>
      </c>
      <c r="D560">
        <v>2</v>
      </c>
      <c r="E560">
        <v>12000</v>
      </c>
      <c r="F560" s="80">
        <v>44488</v>
      </c>
      <c r="G560">
        <f>IFERROR(IF((F560-F559)&gt;1,(LARGE(F560:$F560,1)-LARGE(F$559:$F560,2))-1,""),"")</f>
        <v>8</v>
      </c>
    </row>
    <row r="561" spans="1:7">
      <c r="A561" s="3" t="e">
        <f>AVERAGE(H559:H572)</f>
        <v>#DIV/0!</v>
      </c>
      <c r="B561">
        <v>400</v>
      </c>
      <c r="C561">
        <v>400</v>
      </c>
      <c r="D561">
        <v>1</v>
      </c>
      <c r="E561">
        <v>2000</v>
      </c>
      <c r="F561" s="80">
        <v>44511</v>
      </c>
      <c r="G561">
        <f>IFERROR(IF((F561-F560)&gt;1,(LARGE(F561:$F561,1)-LARGE(F$559:$F561,2))-1,""),"")</f>
        <v>22</v>
      </c>
    </row>
    <row r="562" spans="1:7">
      <c r="A562" s="3">
        <f>AVERAGE(E559:E572)</f>
        <v>6128.3571428571431</v>
      </c>
      <c r="B562">
        <v>400</v>
      </c>
      <c r="C562">
        <v>400</v>
      </c>
      <c r="D562">
        <v>1</v>
      </c>
      <c r="E562">
        <v>3000</v>
      </c>
      <c r="F562" s="80">
        <v>44514</v>
      </c>
      <c r="G562">
        <f>IFERROR(IF((F562-F561)&gt;1,(LARGE(F562:$F562,1)-LARGE(F$559:$F562,2))-1,""),"")</f>
        <v>2</v>
      </c>
    </row>
    <row r="563" spans="1:7">
      <c r="A563" s="14" t="s">
        <v>47032</v>
      </c>
      <c r="B563">
        <v>1400</v>
      </c>
      <c r="C563">
        <v>1400</v>
      </c>
      <c r="D563">
        <v>1</v>
      </c>
      <c r="E563">
        <v>1400</v>
      </c>
      <c r="F563" s="80">
        <v>44532</v>
      </c>
      <c r="G563">
        <f>IFERROR(IF((F563-F562)&gt;1,(LARGE(F563:$F563,1)-LARGE(F$559:$F563,2))-1,""),"")</f>
        <v>17</v>
      </c>
    </row>
    <row r="564" spans="1:7">
      <c r="A564" s="14">
        <f>E572</f>
        <v>1000</v>
      </c>
      <c r="B564">
        <v>1400</v>
      </c>
      <c r="C564">
        <v>1400</v>
      </c>
      <c r="D564">
        <v>2</v>
      </c>
      <c r="E564">
        <v>3500</v>
      </c>
      <c r="F564" s="80">
        <v>44534</v>
      </c>
      <c r="G564">
        <f>IFERROR(IF((F564-F563)&gt;1,(LARGE(F564:$F564,1)-LARGE(F$559:$F564,2))-1,""),"")</f>
        <v>1</v>
      </c>
    </row>
    <row r="565" spans="1:7">
      <c r="B565">
        <v>1400</v>
      </c>
      <c r="C565">
        <v>1400</v>
      </c>
      <c r="D565">
        <v>1</v>
      </c>
      <c r="E565">
        <v>2000</v>
      </c>
      <c r="F565" s="80">
        <v>44536</v>
      </c>
      <c r="G565">
        <f>IFERROR(IF((F565-F564)&gt;1,(LARGE(F565:$F565,1)-LARGE(F$559:$F565,2))-1,""),"")</f>
        <v>1</v>
      </c>
    </row>
    <row r="566" spans="1:7">
      <c r="B566">
        <v>1400</v>
      </c>
      <c r="C566">
        <v>1400</v>
      </c>
      <c r="D566">
        <v>1</v>
      </c>
      <c r="E566">
        <v>1706</v>
      </c>
      <c r="F566" s="80">
        <v>44538</v>
      </c>
      <c r="G566">
        <f>IFERROR(IF((F566-F565)&gt;1,(LARGE(F566:$F566,1)-LARGE(F$559:$F566,2))-1,""),"")</f>
        <v>1</v>
      </c>
    </row>
    <row r="567" spans="1:7">
      <c r="B567">
        <v>1400</v>
      </c>
      <c r="C567">
        <v>1400</v>
      </c>
      <c r="D567">
        <v>1</v>
      </c>
      <c r="E567">
        <v>3394</v>
      </c>
      <c r="F567" s="80">
        <v>44539</v>
      </c>
      <c r="G567" t="str">
        <f>IFERROR(IF((F567-F566)&gt;1,(LARGE(F567:$F567,1)-LARGE(F$559:$F567,2))-1,""),"")</f>
        <v/>
      </c>
    </row>
    <row r="568" spans="1:7">
      <c r="B568">
        <v>1000</v>
      </c>
      <c r="C568">
        <v>1000</v>
      </c>
      <c r="D568">
        <v>1</v>
      </c>
      <c r="E568">
        <v>2000</v>
      </c>
      <c r="F568" s="80">
        <v>44540</v>
      </c>
      <c r="G568" t="str">
        <f>IFERROR(IF((F568-F567)&gt;1,(LARGE(F568:$F568,1)-LARGE(F$559:$F568,2))-1,""),"")</f>
        <v/>
      </c>
    </row>
    <row r="569" spans="1:7">
      <c r="B569">
        <v>949</v>
      </c>
      <c r="C569">
        <v>945</v>
      </c>
      <c r="D569">
        <v>4</v>
      </c>
      <c r="E569">
        <v>17256</v>
      </c>
      <c r="F569" s="80">
        <v>44542</v>
      </c>
      <c r="G569">
        <f>IFERROR(IF((F569-F568)&gt;1,(LARGE(F569:$F569,1)-LARGE(F$559:$F569,2))-1,""),"")</f>
        <v>1</v>
      </c>
    </row>
    <row r="570" spans="1:7">
      <c r="B570">
        <v>1000</v>
      </c>
      <c r="C570">
        <v>1000</v>
      </c>
      <c r="D570">
        <v>2</v>
      </c>
      <c r="E570">
        <v>20000</v>
      </c>
      <c r="F570" s="80">
        <v>44545</v>
      </c>
      <c r="G570">
        <f>IFERROR(IF((F570-F569)&gt;1,(LARGE(F570:$F570,1)-LARGE(F$559:$F570,2))-1,""),"")</f>
        <v>2</v>
      </c>
    </row>
    <row r="571" spans="1:7">
      <c r="B571">
        <v>1000</v>
      </c>
      <c r="C571">
        <v>1000</v>
      </c>
      <c r="D571">
        <v>4</v>
      </c>
      <c r="E571">
        <v>9001</v>
      </c>
      <c r="F571" s="80">
        <v>44546</v>
      </c>
      <c r="G571" t="str">
        <f>IFERROR(IF((F571-F570)&gt;1,(LARGE(F571:$F571,1)-LARGE(F$559:$F571,2))-1,""),"")</f>
        <v/>
      </c>
    </row>
    <row r="572" spans="1:7">
      <c r="B572">
        <v>998</v>
      </c>
      <c r="C572">
        <v>998</v>
      </c>
      <c r="D572">
        <v>1</v>
      </c>
      <c r="E572">
        <v>1000</v>
      </c>
      <c r="F572" s="80">
        <v>44548</v>
      </c>
      <c r="G572">
        <f>IFERROR(IF((F572-F571)&gt;1,(LARGE(F572:$F572,1)-LARGE(F$559:$F572,2))-1,""),"")</f>
        <v>1</v>
      </c>
    </row>
    <row r="573" spans="1:7">
      <c r="A573" s="75">
        <f>VLOOKUP(TradeSheet!A40,TypeIDs!B:C,2,FALSE)</f>
        <v>12785</v>
      </c>
      <c r="B573" t="s">
        <v>47021</v>
      </c>
      <c r="C573" t="s">
        <v>47022</v>
      </c>
      <c r="D573" t="s">
        <v>47023</v>
      </c>
      <c r="E573" t="s">
        <v>47024</v>
      </c>
      <c r="F573" t="s">
        <v>47035</v>
      </c>
      <c r="G573" t="s">
        <v>47034</v>
      </c>
    </row>
    <row r="574" spans="1:7">
      <c r="A574" s="75" t="str">
        <f>CONCATENATE(SwaggerURL,input039)</f>
        <v>https://esi.evetech.net/latest/markets/10000021/history/?datasource=tranquility&amp;type_id=12785</v>
      </c>
      <c r="B574">
        <v>195</v>
      </c>
      <c r="C574">
        <v>195</v>
      </c>
      <c r="D574">
        <v>4</v>
      </c>
      <c r="E574">
        <v>9900</v>
      </c>
      <c r="F574" s="80">
        <v>44534</v>
      </c>
      <c r="G574" t="str">
        <f>IFERROR(IF((F574-F573)&gt;1,(LARGE(F574:$F574,1)-LARGE(F$574:$F574,2))-1,""),"")</f>
        <v/>
      </c>
    </row>
    <row r="575" spans="1:7">
      <c r="A575" s="3" t="s">
        <v>47031</v>
      </c>
      <c r="B575">
        <v>195</v>
      </c>
      <c r="C575">
        <v>195</v>
      </c>
      <c r="D575">
        <v>1</v>
      </c>
      <c r="E575">
        <v>4796</v>
      </c>
      <c r="F575" s="80">
        <v>44535</v>
      </c>
      <c r="G575" t="str">
        <f>IFERROR(IF((F575-F574)&gt;1,(LARGE(F575:$F575,1)-LARGE(F$574:$F575,2))-1,""),"")</f>
        <v/>
      </c>
    </row>
    <row r="576" spans="1:7">
      <c r="A576" s="3" t="e">
        <f>AVERAGE(H574:H587)</f>
        <v>#DIV/0!</v>
      </c>
      <c r="B576">
        <v>195</v>
      </c>
      <c r="C576">
        <v>195</v>
      </c>
      <c r="D576">
        <v>2</v>
      </c>
      <c r="E576">
        <v>1942</v>
      </c>
      <c r="F576" s="80">
        <v>44536</v>
      </c>
      <c r="G576" t="str">
        <f>IFERROR(IF((F576-F575)&gt;1,(LARGE(F576:$F576,1)-LARGE(F$574:$F576,2))-1,""),"")</f>
        <v/>
      </c>
    </row>
    <row r="577" spans="1:7">
      <c r="A577" s="3">
        <f>AVERAGE(E574:E587)</f>
        <v>10441.142857142857</v>
      </c>
      <c r="B577">
        <v>195</v>
      </c>
      <c r="C577">
        <v>195</v>
      </c>
      <c r="D577">
        <v>1</v>
      </c>
      <c r="E577">
        <v>204</v>
      </c>
      <c r="F577" s="80">
        <v>44537</v>
      </c>
      <c r="G577" t="str">
        <f>IFERROR(IF((F577-F576)&gt;1,(LARGE(F577:$F577,1)-LARGE(F$574:$F577,2))-1,""),"")</f>
        <v/>
      </c>
    </row>
    <row r="578" spans="1:7">
      <c r="A578" s="14" t="s">
        <v>47032</v>
      </c>
      <c r="B578">
        <v>196</v>
      </c>
      <c r="C578">
        <v>196</v>
      </c>
      <c r="D578">
        <v>5</v>
      </c>
      <c r="E578">
        <v>3500</v>
      </c>
      <c r="F578" s="80">
        <v>44539</v>
      </c>
      <c r="G578">
        <f>IFERROR(IF((F578-F577)&gt;1,(LARGE(F578:$F578,1)-LARGE(F$574:$F578,2))-1,""),"")</f>
        <v>1</v>
      </c>
    </row>
    <row r="579" spans="1:7">
      <c r="A579" s="14">
        <f>E587</f>
        <v>5000</v>
      </c>
      <c r="B579">
        <v>196</v>
      </c>
      <c r="C579">
        <v>196</v>
      </c>
      <c r="D579">
        <v>4</v>
      </c>
      <c r="E579">
        <v>72729</v>
      </c>
      <c r="F579" s="80">
        <v>44540</v>
      </c>
      <c r="G579" t="str">
        <f>IFERROR(IF((F579-F578)&gt;1,(LARGE(F579:$F579,1)-LARGE(F$574:$F579,2))-1,""),"")</f>
        <v/>
      </c>
    </row>
    <row r="580" spans="1:7">
      <c r="B580">
        <v>196</v>
      </c>
      <c r="C580">
        <v>196</v>
      </c>
      <c r="D580">
        <v>3</v>
      </c>
      <c r="E580">
        <v>15000</v>
      </c>
      <c r="F580" s="80">
        <v>44541</v>
      </c>
      <c r="G580" t="str">
        <f>IFERROR(IF((F580-F579)&gt;1,(LARGE(F580:$F580,1)-LARGE(F$574:$F580,2))-1,""),"")</f>
        <v/>
      </c>
    </row>
    <row r="581" spans="1:7">
      <c r="B581">
        <v>196</v>
      </c>
      <c r="C581">
        <v>196</v>
      </c>
      <c r="D581">
        <v>3</v>
      </c>
      <c r="E581">
        <v>19672</v>
      </c>
      <c r="F581" s="80">
        <v>44542</v>
      </c>
      <c r="G581" t="str">
        <f>IFERROR(IF((F581-F580)&gt;1,(LARGE(F581:$F581,1)-LARGE(F$574:$F581,2))-1,""),"")</f>
        <v/>
      </c>
    </row>
    <row r="582" spans="1:7">
      <c r="B582">
        <v>1000</v>
      </c>
      <c r="C582">
        <v>1000</v>
      </c>
      <c r="D582">
        <v>1</v>
      </c>
      <c r="E582">
        <v>1000</v>
      </c>
      <c r="F582" s="80">
        <v>44543</v>
      </c>
      <c r="G582" t="str">
        <f>IFERROR(IF((F582-F581)&gt;1,(LARGE(F582:$F582,1)-LARGE(F$574:$F582,2))-1,""),"")</f>
        <v/>
      </c>
    </row>
    <row r="583" spans="1:7">
      <c r="B583">
        <v>196</v>
      </c>
      <c r="C583">
        <v>196</v>
      </c>
      <c r="D583">
        <v>3</v>
      </c>
      <c r="E583">
        <v>6193</v>
      </c>
      <c r="F583" s="80">
        <v>44544</v>
      </c>
      <c r="G583" t="str">
        <f>IFERROR(IF((F583-F582)&gt;1,(LARGE(F583:$F583,1)-LARGE(F$574:$F583,2))-1,""),"")</f>
        <v/>
      </c>
    </row>
    <row r="584" spans="1:7">
      <c r="B584">
        <v>999</v>
      </c>
      <c r="C584">
        <v>999</v>
      </c>
      <c r="D584">
        <v>2</v>
      </c>
      <c r="E584">
        <v>3000</v>
      </c>
      <c r="F584" s="80">
        <v>44545</v>
      </c>
      <c r="G584" t="str">
        <f>IFERROR(IF((F584-F583)&gt;1,(LARGE(F584:$F584,1)-LARGE(F$574:$F584,2))-1,""),"")</f>
        <v/>
      </c>
    </row>
    <row r="585" spans="1:7">
      <c r="B585">
        <v>999</v>
      </c>
      <c r="C585">
        <v>999</v>
      </c>
      <c r="D585">
        <v>2</v>
      </c>
      <c r="E585">
        <v>1240</v>
      </c>
      <c r="F585" s="80">
        <v>44546</v>
      </c>
      <c r="G585" t="str">
        <f>IFERROR(IF((F585-F584)&gt;1,(LARGE(F585:$F585,1)-LARGE(F$574:$F585,2))-1,""),"")</f>
        <v/>
      </c>
    </row>
    <row r="586" spans="1:7">
      <c r="B586">
        <v>999</v>
      </c>
      <c r="C586">
        <v>999</v>
      </c>
      <c r="D586">
        <v>2</v>
      </c>
      <c r="E586">
        <v>2000</v>
      </c>
      <c r="F586" s="80">
        <v>44547</v>
      </c>
      <c r="G586" t="str">
        <f>IFERROR(IF((F586-F585)&gt;1,(LARGE(F586:$F586,1)-LARGE(F$574:$F586,2))-1,""),"")</f>
        <v/>
      </c>
    </row>
    <row r="587" spans="1:7">
      <c r="B587">
        <v>999</v>
      </c>
      <c r="C587">
        <v>999</v>
      </c>
      <c r="D587">
        <v>1</v>
      </c>
      <c r="E587">
        <v>5000</v>
      </c>
      <c r="F587" s="80">
        <v>44548</v>
      </c>
      <c r="G587" t="str">
        <f>IFERROR(IF((F587-F586)&gt;1,(LARGE(F587:$F587,1)-LARGE(F$574:$F587,2))-1,""),"")</f>
        <v/>
      </c>
    </row>
    <row r="588" spans="1:7">
      <c r="A588" s="75">
        <f>VLOOKUP(TradeSheet!A41,TypeIDs!B:C,2,FALSE)</f>
        <v>12789</v>
      </c>
      <c r="B588" t="s">
        <v>47021</v>
      </c>
      <c r="C588" t="s">
        <v>47022</v>
      </c>
      <c r="D588" t="s">
        <v>47023</v>
      </c>
      <c r="E588" t="s">
        <v>47024</v>
      </c>
      <c r="F588" t="s">
        <v>47035</v>
      </c>
      <c r="G588" t="s">
        <v>47034</v>
      </c>
    </row>
    <row r="589" spans="1:7">
      <c r="A589" s="75" t="str">
        <f>CONCATENATE(SwaggerURL,input040)</f>
        <v>https://esi.evetech.net/latest/markets/10000021/history/?datasource=tranquility&amp;type_id=12789</v>
      </c>
      <c r="B589">
        <v>758.8</v>
      </c>
      <c r="C589">
        <v>758.8</v>
      </c>
      <c r="D589">
        <v>1</v>
      </c>
      <c r="E589">
        <v>3000</v>
      </c>
      <c r="F589" s="80">
        <v>44533</v>
      </c>
      <c r="G589" t="str">
        <f>IFERROR(IF((F589-F588)&gt;1,(LARGE(F589:$F589,1)-LARGE(F$589:$F589,2))-1,""),"")</f>
        <v/>
      </c>
    </row>
    <row r="590" spans="1:7">
      <c r="A590" s="3" t="s">
        <v>47031</v>
      </c>
      <c r="B590">
        <v>750</v>
      </c>
      <c r="C590">
        <v>750</v>
      </c>
      <c r="D590">
        <v>5</v>
      </c>
      <c r="E590">
        <v>7380</v>
      </c>
      <c r="F590" s="80">
        <v>44534</v>
      </c>
      <c r="G590" t="str">
        <f>IFERROR(IF((F590-F589)&gt;1,(LARGE(F590:$F590,1)-LARGE(F$589:$F590,2))-1,""),"")</f>
        <v/>
      </c>
    </row>
    <row r="591" spans="1:7">
      <c r="A591" s="3" t="e">
        <f>AVERAGE(H589:H602)</f>
        <v>#DIV/0!</v>
      </c>
      <c r="B591">
        <v>758.8</v>
      </c>
      <c r="C591">
        <v>758.8</v>
      </c>
      <c r="D591">
        <v>4</v>
      </c>
      <c r="E591">
        <v>7320</v>
      </c>
      <c r="F591" s="80">
        <v>44535</v>
      </c>
      <c r="G591" t="str">
        <f>IFERROR(IF((F591-F590)&gt;1,(LARGE(F591:$F591,1)-LARGE(F$589:$F591,2))-1,""),"")</f>
        <v/>
      </c>
    </row>
    <row r="592" spans="1:7">
      <c r="A592" s="3">
        <f>AVERAGE(E589:E602)</f>
        <v>15268.214285714286</v>
      </c>
      <c r="B592">
        <v>758.7</v>
      </c>
      <c r="C592">
        <v>758.7</v>
      </c>
      <c r="D592">
        <v>3</v>
      </c>
      <c r="E592">
        <v>5179</v>
      </c>
      <c r="F592" s="80">
        <v>44536</v>
      </c>
      <c r="G592" t="str">
        <f>IFERROR(IF((F592-F591)&gt;1,(LARGE(F592:$F592,1)-LARGE(F$589:$F592,2))-1,""),"")</f>
        <v/>
      </c>
    </row>
    <row r="593" spans="1:7">
      <c r="A593" s="14" t="s">
        <v>47032</v>
      </c>
      <c r="B593">
        <v>754</v>
      </c>
      <c r="C593">
        <v>754</v>
      </c>
      <c r="D593">
        <v>3</v>
      </c>
      <c r="E593">
        <v>5280</v>
      </c>
      <c r="F593" s="80">
        <v>44537</v>
      </c>
      <c r="G593" t="str">
        <f>IFERROR(IF((F593-F592)&gt;1,(LARGE(F593:$F593,1)-LARGE(F$589:$F593,2))-1,""),"")</f>
        <v/>
      </c>
    </row>
    <row r="594" spans="1:7">
      <c r="A594" s="14">
        <f>E602</f>
        <v>1760</v>
      </c>
      <c r="B594">
        <v>742.9</v>
      </c>
      <c r="C594">
        <v>742.9</v>
      </c>
      <c r="D594">
        <v>1</v>
      </c>
      <c r="E594">
        <v>2988</v>
      </c>
      <c r="F594" s="80">
        <v>44539</v>
      </c>
      <c r="G594">
        <f>IFERROR(IF((F594-F593)&gt;1,(LARGE(F594:$F594,1)-LARGE(F$589:$F594,2))-1,""),"")</f>
        <v>1</v>
      </c>
    </row>
    <row r="595" spans="1:7">
      <c r="B595">
        <v>739.9</v>
      </c>
      <c r="C595">
        <v>739.9</v>
      </c>
      <c r="D595">
        <v>7</v>
      </c>
      <c r="E595">
        <v>77343</v>
      </c>
      <c r="F595" s="80">
        <v>44540</v>
      </c>
      <c r="G595" t="str">
        <f>IFERROR(IF((F595-F594)&gt;1,(LARGE(F595:$F595,1)-LARGE(F$589:$F595,2))-1,""),"")</f>
        <v/>
      </c>
    </row>
    <row r="596" spans="1:7">
      <c r="B596">
        <v>737.9</v>
      </c>
      <c r="C596">
        <v>737.9</v>
      </c>
      <c r="D596">
        <v>16</v>
      </c>
      <c r="E596">
        <v>36395</v>
      </c>
      <c r="F596" s="80">
        <v>44541</v>
      </c>
      <c r="G596" t="str">
        <f>IFERROR(IF((F596-F595)&gt;1,(LARGE(F596:$F596,1)-LARGE(F$589:$F596,2))-1,""),"")</f>
        <v/>
      </c>
    </row>
    <row r="597" spans="1:7">
      <c r="B597">
        <v>737.9</v>
      </c>
      <c r="C597">
        <v>737.9</v>
      </c>
      <c r="D597">
        <v>4</v>
      </c>
      <c r="E597">
        <v>31688</v>
      </c>
      <c r="F597" s="80">
        <v>44542</v>
      </c>
      <c r="G597" t="str">
        <f>IFERROR(IF((F597-F596)&gt;1,(LARGE(F597:$F597,1)-LARGE(F$589:$F597,2))-1,""),"")</f>
        <v/>
      </c>
    </row>
    <row r="598" spans="1:7">
      <c r="B598">
        <v>725</v>
      </c>
      <c r="C598">
        <v>725</v>
      </c>
      <c r="D598">
        <v>1</v>
      </c>
      <c r="E598">
        <v>1000</v>
      </c>
      <c r="F598" s="80">
        <v>44543</v>
      </c>
      <c r="G598" t="str">
        <f>IFERROR(IF((F598-F597)&gt;1,(LARGE(F598:$F598,1)-LARGE(F$589:$F598,2))-1,""),"")</f>
        <v/>
      </c>
    </row>
    <row r="599" spans="1:7">
      <c r="B599">
        <v>712</v>
      </c>
      <c r="C599">
        <v>712</v>
      </c>
      <c r="D599">
        <v>2</v>
      </c>
      <c r="E599">
        <v>7542</v>
      </c>
      <c r="F599" s="80">
        <v>44544</v>
      </c>
      <c r="G599" t="str">
        <f>IFERROR(IF((F599-F598)&gt;1,(LARGE(F599:$F599,1)-LARGE(F$589:$F599,2))-1,""),"")</f>
        <v/>
      </c>
    </row>
    <row r="600" spans="1:7">
      <c r="B600">
        <v>704</v>
      </c>
      <c r="C600">
        <v>704</v>
      </c>
      <c r="D600">
        <v>2</v>
      </c>
      <c r="E600">
        <v>7600</v>
      </c>
      <c r="F600" s="80">
        <v>44545</v>
      </c>
      <c r="G600" t="str">
        <f>IFERROR(IF((F600-F599)&gt;1,(LARGE(F600:$F600,1)-LARGE(F$589:$F600,2))-1,""),"")</f>
        <v/>
      </c>
    </row>
    <row r="601" spans="1:7">
      <c r="B601">
        <v>604</v>
      </c>
      <c r="C601">
        <v>604</v>
      </c>
      <c r="D601">
        <v>13</v>
      </c>
      <c r="E601">
        <v>19280</v>
      </c>
      <c r="F601" s="80">
        <v>44546</v>
      </c>
      <c r="G601" t="str">
        <f>IFERROR(IF((F601-F600)&gt;1,(LARGE(F601:$F601,1)-LARGE(F$589:$F601,2))-1,""),"")</f>
        <v/>
      </c>
    </row>
    <row r="602" spans="1:7">
      <c r="B602">
        <v>600</v>
      </c>
      <c r="C602">
        <v>600</v>
      </c>
      <c r="D602">
        <v>1</v>
      </c>
      <c r="E602">
        <v>1760</v>
      </c>
      <c r="F602" s="80">
        <v>44547</v>
      </c>
      <c r="G602" t="str">
        <f>IFERROR(IF((F602-F601)&gt;1,(LARGE(F602:$F602,1)-LARGE(F$589:$F602,2))-1,""),"")</f>
        <v/>
      </c>
    </row>
    <row r="603" spans="1:7">
      <c r="A603" s="75">
        <f>VLOOKUP(TradeSheet!A42,TypeIDs!B:C,2,FALSE)</f>
        <v>12614</v>
      </c>
      <c r="B603" t="s">
        <v>47021</v>
      </c>
      <c r="C603" t="s">
        <v>47022</v>
      </c>
      <c r="D603" t="s">
        <v>47023</v>
      </c>
      <c r="E603" t="s">
        <v>47024</v>
      </c>
      <c r="F603" t="s">
        <v>47035</v>
      </c>
      <c r="G603" t="s">
        <v>47034</v>
      </c>
    </row>
    <row r="604" spans="1:7">
      <c r="A604" s="75" t="str">
        <f>CONCATENATE(SwaggerURL,input041)</f>
        <v>https://esi.evetech.net/latest/markets/10000021/history/?datasource=tranquility&amp;type_id=12614</v>
      </c>
      <c r="B604">
        <v>79</v>
      </c>
      <c r="C604">
        <v>79</v>
      </c>
      <c r="D604">
        <v>2</v>
      </c>
      <c r="E604">
        <v>10000</v>
      </c>
      <c r="F604" s="80">
        <v>44530</v>
      </c>
      <c r="G604" t="str">
        <f>IFERROR(IF((F604-F603)&gt;1,(LARGE(F604:$F604,1)-LARGE(F$604:$F604,2))-1,""),"")</f>
        <v/>
      </c>
    </row>
    <row r="605" spans="1:7">
      <c r="A605" s="3" t="s">
        <v>47031</v>
      </c>
      <c r="B605">
        <v>79</v>
      </c>
      <c r="C605">
        <v>79</v>
      </c>
      <c r="D605">
        <v>2</v>
      </c>
      <c r="E605">
        <v>3000</v>
      </c>
      <c r="F605" s="80">
        <v>44531</v>
      </c>
      <c r="G605" t="str">
        <f>IFERROR(IF((F605-F604)&gt;1,(LARGE(F605:$F605,1)-LARGE(F$604:$F605,2))-1,""),"")</f>
        <v/>
      </c>
    </row>
    <row r="606" spans="1:7">
      <c r="A606" s="3" t="e">
        <f>AVERAGE(H604:H617)</f>
        <v>#DIV/0!</v>
      </c>
      <c r="B606">
        <v>79</v>
      </c>
      <c r="C606">
        <v>79</v>
      </c>
      <c r="D606">
        <v>1</v>
      </c>
      <c r="E606">
        <v>2000</v>
      </c>
      <c r="F606" s="80">
        <v>44532</v>
      </c>
      <c r="G606" t="str">
        <f>IFERROR(IF((F606-F605)&gt;1,(LARGE(F606:$F606,1)-LARGE(F$604:$F606,2))-1,""),"")</f>
        <v/>
      </c>
    </row>
    <row r="607" spans="1:7">
      <c r="A607" s="3">
        <f>AVERAGE(E604:E617)</f>
        <v>7320.4285714285716</v>
      </c>
      <c r="B607">
        <v>79</v>
      </c>
      <c r="C607">
        <v>79</v>
      </c>
      <c r="D607">
        <v>2</v>
      </c>
      <c r="E607">
        <v>1300</v>
      </c>
      <c r="F607" s="80">
        <v>44533</v>
      </c>
      <c r="G607" t="str">
        <f>IFERROR(IF((F607-F606)&gt;1,(LARGE(F607:$F607,1)-LARGE(F$604:$F607,2))-1,""),"")</f>
        <v/>
      </c>
    </row>
    <row r="608" spans="1:7">
      <c r="A608" s="14" t="s">
        <v>47032</v>
      </c>
      <c r="B608">
        <v>79</v>
      </c>
      <c r="C608">
        <v>79</v>
      </c>
      <c r="D608">
        <v>4</v>
      </c>
      <c r="E608">
        <v>6000</v>
      </c>
      <c r="F608" s="80">
        <v>44535</v>
      </c>
      <c r="G608">
        <f>IFERROR(IF((F608-F607)&gt;1,(LARGE(F608:$F608,1)-LARGE(F$604:$F608,2))-1,""),"")</f>
        <v>1</v>
      </c>
    </row>
    <row r="609" spans="1:7">
      <c r="A609" s="14">
        <f>E617</f>
        <v>5000</v>
      </c>
      <c r="B609">
        <v>79</v>
      </c>
      <c r="C609">
        <v>79</v>
      </c>
      <c r="D609">
        <v>4</v>
      </c>
      <c r="E609">
        <v>7107</v>
      </c>
      <c r="F609" s="80">
        <v>44536</v>
      </c>
      <c r="G609" t="str">
        <f>IFERROR(IF((F609-F608)&gt;1,(LARGE(F609:$F609,1)-LARGE(F$604:$F609,2))-1,""),"")</f>
        <v/>
      </c>
    </row>
    <row r="610" spans="1:7">
      <c r="B610">
        <v>79</v>
      </c>
      <c r="C610">
        <v>79</v>
      </c>
      <c r="D610">
        <v>1</v>
      </c>
      <c r="E610">
        <v>2000</v>
      </c>
      <c r="F610" s="80">
        <v>44537</v>
      </c>
      <c r="G610" t="str">
        <f>IFERROR(IF((F610-F609)&gt;1,(LARGE(F610:$F610,1)-LARGE(F$604:$F610,2))-1,""),"")</f>
        <v/>
      </c>
    </row>
    <row r="611" spans="1:7">
      <c r="B611">
        <v>79</v>
      </c>
      <c r="C611">
        <v>79</v>
      </c>
      <c r="D611">
        <v>1</v>
      </c>
      <c r="E611">
        <v>1000</v>
      </c>
      <c r="F611" s="80">
        <v>44540</v>
      </c>
      <c r="G611">
        <f>IFERROR(IF((F611-F610)&gt;1,(LARGE(F611:$F611,1)-LARGE(F$604:$F611,2))-1,""),"")</f>
        <v>2</v>
      </c>
    </row>
    <row r="612" spans="1:7">
      <c r="B612">
        <v>79</v>
      </c>
      <c r="C612">
        <v>79</v>
      </c>
      <c r="D612">
        <v>3</v>
      </c>
      <c r="E612">
        <v>5420</v>
      </c>
      <c r="F612" s="80">
        <v>44541</v>
      </c>
      <c r="G612" t="str">
        <f>IFERROR(IF((F612-F611)&gt;1,(LARGE(F612:$F612,1)-LARGE(F$604:$F612,2))-1,""),"")</f>
        <v/>
      </c>
    </row>
    <row r="613" spans="1:7">
      <c r="B613">
        <v>79</v>
      </c>
      <c r="C613">
        <v>79</v>
      </c>
      <c r="D613">
        <v>1</v>
      </c>
      <c r="E613">
        <v>1000</v>
      </c>
      <c r="F613" s="80">
        <v>44543</v>
      </c>
      <c r="G613">
        <f>IFERROR(IF((F613-F612)&gt;1,(LARGE(F613:$F613,1)-LARGE(F$604:$F613,2))-1,""),"")</f>
        <v>1</v>
      </c>
    </row>
    <row r="614" spans="1:7">
      <c r="B614">
        <v>79</v>
      </c>
      <c r="C614">
        <v>79</v>
      </c>
      <c r="D614">
        <v>4</v>
      </c>
      <c r="E614">
        <v>48339</v>
      </c>
      <c r="F614" s="80">
        <v>44544</v>
      </c>
      <c r="G614" t="str">
        <f>IFERROR(IF((F614-F613)&gt;1,(LARGE(F614:$F614,1)-LARGE(F$604:$F614,2))-1,""),"")</f>
        <v/>
      </c>
    </row>
    <row r="615" spans="1:7">
      <c r="B615">
        <v>200</v>
      </c>
      <c r="C615">
        <v>200</v>
      </c>
      <c r="D615">
        <v>4</v>
      </c>
      <c r="E615">
        <v>6320</v>
      </c>
      <c r="F615" s="80">
        <v>44545</v>
      </c>
      <c r="G615" t="str">
        <f>IFERROR(IF((F615-F614)&gt;1,(LARGE(F615:$F615,1)-LARGE(F$604:$F615,2))-1,""),"")</f>
        <v/>
      </c>
    </row>
    <row r="616" spans="1:7">
      <c r="B616">
        <v>200</v>
      </c>
      <c r="C616">
        <v>200</v>
      </c>
      <c r="D616">
        <v>2</v>
      </c>
      <c r="E616">
        <v>4000</v>
      </c>
      <c r="F616" s="80">
        <v>44546</v>
      </c>
      <c r="G616" t="str">
        <f>IFERROR(IF((F616-F615)&gt;1,(LARGE(F616:$F616,1)-LARGE(F$604:$F616,2))-1,""),"")</f>
        <v/>
      </c>
    </row>
    <row r="617" spans="1:7">
      <c r="B617">
        <v>200</v>
      </c>
      <c r="C617">
        <v>200</v>
      </c>
      <c r="D617">
        <v>1</v>
      </c>
      <c r="E617">
        <v>5000</v>
      </c>
      <c r="F617" s="80">
        <v>44547</v>
      </c>
      <c r="G617" t="str">
        <f>IFERROR(IF((F617-F616)&gt;1,(LARGE(F617:$F617,1)-LARGE(F$604:$F617,2))-1,""),"")</f>
        <v/>
      </c>
    </row>
    <row r="618" spans="1:7">
      <c r="A618" s="75">
        <f>VLOOKUP(TradeSheet!A43,TypeIDs!B:C,2,FALSE)</f>
        <v>12612</v>
      </c>
      <c r="B618" t="s">
        <v>47021</v>
      </c>
      <c r="C618" t="s">
        <v>47022</v>
      </c>
      <c r="D618" t="s">
        <v>47023</v>
      </c>
      <c r="E618" t="s">
        <v>47024</v>
      </c>
      <c r="F618" t="s">
        <v>47035</v>
      </c>
      <c r="G618" t="s">
        <v>47034</v>
      </c>
    </row>
    <row r="619" spans="1:7">
      <c r="A619" s="75" t="str">
        <f>CONCATENATE(SwaggerURL,input042)</f>
        <v>https://esi.evetech.net/latest/markets/10000021/history/?datasource=tranquility&amp;type_id=12612</v>
      </c>
      <c r="B619">
        <v>28</v>
      </c>
      <c r="C619">
        <v>28</v>
      </c>
      <c r="D619">
        <v>2</v>
      </c>
      <c r="E619">
        <v>2950</v>
      </c>
      <c r="F619" s="80">
        <v>44534</v>
      </c>
      <c r="G619" t="str">
        <f>IFERROR(IF((F619-F618)&gt;1,(LARGE(F619:$F619,1)-LARGE(F$619:$F619,2))-1,""),"")</f>
        <v/>
      </c>
    </row>
    <row r="620" spans="1:7">
      <c r="A620" s="3" t="s">
        <v>47031</v>
      </c>
      <c r="B620">
        <v>29</v>
      </c>
      <c r="C620">
        <v>29</v>
      </c>
      <c r="D620">
        <v>6</v>
      </c>
      <c r="E620">
        <v>21800</v>
      </c>
      <c r="F620" s="80">
        <v>44535</v>
      </c>
      <c r="G620" t="str">
        <f>IFERROR(IF((F620-F619)&gt;1,(LARGE(F620:$F620,1)-LARGE(F$619:$F620,2))-1,""),"")</f>
        <v/>
      </c>
    </row>
    <row r="621" spans="1:7">
      <c r="A621" s="3" t="e">
        <f>AVERAGE(H619:H632)</f>
        <v>#DIV/0!</v>
      </c>
      <c r="B621">
        <v>30</v>
      </c>
      <c r="C621">
        <v>30</v>
      </c>
      <c r="D621">
        <v>4</v>
      </c>
      <c r="E621">
        <v>6861</v>
      </c>
      <c r="F621" s="80">
        <v>44536</v>
      </c>
      <c r="G621" t="str">
        <f>IFERROR(IF((F621-F620)&gt;1,(LARGE(F621:$F621,1)-LARGE(F$619:$F621,2))-1,""),"")</f>
        <v/>
      </c>
    </row>
    <row r="622" spans="1:7">
      <c r="A622" s="3">
        <f>AVERAGE(E619:E632)</f>
        <v>41373.285714285717</v>
      </c>
      <c r="B622">
        <v>34.99</v>
      </c>
      <c r="C622">
        <v>34.99</v>
      </c>
      <c r="D622">
        <v>7</v>
      </c>
      <c r="E622">
        <v>467899</v>
      </c>
      <c r="F622" s="80">
        <v>44538</v>
      </c>
      <c r="G622">
        <f>IFERROR(IF((F622-F621)&gt;1,(LARGE(F622:$F622,1)-LARGE(F$619:$F622,2))-1,""),"")</f>
        <v>1</v>
      </c>
    </row>
    <row r="623" spans="1:7">
      <c r="A623" s="14" t="s">
        <v>47032</v>
      </c>
      <c r="B623">
        <v>39.97</v>
      </c>
      <c r="C623">
        <v>39.97</v>
      </c>
      <c r="D623">
        <v>2</v>
      </c>
      <c r="E623">
        <v>3500</v>
      </c>
      <c r="F623" s="80">
        <v>44539</v>
      </c>
      <c r="G623" t="str">
        <f>IFERROR(IF((F623-F622)&gt;1,(LARGE(F623:$F623,1)-LARGE(F$619:$F623,2))-1,""),"")</f>
        <v/>
      </c>
    </row>
    <row r="624" spans="1:7">
      <c r="A624" s="14">
        <f>E632</f>
        <v>4900</v>
      </c>
      <c r="B624">
        <v>39.97</v>
      </c>
      <c r="C624">
        <v>39.97</v>
      </c>
      <c r="D624">
        <v>5</v>
      </c>
      <c r="E624">
        <v>10125</v>
      </c>
      <c r="F624" s="80">
        <v>44540</v>
      </c>
      <c r="G624" t="str">
        <f>IFERROR(IF((F624-F623)&gt;1,(LARGE(F624:$F624,1)-LARGE(F$619:$F624,2))-1,""),"")</f>
        <v/>
      </c>
    </row>
    <row r="625" spans="1:7">
      <c r="B625">
        <v>39.97</v>
      </c>
      <c r="C625">
        <v>39.97</v>
      </c>
      <c r="D625">
        <v>7</v>
      </c>
      <c r="E625">
        <v>17335</v>
      </c>
      <c r="F625" s="80">
        <v>44541</v>
      </c>
      <c r="G625" t="str">
        <f>IFERROR(IF((F625-F624)&gt;1,(LARGE(F625:$F625,1)-LARGE(F$619:$F625,2))-1,""),"")</f>
        <v/>
      </c>
    </row>
    <row r="626" spans="1:7">
      <c r="B626">
        <v>39.97</v>
      </c>
      <c r="C626">
        <v>39.97</v>
      </c>
      <c r="D626">
        <v>1</v>
      </c>
      <c r="E626">
        <v>2000</v>
      </c>
      <c r="F626" s="80">
        <v>44542</v>
      </c>
      <c r="G626" t="str">
        <f>IFERROR(IF((F626-F625)&gt;1,(LARGE(F626:$F626,1)-LARGE(F$619:$F626,2))-1,""),"")</f>
        <v/>
      </c>
    </row>
    <row r="627" spans="1:7">
      <c r="B627">
        <v>39.97</v>
      </c>
      <c r="C627">
        <v>39.97</v>
      </c>
      <c r="D627">
        <v>1</v>
      </c>
      <c r="E627">
        <v>2000</v>
      </c>
      <c r="F627" s="80">
        <v>44543</v>
      </c>
      <c r="G627" t="str">
        <f>IFERROR(IF((F627-F626)&gt;1,(LARGE(F627:$F627,1)-LARGE(F$619:$F627,2))-1,""),"")</f>
        <v/>
      </c>
    </row>
    <row r="628" spans="1:7">
      <c r="B628">
        <v>39.97</v>
      </c>
      <c r="C628">
        <v>39.97</v>
      </c>
      <c r="D628">
        <v>6</v>
      </c>
      <c r="E628">
        <v>21667</v>
      </c>
      <c r="F628" s="80">
        <v>44544</v>
      </c>
      <c r="G628" t="str">
        <f>IFERROR(IF((F628-F627)&gt;1,(LARGE(F628:$F628,1)-LARGE(F$619:$F628,2))-1,""),"")</f>
        <v/>
      </c>
    </row>
    <row r="629" spans="1:7">
      <c r="B629">
        <v>39.97</v>
      </c>
      <c r="C629">
        <v>39.97</v>
      </c>
      <c r="D629">
        <v>4</v>
      </c>
      <c r="E629">
        <v>9499</v>
      </c>
      <c r="F629" s="80">
        <v>44545</v>
      </c>
      <c r="G629" t="str">
        <f>IFERROR(IF((F629-F628)&gt;1,(LARGE(F629:$F629,1)-LARGE(F$619:$F629,2))-1,""),"")</f>
        <v/>
      </c>
    </row>
    <row r="630" spans="1:7">
      <c r="B630">
        <v>39.99</v>
      </c>
      <c r="C630">
        <v>39.99</v>
      </c>
      <c r="D630">
        <v>4</v>
      </c>
      <c r="E630">
        <v>4690</v>
      </c>
      <c r="F630" s="80">
        <v>44546</v>
      </c>
      <c r="G630" t="str">
        <f>IFERROR(IF((F630-F629)&gt;1,(LARGE(F630:$F630,1)-LARGE(F$619:$F630,2))-1,""),"")</f>
        <v/>
      </c>
    </row>
    <row r="631" spans="1:7">
      <c r="B631">
        <v>39.99</v>
      </c>
      <c r="C631">
        <v>39.99</v>
      </c>
      <c r="D631">
        <v>1</v>
      </c>
      <c r="E631">
        <v>4000</v>
      </c>
      <c r="F631" s="80">
        <v>44547</v>
      </c>
      <c r="G631" t="str">
        <f>IFERROR(IF((F631-F630)&gt;1,(LARGE(F631:$F631,1)-LARGE(F$619:$F631,2))-1,""),"")</f>
        <v/>
      </c>
    </row>
    <row r="632" spans="1:7">
      <c r="B632">
        <v>39.99</v>
      </c>
      <c r="C632">
        <v>39.99</v>
      </c>
      <c r="D632">
        <v>2</v>
      </c>
      <c r="E632">
        <v>4900</v>
      </c>
      <c r="F632" s="80">
        <v>44548</v>
      </c>
      <c r="G632" t="str">
        <f>IFERROR(IF((F632-F631)&gt;1,(LARGE(F632:$F632,1)-LARGE(F$619:$F632,2))-1,""),"")</f>
        <v/>
      </c>
    </row>
    <row r="633" spans="1:7">
      <c r="A633" s="75">
        <f>VLOOKUP(TradeSheet!A44,TypeIDs!B:C,2,FALSE)</f>
        <v>12801</v>
      </c>
      <c r="B633" t="s">
        <v>47021</v>
      </c>
      <c r="C633" t="s">
        <v>47022</v>
      </c>
      <c r="D633" t="s">
        <v>47023</v>
      </c>
      <c r="E633" t="s">
        <v>47024</v>
      </c>
      <c r="F633" t="s">
        <v>47035</v>
      </c>
      <c r="G633" t="s">
        <v>47034</v>
      </c>
    </row>
    <row r="634" spans="1:7">
      <c r="A634" s="75" t="str">
        <f>CONCATENATE(SwaggerURL,input043)</f>
        <v>https://esi.evetech.net/latest/markets/10000021/history/?datasource=tranquility&amp;type_id=12801</v>
      </c>
      <c r="B634">
        <v>355</v>
      </c>
      <c r="C634">
        <v>355</v>
      </c>
      <c r="D634">
        <v>3</v>
      </c>
      <c r="E634">
        <v>16500</v>
      </c>
      <c r="F634" s="80">
        <v>44527</v>
      </c>
      <c r="G634" t="str">
        <f>IFERROR(IF((F634-F633)&gt;1,(LARGE(F634:$F634,1)-LARGE(F$634:$F634,2))-1,""),"")</f>
        <v/>
      </c>
    </row>
    <row r="635" spans="1:7">
      <c r="A635" s="3" t="s">
        <v>47031</v>
      </c>
      <c r="B635">
        <v>355</v>
      </c>
      <c r="C635">
        <v>355</v>
      </c>
      <c r="D635">
        <v>4</v>
      </c>
      <c r="E635">
        <v>6000</v>
      </c>
      <c r="F635" s="80">
        <v>44528</v>
      </c>
      <c r="G635" t="str">
        <f>IFERROR(IF((F635-F634)&gt;1,(LARGE(F635:$F635,1)-LARGE(F$634:$F635,2))-1,""),"")</f>
        <v/>
      </c>
    </row>
    <row r="636" spans="1:7">
      <c r="A636" s="3" t="e">
        <f>AVERAGE(H634:H647)</f>
        <v>#DIV/0!</v>
      </c>
      <c r="B636">
        <v>340</v>
      </c>
      <c r="C636">
        <v>340</v>
      </c>
      <c r="D636">
        <v>1</v>
      </c>
      <c r="E636">
        <v>1000</v>
      </c>
      <c r="F636" s="80">
        <v>44529</v>
      </c>
      <c r="G636" t="str">
        <f>IFERROR(IF((F636-F635)&gt;1,(LARGE(F636:$F636,1)-LARGE(F$634:$F636,2))-1,""),"")</f>
        <v/>
      </c>
    </row>
    <row r="637" spans="1:7">
      <c r="A637" s="3">
        <f>AVERAGE(E634:E647)</f>
        <v>7300</v>
      </c>
      <c r="B637">
        <v>340</v>
      </c>
      <c r="C637">
        <v>340</v>
      </c>
      <c r="D637">
        <v>5</v>
      </c>
      <c r="E637">
        <v>8008</v>
      </c>
      <c r="F637" s="80">
        <v>44530</v>
      </c>
      <c r="G637" t="str">
        <f>IFERROR(IF((F637-F636)&gt;1,(LARGE(F637:$F637,1)-LARGE(F$634:$F637,2))-1,""),"")</f>
        <v/>
      </c>
    </row>
    <row r="638" spans="1:7">
      <c r="A638" s="14" t="s">
        <v>47032</v>
      </c>
      <c r="B638">
        <v>300</v>
      </c>
      <c r="C638">
        <v>300</v>
      </c>
      <c r="D638">
        <v>6</v>
      </c>
      <c r="E638">
        <v>11995</v>
      </c>
      <c r="F638" s="80">
        <v>44531</v>
      </c>
      <c r="G638" t="str">
        <f>IFERROR(IF((F638-F637)&gt;1,(LARGE(F638:$F638,1)-LARGE(F$634:$F638,2))-1,""),"")</f>
        <v/>
      </c>
    </row>
    <row r="639" spans="1:7">
      <c r="A639" s="14">
        <f>E647</f>
        <v>21579</v>
      </c>
      <c r="B639">
        <v>250</v>
      </c>
      <c r="C639">
        <v>250</v>
      </c>
      <c r="D639">
        <v>2</v>
      </c>
      <c r="E639">
        <v>5318</v>
      </c>
      <c r="F639" s="80">
        <v>44532</v>
      </c>
      <c r="G639" t="str">
        <f>IFERROR(IF((F639-F638)&gt;1,(LARGE(F639:$F639,1)-LARGE(F$634:$F639,2))-1,""),"")</f>
        <v/>
      </c>
    </row>
    <row r="640" spans="1:7">
      <c r="B640">
        <v>290</v>
      </c>
      <c r="C640">
        <v>290</v>
      </c>
      <c r="D640">
        <v>1</v>
      </c>
      <c r="E640">
        <v>1000</v>
      </c>
      <c r="F640" s="80">
        <v>44534</v>
      </c>
      <c r="G640">
        <f>IFERROR(IF((F640-F639)&gt;1,(LARGE(F640:$F640,1)-LARGE(F$634:$F640,2))-1,""),"")</f>
        <v>1</v>
      </c>
    </row>
    <row r="641" spans="1:7">
      <c r="B641">
        <v>290</v>
      </c>
      <c r="C641">
        <v>290</v>
      </c>
      <c r="D641">
        <v>1</v>
      </c>
      <c r="E641">
        <v>1000</v>
      </c>
      <c r="F641" s="80">
        <v>44535</v>
      </c>
      <c r="G641" t="str">
        <f>IFERROR(IF((F641-F640)&gt;1,(LARGE(F641:$F641,1)-LARGE(F$634:$F641,2))-1,""),"")</f>
        <v/>
      </c>
    </row>
    <row r="642" spans="1:7">
      <c r="B642">
        <v>325</v>
      </c>
      <c r="C642">
        <v>325</v>
      </c>
      <c r="D642">
        <v>1</v>
      </c>
      <c r="E642">
        <v>2000</v>
      </c>
      <c r="F642" s="80">
        <v>44537</v>
      </c>
      <c r="G642">
        <f>IFERROR(IF((F642-F641)&gt;1,(LARGE(F642:$F642,1)-LARGE(F$634:$F642,2))-1,""),"")</f>
        <v>1</v>
      </c>
    </row>
    <row r="643" spans="1:7">
      <c r="B643">
        <v>319.89999999999998</v>
      </c>
      <c r="C643">
        <v>319.89999999999998</v>
      </c>
      <c r="D643">
        <v>1</v>
      </c>
      <c r="E643">
        <v>300</v>
      </c>
      <c r="F643" s="80">
        <v>44538</v>
      </c>
      <c r="G643" t="str">
        <f>IFERROR(IF((F643-F642)&gt;1,(LARGE(F643:$F643,1)-LARGE(F$634:$F643,2))-1,""),"")</f>
        <v/>
      </c>
    </row>
    <row r="644" spans="1:7">
      <c r="B644">
        <v>319.89999999999998</v>
      </c>
      <c r="C644">
        <v>319.89999999999998</v>
      </c>
      <c r="D644">
        <v>4</v>
      </c>
      <c r="E644">
        <v>24000</v>
      </c>
      <c r="F644" s="80">
        <v>44539</v>
      </c>
      <c r="G644" t="str">
        <f>IFERROR(IF((F644-F643)&gt;1,(LARGE(F644:$F644,1)-LARGE(F$634:$F644,2))-1,""),"")</f>
        <v/>
      </c>
    </row>
    <row r="645" spans="1:7">
      <c r="B645">
        <v>320</v>
      </c>
      <c r="C645">
        <v>320</v>
      </c>
      <c r="D645">
        <v>1</v>
      </c>
      <c r="E645">
        <v>1000</v>
      </c>
      <c r="F645" s="80">
        <v>44545</v>
      </c>
      <c r="G645">
        <f>IFERROR(IF((F645-F644)&gt;1,(LARGE(F645:$F645,1)-LARGE(F$634:$F645,2))-1,""),"")</f>
        <v>5</v>
      </c>
    </row>
    <row r="646" spans="1:7">
      <c r="B646">
        <v>320</v>
      </c>
      <c r="C646">
        <v>320</v>
      </c>
      <c r="D646">
        <v>2</v>
      </c>
      <c r="E646">
        <v>2500</v>
      </c>
      <c r="F646" s="80">
        <v>44546</v>
      </c>
      <c r="G646" t="str">
        <f>IFERROR(IF((F646-F645)&gt;1,(LARGE(F646:$F646,1)-LARGE(F$634:$F646,2))-1,""),"")</f>
        <v/>
      </c>
    </row>
    <row r="647" spans="1:7">
      <c r="B647">
        <v>324</v>
      </c>
      <c r="C647">
        <v>324</v>
      </c>
      <c r="D647">
        <v>8</v>
      </c>
      <c r="E647">
        <v>21579</v>
      </c>
      <c r="F647" s="80">
        <v>44548</v>
      </c>
      <c r="G647">
        <f>IFERROR(IF((F647-F646)&gt;1,(LARGE(F647:$F647,1)-LARGE(F$634:$F647,2))-1,""),"")</f>
        <v>1</v>
      </c>
    </row>
    <row r="648" spans="1:7">
      <c r="A648" s="75">
        <f>VLOOKUP(TradeSheet!A45,TypeIDs!B:C,2,FALSE)</f>
        <v>12805</v>
      </c>
      <c r="B648" t="s">
        <v>47021</v>
      </c>
      <c r="C648" t="s">
        <v>47022</v>
      </c>
      <c r="D648" t="s">
        <v>47023</v>
      </c>
      <c r="E648" t="s">
        <v>47024</v>
      </c>
      <c r="F648" t="s">
        <v>47035</v>
      </c>
      <c r="G648" t="s">
        <v>47034</v>
      </c>
    </row>
    <row r="649" spans="1:7">
      <c r="A649" s="75" t="str">
        <f>CONCATENATE(SwaggerURL,input044)</f>
        <v>https://esi.evetech.net/latest/markets/10000021/history/?datasource=tranquility&amp;type_id=12805</v>
      </c>
      <c r="B649">
        <v>244</v>
      </c>
      <c r="C649">
        <v>244</v>
      </c>
      <c r="D649">
        <v>7</v>
      </c>
      <c r="E649">
        <v>11052</v>
      </c>
      <c r="F649" s="80">
        <v>44530</v>
      </c>
      <c r="G649" t="str">
        <f>IFERROR(IF((F649-F648)&gt;1,(LARGE(F649:$F649,1)-LARGE(F$649:$F649,2))-1,""),"")</f>
        <v/>
      </c>
    </row>
    <row r="650" spans="1:7">
      <c r="A650" s="3" t="s">
        <v>47031</v>
      </c>
      <c r="B650">
        <v>244</v>
      </c>
      <c r="C650">
        <v>244</v>
      </c>
      <c r="D650">
        <v>7</v>
      </c>
      <c r="E650">
        <v>9155</v>
      </c>
      <c r="F650" s="80">
        <v>44531</v>
      </c>
      <c r="G650" t="str">
        <f>IFERROR(IF((F650-F649)&gt;1,(LARGE(F650:$F650,1)-LARGE(F$649:$F650,2))-1,""),"")</f>
        <v/>
      </c>
    </row>
    <row r="651" spans="1:7">
      <c r="A651" s="3" t="e">
        <f>AVERAGE(H649:H662)</f>
        <v>#DIV/0!</v>
      </c>
      <c r="B651">
        <v>244</v>
      </c>
      <c r="C651">
        <v>244</v>
      </c>
      <c r="D651">
        <v>3</v>
      </c>
      <c r="E651">
        <v>3800</v>
      </c>
      <c r="F651" s="80">
        <v>44532</v>
      </c>
      <c r="G651" t="str">
        <f>IFERROR(IF((F651-F650)&gt;1,(LARGE(F651:$F651,1)-LARGE(F$649:$F651,2))-1,""),"")</f>
        <v/>
      </c>
    </row>
    <row r="652" spans="1:7">
      <c r="A652" s="3">
        <f>AVERAGE(E649:E662)</f>
        <v>6263.3571428571431</v>
      </c>
      <c r="B652">
        <v>243</v>
      </c>
      <c r="C652">
        <v>243</v>
      </c>
      <c r="D652">
        <v>1</v>
      </c>
      <c r="E652">
        <v>1000</v>
      </c>
      <c r="F652" s="80">
        <v>44534</v>
      </c>
      <c r="G652">
        <f>IFERROR(IF((F652-F651)&gt;1,(LARGE(F652:$F652,1)-LARGE(F$649:$F652,2))-1,""),"")</f>
        <v>1</v>
      </c>
    </row>
    <row r="653" spans="1:7">
      <c r="A653" s="14" t="s">
        <v>47032</v>
      </c>
      <c r="B653">
        <v>243</v>
      </c>
      <c r="C653">
        <v>243</v>
      </c>
      <c r="D653">
        <v>1</v>
      </c>
      <c r="E653">
        <v>1000</v>
      </c>
      <c r="F653" s="80">
        <v>44535</v>
      </c>
      <c r="G653" t="str">
        <f>IFERROR(IF((F653-F652)&gt;1,(LARGE(F653:$F653,1)-LARGE(F$649:$F653,2))-1,""),"")</f>
        <v/>
      </c>
    </row>
    <row r="654" spans="1:7">
      <c r="A654" s="14">
        <f>E662</f>
        <v>16624</v>
      </c>
      <c r="B654">
        <v>243</v>
      </c>
      <c r="C654">
        <v>243</v>
      </c>
      <c r="D654">
        <v>1</v>
      </c>
      <c r="E654">
        <v>1000</v>
      </c>
      <c r="F654" s="80">
        <v>44537</v>
      </c>
      <c r="G654">
        <f>IFERROR(IF((F654-F653)&gt;1,(LARGE(F654:$F654,1)-LARGE(F$649:$F654,2))-1,""),"")</f>
        <v>1</v>
      </c>
    </row>
    <row r="655" spans="1:7">
      <c r="B655">
        <v>243</v>
      </c>
      <c r="C655">
        <v>243</v>
      </c>
      <c r="D655">
        <v>1</v>
      </c>
      <c r="E655">
        <v>300</v>
      </c>
      <c r="F655" s="80">
        <v>44538</v>
      </c>
      <c r="G655" t="str">
        <f>IFERROR(IF((F655-F654)&gt;1,(LARGE(F655:$F655,1)-LARGE(F$649:$F655,2))-1,""),"")</f>
        <v/>
      </c>
    </row>
    <row r="656" spans="1:7">
      <c r="B656">
        <v>243</v>
      </c>
      <c r="C656">
        <v>243</v>
      </c>
      <c r="D656">
        <v>3</v>
      </c>
      <c r="E656">
        <v>36000</v>
      </c>
      <c r="F656" s="80">
        <v>44539</v>
      </c>
      <c r="G656" t="str">
        <f>IFERROR(IF((F656-F655)&gt;1,(LARGE(F656:$F656,1)-LARGE(F$649:$F656,2))-1,""),"")</f>
        <v/>
      </c>
    </row>
    <row r="657" spans="1:7">
      <c r="B657">
        <v>243</v>
      </c>
      <c r="C657">
        <v>243</v>
      </c>
      <c r="D657">
        <v>1</v>
      </c>
      <c r="E657">
        <v>1076</v>
      </c>
      <c r="F657" s="80">
        <v>44540</v>
      </c>
      <c r="G657" t="str">
        <f>IFERROR(IF((F657-F656)&gt;1,(LARGE(F657:$F657,1)-LARGE(F$649:$F657,2))-1,""),"")</f>
        <v/>
      </c>
    </row>
    <row r="658" spans="1:7">
      <c r="B658">
        <v>243</v>
      </c>
      <c r="C658">
        <v>243</v>
      </c>
      <c r="D658">
        <v>1</v>
      </c>
      <c r="E658">
        <v>1500</v>
      </c>
      <c r="F658" s="80">
        <v>44542</v>
      </c>
      <c r="G658">
        <f>IFERROR(IF((F658-F657)&gt;1,(LARGE(F658:$F658,1)-LARGE(F$649:$F658,2))-1,""),"")</f>
        <v>1</v>
      </c>
    </row>
    <row r="659" spans="1:7">
      <c r="B659">
        <v>243</v>
      </c>
      <c r="C659">
        <v>243</v>
      </c>
      <c r="D659">
        <v>1</v>
      </c>
      <c r="E659">
        <v>1000</v>
      </c>
      <c r="F659" s="80">
        <v>44545</v>
      </c>
      <c r="G659">
        <f>IFERROR(IF((F659-F658)&gt;1,(LARGE(F659:$F659,1)-LARGE(F$649:$F659,2))-1,""),"")</f>
        <v>2</v>
      </c>
    </row>
    <row r="660" spans="1:7">
      <c r="B660">
        <v>243</v>
      </c>
      <c r="C660">
        <v>243</v>
      </c>
      <c r="D660">
        <v>2</v>
      </c>
      <c r="E660">
        <v>3940</v>
      </c>
      <c r="F660" s="80">
        <v>44546</v>
      </c>
      <c r="G660" t="str">
        <f>IFERROR(IF((F660-F659)&gt;1,(LARGE(F660:$F660,1)-LARGE(F$649:$F660,2))-1,""),"")</f>
        <v/>
      </c>
    </row>
    <row r="661" spans="1:7">
      <c r="B661">
        <v>242.8</v>
      </c>
      <c r="C661">
        <v>242.8</v>
      </c>
      <c r="D661">
        <v>1</v>
      </c>
      <c r="E661">
        <v>240</v>
      </c>
      <c r="F661" s="80">
        <v>44547</v>
      </c>
      <c r="G661" t="str">
        <f>IFERROR(IF((F661-F660)&gt;1,(LARGE(F661:$F661,1)-LARGE(F$649:$F661,2))-1,""),"")</f>
        <v/>
      </c>
    </row>
    <row r="662" spans="1:7">
      <c r="B662">
        <v>243</v>
      </c>
      <c r="C662">
        <v>243</v>
      </c>
      <c r="D662">
        <v>9</v>
      </c>
      <c r="E662">
        <v>16624</v>
      </c>
      <c r="F662" s="80">
        <v>44548</v>
      </c>
      <c r="G662" t="str">
        <f>IFERROR(IF((F662-F661)&gt;1,(LARGE(F662:$F662,1)-LARGE(F$649:$F662,2))-1,""),"")</f>
        <v/>
      </c>
    </row>
    <row r="663" spans="1:7">
      <c r="A663" s="75">
        <f>VLOOKUP(TradeSheet!A46,TypeIDs!B:C,2,FALSE)</f>
        <v>12618</v>
      </c>
      <c r="B663" t="s">
        <v>47021</v>
      </c>
      <c r="C663" t="s">
        <v>47022</v>
      </c>
      <c r="D663" t="s">
        <v>47023</v>
      </c>
      <c r="E663" t="s">
        <v>47024</v>
      </c>
      <c r="F663" t="s">
        <v>47035</v>
      </c>
      <c r="G663" t="s">
        <v>47034</v>
      </c>
    </row>
    <row r="664" spans="1:7">
      <c r="A664" s="75" t="str">
        <f>CONCATENATE(SwaggerURL,input045)</f>
        <v>https://esi.evetech.net/latest/markets/10000021/history/?datasource=tranquility&amp;type_id=12618</v>
      </c>
      <c r="B664">
        <v>133.6</v>
      </c>
      <c r="C664">
        <v>133.6</v>
      </c>
      <c r="D664">
        <v>1</v>
      </c>
      <c r="E664">
        <v>2000</v>
      </c>
      <c r="F664" s="80">
        <v>44520</v>
      </c>
      <c r="G664" t="str">
        <f>IFERROR(IF((F664-F663)&gt;1,(LARGE(F664:$F664,1)-LARGE(F$664:$F664,2))-1,""),"")</f>
        <v/>
      </c>
    </row>
    <row r="665" spans="1:7">
      <c r="A665" s="3" t="s">
        <v>47031</v>
      </c>
      <c r="B665">
        <v>129.9</v>
      </c>
      <c r="C665">
        <v>129.9</v>
      </c>
      <c r="D665">
        <v>1</v>
      </c>
      <c r="E665">
        <v>2000</v>
      </c>
      <c r="F665" s="80">
        <v>44521</v>
      </c>
      <c r="G665" t="str">
        <f>IFERROR(IF((F665-F664)&gt;1,(LARGE(F665:$F665,1)-LARGE(F$664:$F665,2))-1,""),"")</f>
        <v/>
      </c>
    </row>
    <row r="666" spans="1:7">
      <c r="A666" s="3" t="e">
        <f>AVERAGE(H664:H677)</f>
        <v>#DIV/0!</v>
      </c>
      <c r="B666">
        <v>115</v>
      </c>
      <c r="C666">
        <v>115</v>
      </c>
      <c r="D666">
        <v>1</v>
      </c>
      <c r="E666">
        <v>1000</v>
      </c>
      <c r="F666" s="80">
        <v>44526</v>
      </c>
      <c r="G666">
        <f>IFERROR(IF((F666-F665)&gt;1,(LARGE(F666:$F666,1)-LARGE(F$664:$F666,2))-1,""),"")</f>
        <v>4</v>
      </c>
    </row>
    <row r="667" spans="1:7">
      <c r="A667" s="3">
        <f>AVERAGE(E664:E677)</f>
        <v>2767.5</v>
      </c>
      <c r="B667">
        <v>115</v>
      </c>
      <c r="C667">
        <v>115</v>
      </c>
      <c r="D667">
        <v>2</v>
      </c>
      <c r="E667">
        <v>3172</v>
      </c>
      <c r="F667" s="80">
        <v>44527</v>
      </c>
      <c r="G667" t="str">
        <f>IFERROR(IF((F667-F666)&gt;1,(LARGE(F667:$F667,1)-LARGE(F$664:$F667,2))-1,""),"")</f>
        <v/>
      </c>
    </row>
    <row r="668" spans="1:7">
      <c r="A668" s="14" t="s">
        <v>47032</v>
      </c>
      <c r="B668">
        <v>75</v>
      </c>
      <c r="C668">
        <v>75</v>
      </c>
      <c r="D668">
        <v>1</v>
      </c>
      <c r="E668">
        <v>2000</v>
      </c>
      <c r="F668" s="80">
        <v>44529</v>
      </c>
      <c r="G668">
        <f>IFERROR(IF((F668-F667)&gt;1,(LARGE(F668:$F668,1)-LARGE(F$664:$F668,2))-1,""),"")</f>
        <v>1</v>
      </c>
    </row>
    <row r="669" spans="1:7">
      <c r="A669" s="14">
        <f>E677</f>
        <v>10000</v>
      </c>
      <c r="B669">
        <v>105</v>
      </c>
      <c r="C669">
        <v>105</v>
      </c>
      <c r="D669">
        <v>1</v>
      </c>
      <c r="E669">
        <v>1000</v>
      </c>
      <c r="F669" s="80">
        <v>44532</v>
      </c>
      <c r="G669">
        <f>IFERROR(IF((F669-F668)&gt;1,(LARGE(F669:$F669,1)-LARGE(F$664:$F669,2))-1,""),"")</f>
        <v>2</v>
      </c>
    </row>
    <row r="670" spans="1:7">
      <c r="B670">
        <v>115.1</v>
      </c>
      <c r="C670">
        <v>115.1</v>
      </c>
      <c r="D670">
        <v>3</v>
      </c>
      <c r="E670">
        <v>3800</v>
      </c>
      <c r="F670" s="80">
        <v>44533</v>
      </c>
      <c r="G670" t="str">
        <f>IFERROR(IF((F670-F669)&gt;1,(LARGE(F670:$F670,1)-LARGE(F$664:$F670,2))-1,""),"")</f>
        <v/>
      </c>
    </row>
    <row r="671" spans="1:7">
      <c r="B671">
        <v>130</v>
      </c>
      <c r="C671">
        <v>130</v>
      </c>
      <c r="D671">
        <v>7</v>
      </c>
      <c r="E671">
        <v>8156</v>
      </c>
      <c r="F671" s="80">
        <v>44534</v>
      </c>
      <c r="G671" t="str">
        <f>IFERROR(IF((F671-F670)&gt;1,(LARGE(F671:$F671,1)-LARGE(F$664:$F671,2))-1,""),"")</f>
        <v/>
      </c>
    </row>
    <row r="672" spans="1:7">
      <c r="B672">
        <v>130</v>
      </c>
      <c r="C672">
        <v>130</v>
      </c>
      <c r="D672">
        <v>1</v>
      </c>
      <c r="E672">
        <v>1080</v>
      </c>
      <c r="F672" s="80">
        <v>44535</v>
      </c>
      <c r="G672" t="str">
        <f>IFERROR(IF((F672-F671)&gt;1,(LARGE(F672:$F672,1)-LARGE(F$664:$F672,2))-1,""),"")</f>
        <v/>
      </c>
    </row>
    <row r="673" spans="1:7">
      <c r="B673">
        <v>130</v>
      </c>
      <c r="C673">
        <v>130</v>
      </c>
      <c r="D673">
        <v>2</v>
      </c>
      <c r="E673">
        <v>1000</v>
      </c>
      <c r="F673" s="80">
        <v>44541</v>
      </c>
      <c r="G673">
        <f>IFERROR(IF((F673-F672)&gt;1,(LARGE(F673:$F673,1)-LARGE(F$664:$F673,2))-1,""),"")</f>
        <v>5</v>
      </c>
    </row>
    <row r="674" spans="1:7">
      <c r="B674">
        <v>133.6</v>
      </c>
      <c r="C674">
        <v>133.6</v>
      </c>
      <c r="D674">
        <v>3</v>
      </c>
      <c r="E674">
        <v>1724</v>
      </c>
      <c r="F674" s="80">
        <v>44542</v>
      </c>
      <c r="G674" t="str">
        <f>IFERROR(IF((F674-F673)&gt;1,(LARGE(F674:$F674,1)-LARGE(F$664:$F674,2))-1,""),"")</f>
        <v/>
      </c>
    </row>
    <row r="675" spans="1:7">
      <c r="B675">
        <v>133.6</v>
      </c>
      <c r="C675">
        <v>133.6</v>
      </c>
      <c r="D675">
        <v>1</v>
      </c>
      <c r="E675">
        <v>935</v>
      </c>
      <c r="F675" s="80">
        <v>44545</v>
      </c>
      <c r="G675">
        <f>IFERROR(IF((F675-F674)&gt;1,(LARGE(F675:$F675,1)-LARGE(F$664:$F675,2))-1,""),"")</f>
        <v>2</v>
      </c>
    </row>
    <row r="676" spans="1:7">
      <c r="B676">
        <v>133.6</v>
      </c>
      <c r="C676">
        <v>133.6</v>
      </c>
      <c r="D676">
        <v>1</v>
      </c>
      <c r="E676">
        <v>878</v>
      </c>
      <c r="F676" s="80">
        <v>44546</v>
      </c>
      <c r="G676" t="str">
        <f>IFERROR(IF((F676-F675)&gt;1,(LARGE(F676:$F676,1)-LARGE(F$664:$F676,2))-1,""),"")</f>
        <v/>
      </c>
    </row>
    <row r="677" spans="1:7">
      <c r="B677">
        <v>130</v>
      </c>
      <c r="C677">
        <v>130</v>
      </c>
      <c r="D677">
        <v>1</v>
      </c>
      <c r="E677">
        <v>10000</v>
      </c>
      <c r="F677" s="80">
        <v>44548</v>
      </c>
      <c r="G677">
        <f>IFERROR(IF((F677-F676)&gt;1,(LARGE(F677:$F677,1)-LARGE(F$664:$F677,2))-1,""),"")</f>
        <v>1</v>
      </c>
    </row>
    <row r="678" spans="1:7">
      <c r="A678" s="75">
        <f>VLOOKUP(TradeSheet!A48,TypeIDs!B:C,2,FALSE)</f>
        <v>23025</v>
      </c>
      <c r="B678" t="s">
        <v>47021</v>
      </c>
      <c r="C678" t="s">
        <v>47022</v>
      </c>
      <c r="D678" t="s">
        <v>47023</v>
      </c>
      <c r="E678" t="s">
        <v>47024</v>
      </c>
      <c r="F678" t="s">
        <v>47035</v>
      </c>
      <c r="G678" t="s">
        <v>47034</v>
      </c>
    </row>
    <row r="679" spans="1:7">
      <c r="A679" s="75" t="str">
        <f>CONCATENATE(SwaggerURL,input046)</f>
        <v>https://esi.evetech.net/latest/markets/10000021/history/?datasource=tranquility&amp;type_id=23025</v>
      </c>
      <c r="B679">
        <v>676</v>
      </c>
      <c r="C679">
        <v>676</v>
      </c>
      <c r="D679">
        <v>7</v>
      </c>
      <c r="E679">
        <v>20150</v>
      </c>
      <c r="F679" s="80">
        <v>44534</v>
      </c>
      <c r="G679" t="str">
        <f>IFERROR(IF((F679-F678)&gt;1,(LARGE(F679:$F679,1)-LARGE(F$679:$F679,2))-1,""),"")</f>
        <v/>
      </c>
    </row>
    <row r="680" spans="1:7">
      <c r="A680" s="3" t="s">
        <v>47031</v>
      </c>
      <c r="B680">
        <v>676</v>
      </c>
      <c r="C680">
        <v>676</v>
      </c>
      <c r="D680">
        <v>5</v>
      </c>
      <c r="E680">
        <v>12765</v>
      </c>
      <c r="F680" s="80">
        <v>44535</v>
      </c>
      <c r="G680" t="str">
        <f>IFERROR(IF((F680-F679)&gt;1,(LARGE(F680:$F680,1)-LARGE(F$679:$F680,2))-1,""),"")</f>
        <v/>
      </c>
    </row>
    <row r="681" spans="1:7">
      <c r="A681" s="3" t="e">
        <f>AVERAGE(H679:H692)</f>
        <v>#DIV/0!</v>
      </c>
      <c r="B681">
        <v>676</v>
      </c>
      <c r="C681">
        <v>676</v>
      </c>
      <c r="D681">
        <v>2</v>
      </c>
      <c r="E681">
        <v>2500</v>
      </c>
      <c r="F681" s="80">
        <v>44536</v>
      </c>
      <c r="G681" t="str">
        <f>IFERROR(IF((F681-F680)&gt;1,(LARGE(F681:$F681,1)-LARGE(F$679:$F681,2))-1,""),"")</f>
        <v/>
      </c>
    </row>
    <row r="682" spans="1:7">
      <c r="A682" s="3">
        <f>AVERAGE(E679:E692)</f>
        <v>9554</v>
      </c>
      <c r="B682">
        <v>676</v>
      </c>
      <c r="C682">
        <v>676</v>
      </c>
      <c r="D682">
        <v>6</v>
      </c>
      <c r="E682">
        <v>12526</v>
      </c>
      <c r="F682" s="80">
        <v>44537</v>
      </c>
      <c r="G682" t="str">
        <f>IFERROR(IF((F682-F681)&gt;1,(LARGE(F682:$F682,1)-LARGE(F$679:$F682,2))-1,""),"")</f>
        <v/>
      </c>
    </row>
    <row r="683" spans="1:7">
      <c r="A683" s="14" t="s">
        <v>47032</v>
      </c>
      <c r="B683">
        <v>676</v>
      </c>
      <c r="C683">
        <v>676</v>
      </c>
      <c r="D683">
        <v>1</v>
      </c>
      <c r="E683">
        <v>1000</v>
      </c>
      <c r="F683" s="80">
        <v>44538</v>
      </c>
      <c r="G683" t="str">
        <f>IFERROR(IF((F683-F682)&gt;1,(LARGE(F683:$F683,1)-LARGE(F$679:$F683,2))-1,""),"")</f>
        <v/>
      </c>
    </row>
    <row r="684" spans="1:7">
      <c r="A684" s="14">
        <f>E692</f>
        <v>17451</v>
      </c>
      <c r="B684">
        <v>676</v>
      </c>
      <c r="C684">
        <v>676</v>
      </c>
      <c r="D684">
        <v>2</v>
      </c>
      <c r="E684">
        <v>36000</v>
      </c>
      <c r="F684" s="80">
        <v>44539</v>
      </c>
      <c r="G684" t="str">
        <f>IFERROR(IF((F684-F683)&gt;1,(LARGE(F684:$F684,1)-LARGE(F$679:$F684,2))-1,""),"")</f>
        <v/>
      </c>
    </row>
    <row r="685" spans="1:7">
      <c r="B685">
        <v>676</v>
      </c>
      <c r="C685">
        <v>676</v>
      </c>
      <c r="D685">
        <v>4</v>
      </c>
      <c r="E685">
        <v>3516</v>
      </c>
      <c r="F685" s="80">
        <v>44540</v>
      </c>
      <c r="G685" t="str">
        <f>IFERROR(IF((F685-F684)&gt;1,(LARGE(F685:$F685,1)-LARGE(F$679:$F685,2))-1,""),"")</f>
        <v/>
      </c>
    </row>
    <row r="686" spans="1:7">
      <c r="B686">
        <v>676.8</v>
      </c>
      <c r="C686">
        <v>676.8</v>
      </c>
      <c r="D686">
        <v>8</v>
      </c>
      <c r="E686">
        <v>7920</v>
      </c>
      <c r="F686" s="80">
        <v>44541</v>
      </c>
      <c r="G686" t="str">
        <f>IFERROR(IF((F686-F685)&gt;1,(LARGE(F686:$F686,1)-LARGE(F$679:$F686,2))-1,""),"")</f>
        <v/>
      </c>
    </row>
    <row r="687" spans="1:7">
      <c r="B687">
        <v>676.8</v>
      </c>
      <c r="C687">
        <v>676.8</v>
      </c>
      <c r="D687">
        <v>1</v>
      </c>
      <c r="E687">
        <v>100</v>
      </c>
      <c r="F687" s="80">
        <v>44542</v>
      </c>
      <c r="G687" t="str">
        <f>IFERROR(IF((F687-F686)&gt;1,(LARGE(F687:$F687,1)-LARGE(F$679:$F687,2))-1,""),"")</f>
        <v/>
      </c>
    </row>
    <row r="688" spans="1:7">
      <c r="B688">
        <v>676.8</v>
      </c>
      <c r="C688">
        <v>676.8</v>
      </c>
      <c r="D688">
        <v>3</v>
      </c>
      <c r="E688">
        <v>4645</v>
      </c>
      <c r="F688" s="80">
        <v>44544</v>
      </c>
      <c r="G688">
        <f>IFERROR(IF((F688-F687)&gt;1,(LARGE(F688:$F688,1)-LARGE(F$679:$F688,2))-1,""),"")</f>
        <v>1</v>
      </c>
    </row>
    <row r="689" spans="1:7">
      <c r="B689">
        <v>676.8</v>
      </c>
      <c r="C689">
        <v>676.8</v>
      </c>
      <c r="D689">
        <v>3</v>
      </c>
      <c r="E689">
        <v>3800</v>
      </c>
      <c r="F689" s="80">
        <v>44545</v>
      </c>
      <c r="G689" t="str">
        <f>IFERROR(IF((F689-F688)&gt;1,(LARGE(F689:$F689,1)-LARGE(F$679:$F689,2))-1,""),"")</f>
        <v/>
      </c>
    </row>
    <row r="690" spans="1:7">
      <c r="B690">
        <v>676.8</v>
      </c>
      <c r="C690">
        <v>676.8</v>
      </c>
      <c r="D690">
        <v>7</v>
      </c>
      <c r="E690">
        <v>7820</v>
      </c>
      <c r="F690" s="80">
        <v>44546</v>
      </c>
      <c r="G690" t="str">
        <f>IFERROR(IF((F690-F689)&gt;1,(LARGE(F690:$F690,1)-LARGE(F$679:$F690,2))-1,""),"")</f>
        <v/>
      </c>
    </row>
    <row r="691" spans="1:7">
      <c r="B691">
        <v>675.1</v>
      </c>
      <c r="C691">
        <v>675.1</v>
      </c>
      <c r="D691">
        <v>3</v>
      </c>
      <c r="E691">
        <v>3563</v>
      </c>
      <c r="F691" s="80">
        <v>44547</v>
      </c>
      <c r="G691" t="str">
        <f>IFERROR(IF((F691-F690)&gt;1,(LARGE(F691:$F691,1)-LARGE(F$679:$F691,2))-1,""),"")</f>
        <v/>
      </c>
    </row>
    <row r="692" spans="1:7">
      <c r="B692">
        <v>676.8</v>
      </c>
      <c r="C692">
        <v>676.8</v>
      </c>
      <c r="D692">
        <v>9</v>
      </c>
      <c r="E692">
        <v>17451</v>
      </c>
      <c r="F692" s="80">
        <v>44548</v>
      </c>
      <c r="G692" t="str">
        <f>IFERROR(IF((F692-F691)&gt;1,(LARGE(F692:$F692,1)-LARGE(F$679:$F692,2))-1,""),"")</f>
        <v/>
      </c>
    </row>
    <row r="693" spans="1:7">
      <c r="A693" s="75">
        <f>VLOOKUP(TradeSheet!A48,TypeIDs!B:C,2,FALSE)</f>
        <v>23025</v>
      </c>
      <c r="B693" t="s">
        <v>47021</v>
      </c>
      <c r="C693" t="s">
        <v>47022</v>
      </c>
      <c r="D693" t="s">
        <v>47023</v>
      </c>
      <c r="E693" t="s">
        <v>47024</v>
      </c>
      <c r="F693" t="s">
        <v>47035</v>
      </c>
      <c r="G693" t="s">
        <v>47034</v>
      </c>
    </row>
    <row r="694" spans="1:7">
      <c r="A694" s="75" t="str">
        <f>CONCATENATE(SwaggerURL,input047)</f>
        <v>https://esi.evetech.net/latest/markets/10000021/history/?datasource=tranquility&amp;type_id=23025</v>
      </c>
      <c r="B694">
        <v>676</v>
      </c>
      <c r="C694">
        <v>676</v>
      </c>
      <c r="D694">
        <v>7</v>
      </c>
      <c r="E694">
        <v>20150</v>
      </c>
      <c r="F694" s="80">
        <v>44534</v>
      </c>
      <c r="G694" t="str">
        <f>IFERROR(IF((F694-F693)&gt;1,(LARGE(F694:$F694,1)-LARGE(F$694:$F694,2))-1,""),"")</f>
        <v/>
      </c>
    </row>
    <row r="695" spans="1:7">
      <c r="A695" s="3" t="s">
        <v>47031</v>
      </c>
      <c r="B695">
        <v>676</v>
      </c>
      <c r="C695">
        <v>676</v>
      </c>
      <c r="D695">
        <v>5</v>
      </c>
      <c r="E695">
        <v>12765</v>
      </c>
      <c r="F695" s="80">
        <v>44535</v>
      </c>
      <c r="G695" t="str">
        <f>IFERROR(IF((F695-F694)&gt;1,(LARGE(F695:$F695,1)-LARGE(F$694:$F695,2))-1,""),"")</f>
        <v/>
      </c>
    </row>
    <row r="696" spans="1:7">
      <c r="A696" s="3" t="e">
        <f>AVERAGE(H694:H707)</f>
        <v>#DIV/0!</v>
      </c>
      <c r="B696">
        <v>676</v>
      </c>
      <c r="C696">
        <v>676</v>
      </c>
      <c r="D696">
        <v>2</v>
      </c>
      <c r="E696">
        <v>2500</v>
      </c>
      <c r="F696" s="80">
        <v>44536</v>
      </c>
      <c r="G696" t="str">
        <f>IFERROR(IF((F696-F695)&gt;1,(LARGE(F696:$F696,1)-LARGE(F$694:$F696,2))-1,""),"")</f>
        <v/>
      </c>
    </row>
    <row r="697" spans="1:7">
      <c r="A697" s="3">
        <f>AVERAGE(E694:E707)</f>
        <v>9554</v>
      </c>
      <c r="B697">
        <v>676</v>
      </c>
      <c r="C697">
        <v>676</v>
      </c>
      <c r="D697">
        <v>6</v>
      </c>
      <c r="E697">
        <v>12526</v>
      </c>
      <c r="F697" s="80">
        <v>44537</v>
      </c>
      <c r="G697" t="str">
        <f>IFERROR(IF((F697-F696)&gt;1,(LARGE(F697:$F697,1)-LARGE(F$694:$F697,2))-1,""),"")</f>
        <v/>
      </c>
    </row>
    <row r="698" spans="1:7">
      <c r="A698" s="14" t="s">
        <v>47032</v>
      </c>
      <c r="B698">
        <v>676</v>
      </c>
      <c r="C698">
        <v>676</v>
      </c>
      <c r="D698">
        <v>1</v>
      </c>
      <c r="E698">
        <v>1000</v>
      </c>
      <c r="F698" s="80">
        <v>44538</v>
      </c>
      <c r="G698" t="str">
        <f>IFERROR(IF((F698-F697)&gt;1,(LARGE(F698:$F698,1)-LARGE(F$694:$F698,2))-1,""),"")</f>
        <v/>
      </c>
    </row>
    <row r="699" spans="1:7">
      <c r="A699" s="14">
        <f>E707</f>
        <v>17451</v>
      </c>
      <c r="B699">
        <v>676</v>
      </c>
      <c r="C699">
        <v>676</v>
      </c>
      <c r="D699">
        <v>2</v>
      </c>
      <c r="E699">
        <v>36000</v>
      </c>
      <c r="F699" s="80">
        <v>44539</v>
      </c>
      <c r="G699" t="str">
        <f>IFERROR(IF((F699-F698)&gt;1,(LARGE(F699:$F699,1)-LARGE(F$694:$F699,2))-1,""),"")</f>
        <v/>
      </c>
    </row>
    <row r="700" spans="1:7">
      <c r="B700">
        <v>676</v>
      </c>
      <c r="C700">
        <v>676</v>
      </c>
      <c r="D700">
        <v>4</v>
      </c>
      <c r="E700">
        <v>3516</v>
      </c>
      <c r="F700" s="80">
        <v>44540</v>
      </c>
      <c r="G700" t="str">
        <f>IFERROR(IF((F700-F699)&gt;1,(LARGE(F700:$F700,1)-LARGE(F$694:$F700,2))-1,""),"")</f>
        <v/>
      </c>
    </row>
    <row r="701" spans="1:7">
      <c r="B701">
        <v>676.8</v>
      </c>
      <c r="C701">
        <v>676.8</v>
      </c>
      <c r="D701">
        <v>8</v>
      </c>
      <c r="E701">
        <v>7920</v>
      </c>
      <c r="F701" s="80">
        <v>44541</v>
      </c>
      <c r="G701" t="str">
        <f>IFERROR(IF((F701-F700)&gt;1,(LARGE(F701:$F701,1)-LARGE(F$694:$F701,2))-1,""),"")</f>
        <v/>
      </c>
    </row>
    <row r="702" spans="1:7">
      <c r="B702">
        <v>676.8</v>
      </c>
      <c r="C702">
        <v>676.8</v>
      </c>
      <c r="D702">
        <v>1</v>
      </c>
      <c r="E702">
        <v>100</v>
      </c>
      <c r="F702" s="80">
        <v>44542</v>
      </c>
      <c r="G702" t="str">
        <f>IFERROR(IF((F702-F701)&gt;1,(LARGE(F702:$F702,1)-LARGE(F$694:$F702,2))-1,""),"")</f>
        <v/>
      </c>
    </row>
    <row r="703" spans="1:7">
      <c r="B703">
        <v>676.8</v>
      </c>
      <c r="C703">
        <v>676.8</v>
      </c>
      <c r="D703">
        <v>3</v>
      </c>
      <c r="E703">
        <v>4645</v>
      </c>
      <c r="F703" s="80">
        <v>44544</v>
      </c>
      <c r="G703">
        <f>IFERROR(IF((F703-F702)&gt;1,(LARGE(F703:$F703,1)-LARGE(F$694:$F703,2))-1,""),"")</f>
        <v>1</v>
      </c>
    </row>
    <row r="704" spans="1:7">
      <c r="B704">
        <v>676.8</v>
      </c>
      <c r="C704">
        <v>676.8</v>
      </c>
      <c r="D704">
        <v>3</v>
      </c>
      <c r="E704">
        <v>3800</v>
      </c>
      <c r="F704" s="80">
        <v>44545</v>
      </c>
      <c r="G704" t="str">
        <f>IFERROR(IF((F704-F703)&gt;1,(LARGE(F704:$F704,1)-LARGE(F$694:$F704,2))-1,""),"")</f>
        <v/>
      </c>
    </row>
    <row r="705" spans="1:7">
      <c r="B705">
        <v>676.8</v>
      </c>
      <c r="C705">
        <v>676.8</v>
      </c>
      <c r="D705">
        <v>7</v>
      </c>
      <c r="E705">
        <v>7820</v>
      </c>
      <c r="F705" s="80">
        <v>44546</v>
      </c>
      <c r="G705" t="str">
        <f>IFERROR(IF((F705-F704)&gt;1,(LARGE(F705:$F705,1)-LARGE(F$694:$F705,2))-1,""),"")</f>
        <v/>
      </c>
    </row>
    <row r="706" spans="1:7">
      <c r="B706">
        <v>675.1</v>
      </c>
      <c r="C706">
        <v>675.1</v>
      </c>
      <c r="D706">
        <v>3</v>
      </c>
      <c r="E706">
        <v>3563</v>
      </c>
      <c r="F706" s="80">
        <v>44547</v>
      </c>
      <c r="G706" t="str">
        <f>IFERROR(IF((F706-F705)&gt;1,(LARGE(F706:$F706,1)-LARGE(F$694:$F706,2))-1,""),"")</f>
        <v/>
      </c>
    </row>
    <row r="707" spans="1:7">
      <c r="B707">
        <v>676.8</v>
      </c>
      <c r="C707">
        <v>676.8</v>
      </c>
      <c r="D707">
        <v>9</v>
      </c>
      <c r="E707">
        <v>17451</v>
      </c>
      <c r="F707" s="80">
        <v>44548</v>
      </c>
      <c r="G707" t="str">
        <f>IFERROR(IF((F707-F706)&gt;1,(LARGE(F707:$F707,1)-LARGE(F$694:$F707,2))-1,""),"")</f>
        <v/>
      </c>
    </row>
    <row r="708" spans="1:7">
      <c r="A708" s="75">
        <f>VLOOKUP(TradeSheet!A49,TypeIDs!B:C,2,FALSE)</f>
        <v>23035</v>
      </c>
      <c r="B708" t="s">
        <v>47021</v>
      </c>
      <c r="C708" t="s">
        <v>47022</v>
      </c>
      <c r="D708" t="s">
        <v>47023</v>
      </c>
      <c r="E708" t="s">
        <v>47024</v>
      </c>
      <c r="F708" t="s">
        <v>47035</v>
      </c>
      <c r="G708" t="s">
        <v>47034</v>
      </c>
    </row>
    <row r="709" spans="1:7">
      <c r="A709" s="75" t="str">
        <f>CONCATENATE(SwaggerURL,input048)</f>
        <v>https://esi.evetech.net/latest/markets/10000021/history/?datasource=tranquility&amp;type_id=23035</v>
      </c>
      <c r="B709">
        <v>800</v>
      </c>
      <c r="C709">
        <v>800</v>
      </c>
      <c r="D709">
        <v>1</v>
      </c>
      <c r="E709">
        <v>2000</v>
      </c>
      <c r="F709" s="80">
        <v>44506</v>
      </c>
      <c r="G709" t="str">
        <f>IFERROR(IF((F709-F708)&gt;1,(LARGE(F709:$F709,1)-LARGE(F$709:$F709,2))-1,""),"")</f>
        <v/>
      </c>
    </row>
    <row r="710" spans="1:7">
      <c r="A710" s="3" t="s">
        <v>47031</v>
      </c>
      <c r="B710">
        <v>800</v>
      </c>
      <c r="C710">
        <v>800</v>
      </c>
      <c r="D710">
        <v>1</v>
      </c>
      <c r="E710">
        <v>1500</v>
      </c>
      <c r="F710" s="80">
        <v>44509</v>
      </c>
      <c r="G710">
        <f>IFERROR(IF((F710-F709)&gt;1,(LARGE(F710:$F710,1)-LARGE(F$709:$F710,2))-1,""),"")</f>
        <v>2</v>
      </c>
    </row>
    <row r="711" spans="1:7">
      <c r="A711" s="3" t="e">
        <f>AVERAGE(H709:H722)</f>
        <v>#DIV/0!</v>
      </c>
      <c r="B711">
        <v>800</v>
      </c>
      <c r="C711">
        <v>800</v>
      </c>
      <c r="D711">
        <v>8</v>
      </c>
      <c r="E711">
        <v>7720</v>
      </c>
      <c r="F711" s="80">
        <v>44511</v>
      </c>
      <c r="G711">
        <f>IFERROR(IF((F711-F710)&gt;1,(LARGE(F711:$F711,1)-LARGE(F$709:$F711,2))-1,""),"")</f>
        <v>1</v>
      </c>
    </row>
    <row r="712" spans="1:7">
      <c r="A712" s="3">
        <f>AVERAGE(E709:E722)</f>
        <v>3076.1428571428573</v>
      </c>
      <c r="B712">
        <v>800</v>
      </c>
      <c r="C712">
        <v>800</v>
      </c>
      <c r="D712">
        <v>1</v>
      </c>
      <c r="E712">
        <v>500</v>
      </c>
      <c r="F712" s="80">
        <v>44512</v>
      </c>
      <c r="G712" t="str">
        <f>IFERROR(IF((F712-F711)&gt;1,(LARGE(F712:$F712,1)-LARGE(F$709:$F712,2))-1,""),"")</f>
        <v/>
      </c>
    </row>
    <row r="713" spans="1:7">
      <c r="A713" s="14" t="s">
        <v>47032</v>
      </c>
      <c r="B713">
        <v>800</v>
      </c>
      <c r="C713">
        <v>800</v>
      </c>
      <c r="D713">
        <v>1</v>
      </c>
      <c r="E713">
        <v>1500</v>
      </c>
      <c r="F713" s="80">
        <v>44513</v>
      </c>
      <c r="G713" t="str">
        <f>IFERROR(IF((F713-F712)&gt;1,(LARGE(F713:$F713,1)-LARGE(F$709:$F713,2))-1,""),"")</f>
        <v/>
      </c>
    </row>
    <row r="714" spans="1:7">
      <c r="A714" s="14">
        <f>E722</f>
        <v>2430</v>
      </c>
      <c r="B714">
        <v>725</v>
      </c>
      <c r="C714">
        <v>725</v>
      </c>
      <c r="D714">
        <v>1</v>
      </c>
      <c r="E714">
        <v>1000</v>
      </c>
      <c r="F714" s="80">
        <v>44516</v>
      </c>
      <c r="G714">
        <f>IFERROR(IF((F714-F713)&gt;1,(LARGE(F714:$F714,1)-LARGE(F$709:$F714,2))-1,""),"")</f>
        <v>2</v>
      </c>
    </row>
    <row r="715" spans="1:7">
      <c r="B715">
        <v>799</v>
      </c>
      <c r="C715">
        <v>799</v>
      </c>
      <c r="D715">
        <v>2</v>
      </c>
      <c r="E715">
        <v>2500</v>
      </c>
      <c r="F715" s="80">
        <v>44521</v>
      </c>
      <c r="G715">
        <f>IFERROR(IF((F715-F714)&gt;1,(LARGE(F715:$F715,1)-LARGE(F$709:$F715,2))-1,""),"")</f>
        <v>4</v>
      </c>
    </row>
    <row r="716" spans="1:7">
      <c r="B716">
        <v>799</v>
      </c>
      <c r="C716">
        <v>799</v>
      </c>
      <c r="D716">
        <v>1</v>
      </c>
      <c r="E716">
        <v>3836</v>
      </c>
      <c r="F716" s="80">
        <v>44522</v>
      </c>
      <c r="G716" t="str">
        <f>IFERROR(IF((F716-F715)&gt;1,(LARGE(F716:$F716,1)-LARGE(F$709:$F716,2))-1,""),"")</f>
        <v/>
      </c>
    </row>
    <row r="717" spans="1:7">
      <c r="B717">
        <v>800</v>
      </c>
      <c r="C717">
        <v>800</v>
      </c>
      <c r="D717">
        <v>1</v>
      </c>
      <c r="E717">
        <v>1200</v>
      </c>
      <c r="F717" s="80">
        <v>44525</v>
      </c>
      <c r="G717">
        <f>IFERROR(IF((F717-F716)&gt;1,(LARGE(F717:$F717,1)-LARGE(F$709:$F717,2))-1,""),"")</f>
        <v>2</v>
      </c>
    </row>
    <row r="718" spans="1:7">
      <c r="B718">
        <v>800</v>
      </c>
      <c r="C718">
        <v>800</v>
      </c>
      <c r="D718">
        <v>6</v>
      </c>
      <c r="E718">
        <v>6140</v>
      </c>
      <c r="F718" s="80">
        <v>44528</v>
      </c>
      <c r="G718">
        <f>IFERROR(IF((F718-F717)&gt;1,(LARGE(F718:$F718,1)-LARGE(F$709:$F718,2))-1,""),"")</f>
        <v>2</v>
      </c>
    </row>
    <row r="719" spans="1:7">
      <c r="B719">
        <v>800</v>
      </c>
      <c r="C719">
        <v>800</v>
      </c>
      <c r="D719">
        <v>2</v>
      </c>
      <c r="E719">
        <v>3500</v>
      </c>
      <c r="F719" s="80">
        <v>44532</v>
      </c>
      <c r="G719">
        <f>IFERROR(IF((F719-F718)&gt;1,(LARGE(F719:$F719,1)-LARGE(F$709:$F719,2))-1,""),"")</f>
        <v>3</v>
      </c>
    </row>
    <row r="720" spans="1:7">
      <c r="B720">
        <v>800</v>
      </c>
      <c r="C720">
        <v>800</v>
      </c>
      <c r="D720">
        <v>1</v>
      </c>
      <c r="E720">
        <v>8000</v>
      </c>
      <c r="F720" s="80">
        <v>44542</v>
      </c>
      <c r="G720">
        <f>IFERROR(IF((F720-F719)&gt;1,(LARGE(F720:$F720,1)-LARGE(F$709:$F720,2))-1,""),"")</f>
        <v>9</v>
      </c>
    </row>
    <row r="721" spans="1:7">
      <c r="B721">
        <v>800</v>
      </c>
      <c r="C721">
        <v>800</v>
      </c>
      <c r="D721">
        <v>1</v>
      </c>
      <c r="E721">
        <v>1240</v>
      </c>
      <c r="F721" s="80">
        <v>44544</v>
      </c>
      <c r="G721">
        <f>IFERROR(IF((F721-F720)&gt;1,(LARGE(F721:$F721,1)-LARGE(F$709:$F721,2))-1,""),"")</f>
        <v>1</v>
      </c>
    </row>
    <row r="722" spans="1:7">
      <c r="B722">
        <v>800</v>
      </c>
      <c r="C722">
        <v>800</v>
      </c>
      <c r="D722">
        <v>3</v>
      </c>
      <c r="E722">
        <v>2430</v>
      </c>
      <c r="F722" s="80">
        <v>44546</v>
      </c>
      <c r="G722">
        <f>IFERROR(IF((F722-F721)&gt;1,(LARGE(F722:$F722,1)-LARGE(F$709:$F722,2))-1,""),"")</f>
        <v>1</v>
      </c>
    </row>
    <row r="723" spans="1:7">
      <c r="A723" s="75">
        <f>VLOOKUP(TradeSheet!A50,TypeIDs!B:C,2,FALSE)</f>
        <v>23039</v>
      </c>
      <c r="B723" t="s">
        <v>47021</v>
      </c>
      <c r="C723" t="s">
        <v>47022</v>
      </c>
      <c r="D723" t="s">
        <v>47023</v>
      </c>
      <c r="E723" t="s">
        <v>47024</v>
      </c>
      <c r="F723" t="s">
        <v>47035</v>
      </c>
      <c r="G723" t="s">
        <v>47034</v>
      </c>
    </row>
    <row r="724" spans="1:7">
      <c r="A724" s="75" t="str">
        <f>CONCATENATE(SwaggerURL,input049)</f>
        <v>https://esi.evetech.net/latest/markets/10000021/history/?datasource=tranquility&amp;type_id=23039</v>
      </c>
      <c r="B724">
        <v>889.9</v>
      </c>
      <c r="C724">
        <v>889.9</v>
      </c>
      <c r="D724">
        <v>1</v>
      </c>
      <c r="E724">
        <v>1000</v>
      </c>
      <c r="F724" s="80">
        <v>44529</v>
      </c>
      <c r="G724" t="str">
        <f>IFERROR(IF((F724-F723)&gt;1,(LARGE(F724:$F724,1)-LARGE(F$724:$F724,2))-1,""),"")</f>
        <v/>
      </c>
    </row>
    <row r="725" spans="1:7">
      <c r="A725" s="3" t="s">
        <v>47031</v>
      </c>
      <c r="B725">
        <v>889.9</v>
      </c>
      <c r="C725">
        <v>889.9</v>
      </c>
      <c r="D725">
        <v>4</v>
      </c>
      <c r="E725">
        <v>3922</v>
      </c>
      <c r="F725" s="80">
        <v>44530</v>
      </c>
      <c r="G725" t="str">
        <f>IFERROR(IF((F725-F724)&gt;1,(LARGE(F725:$F725,1)-LARGE(F$724:$F725,2))-1,""),"")</f>
        <v/>
      </c>
    </row>
    <row r="726" spans="1:7">
      <c r="A726" s="3" t="e">
        <f>AVERAGE(H724:H737)</f>
        <v>#DIV/0!</v>
      </c>
      <c r="B726">
        <v>889.9</v>
      </c>
      <c r="C726">
        <v>889.9</v>
      </c>
      <c r="D726">
        <v>3</v>
      </c>
      <c r="E726">
        <v>2015</v>
      </c>
      <c r="F726" s="80">
        <v>44531</v>
      </c>
      <c r="G726" t="str">
        <f>IFERROR(IF((F726-F725)&gt;1,(LARGE(F726:$F726,1)-LARGE(F$724:$F726,2))-1,""),"")</f>
        <v/>
      </c>
    </row>
    <row r="727" spans="1:7">
      <c r="A727" s="3">
        <f>AVERAGE(E724:E737)</f>
        <v>3334.9285714285716</v>
      </c>
      <c r="B727">
        <v>889.9</v>
      </c>
      <c r="C727">
        <v>889.9</v>
      </c>
      <c r="D727">
        <v>1</v>
      </c>
      <c r="E727">
        <v>1500</v>
      </c>
      <c r="F727" s="80">
        <v>44532</v>
      </c>
      <c r="G727" t="str">
        <f>IFERROR(IF((F727-F726)&gt;1,(LARGE(F727:$F727,1)-LARGE(F$724:$F727,2))-1,""),"")</f>
        <v/>
      </c>
    </row>
    <row r="728" spans="1:7">
      <c r="A728" s="14" t="s">
        <v>47032</v>
      </c>
      <c r="B728">
        <v>889.9</v>
      </c>
      <c r="C728">
        <v>889.9</v>
      </c>
      <c r="D728">
        <v>1</v>
      </c>
      <c r="E728">
        <v>1000</v>
      </c>
      <c r="F728" s="80">
        <v>44534</v>
      </c>
      <c r="G728">
        <f>IFERROR(IF((F728-F727)&gt;1,(LARGE(F728:$F728,1)-LARGE(F$724:$F728,2))-1,""),"")</f>
        <v>1</v>
      </c>
    </row>
    <row r="729" spans="1:7">
      <c r="A729" s="14">
        <f>E737</f>
        <v>5582</v>
      </c>
      <c r="B729">
        <v>889.9</v>
      </c>
      <c r="C729">
        <v>889.9</v>
      </c>
      <c r="D729">
        <v>1</v>
      </c>
      <c r="E729">
        <v>1000</v>
      </c>
      <c r="F729" s="80">
        <v>44535</v>
      </c>
      <c r="G729" t="str">
        <f>IFERROR(IF((F729-F728)&gt;1,(LARGE(F729:$F729,1)-LARGE(F$724:$F729,2))-1,""),"")</f>
        <v/>
      </c>
    </row>
    <row r="730" spans="1:7">
      <c r="B730">
        <v>889.9</v>
      </c>
      <c r="C730">
        <v>889.9</v>
      </c>
      <c r="D730">
        <v>1</v>
      </c>
      <c r="E730">
        <v>600</v>
      </c>
      <c r="F730" s="80">
        <v>44536</v>
      </c>
      <c r="G730" t="str">
        <f>IFERROR(IF((F730-F729)&gt;1,(LARGE(F730:$F730,1)-LARGE(F$724:$F730,2))-1,""),"")</f>
        <v/>
      </c>
    </row>
    <row r="731" spans="1:7">
      <c r="B731">
        <v>890</v>
      </c>
      <c r="C731">
        <v>890</v>
      </c>
      <c r="D731">
        <v>2</v>
      </c>
      <c r="E731">
        <v>3760</v>
      </c>
      <c r="F731" s="80">
        <v>44537</v>
      </c>
      <c r="G731" t="str">
        <f>IFERROR(IF((F731-F730)&gt;1,(LARGE(F731:$F731,1)-LARGE(F$724:$F731,2))-1,""),"")</f>
        <v/>
      </c>
    </row>
    <row r="732" spans="1:7">
      <c r="B732">
        <v>890</v>
      </c>
      <c r="C732">
        <v>890</v>
      </c>
      <c r="D732">
        <v>3</v>
      </c>
      <c r="E732">
        <v>12000</v>
      </c>
      <c r="F732" s="80">
        <v>44539</v>
      </c>
      <c r="G732">
        <f>IFERROR(IF((F732-F731)&gt;1,(LARGE(F732:$F732,1)-LARGE(F$724:$F732,2))-1,""),"")</f>
        <v>1</v>
      </c>
    </row>
    <row r="733" spans="1:7">
      <c r="B733">
        <v>900</v>
      </c>
      <c r="C733">
        <v>900</v>
      </c>
      <c r="D733">
        <v>4</v>
      </c>
      <c r="E733">
        <v>3160</v>
      </c>
      <c r="F733" s="80">
        <v>44540</v>
      </c>
      <c r="G733" t="str">
        <f>IFERROR(IF((F733-F732)&gt;1,(LARGE(F733:$F733,1)-LARGE(F$724:$F733,2))-1,""),"")</f>
        <v/>
      </c>
    </row>
    <row r="734" spans="1:7">
      <c r="B734">
        <v>891</v>
      </c>
      <c r="C734">
        <v>891</v>
      </c>
      <c r="D734">
        <v>4</v>
      </c>
      <c r="E734">
        <v>9150</v>
      </c>
      <c r="F734" s="80">
        <v>44542</v>
      </c>
      <c r="G734">
        <f>IFERROR(IF((F734-F733)&gt;1,(LARGE(F734:$F734,1)-LARGE(F$724:$F734,2))-1,""),"")</f>
        <v>1</v>
      </c>
    </row>
    <row r="735" spans="1:7">
      <c r="B735">
        <v>891</v>
      </c>
      <c r="C735">
        <v>891</v>
      </c>
      <c r="D735">
        <v>1</v>
      </c>
      <c r="E735">
        <v>1000</v>
      </c>
      <c r="F735" s="80">
        <v>44544</v>
      </c>
      <c r="G735">
        <f>IFERROR(IF((F735-F734)&gt;1,(LARGE(F735:$F735,1)-LARGE(F$724:$F735,2))-1,""),"")</f>
        <v>1</v>
      </c>
    </row>
    <row r="736" spans="1:7">
      <c r="B736">
        <v>891</v>
      </c>
      <c r="C736">
        <v>891</v>
      </c>
      <c r="D736">
        <v>1</v>
      </c>
      <c r="E736">
        <v>1000</v>
      </c>
      <c r="F736" s="80">
        <v>44545</v>
      </c>
      <c r="G736" t="str">
        <f>IFERROR(IF((F736-F735)&gt;1,(LARGE(F736:$F736,1)-LARGE(F$724:$F736,2))-1,""),"")</f>
        <v/>
      </c>
    </row>
    <row r="737" spans="1:7">
      <c r="B737">
        <v>891</v>
      </c>
      <c r="C737">
        <v>891</v>
      </c>
      <c r="D737">
        <v>7</v>
      </c>
      <c r="E737">
        <v>5582</v>
      </c>
      <c r="F737" s="80">
        <v>44548</v>
      </c>
      <c r="G737">
        <f>IFERROR(IF((F737-F736)&gt;1,(LARGE(F737:$F737,1)-LARGE(F$724:$F737,2))-1,""),"")</f>
        <v>2</v>
      </c>
    </row>
    <row r="738" spans="1:7">
      <c r="A738" s="75">
        <f>VLOOKUP(TradeSheet!A51,TypeIDs!B:C,2,FALSE)</f>
        <v>23033</v>
      </c>
      <c r="B738" t="s">
        <v>47021</v>
      </c>
      <c r="C738" t="s">
        <v>47022</v>
      </c>
      <c r="D738" t="s">
        <v>47023</v>
      </c>
      <c r="E738" t="s">
        <v>47024</v>
      </c>
      <c r="F738" t="s">
        <v>47035</v>
      </c>
      <c r="G738" t="s">
        <v>47034</v>
      </c>
    </row>
    <row r="739" spans="1:7">
      <c r="A739" s="75" t="str">
        <f>CONCATENATE(SwaggerURL,input050)</f>
        <v>https://esi.evetech.net/latest/markets/10000021/history/?datasource=tranquility&amp;type_id=23033</v>
      </c>
      <c r="B739">
        <v>719.9</v>
      </c>
      <c r="C739">
        <v>719.9</v>
      </c>
      <c r="D739">
        <v>1</v>
      </c>
      <c r="E739">
        <v>1600</v>
      </c>
      <c r="F739" s="80">
        <v>44528</v>
      </c>
      <c r="G739" t="str">
        <f>IFERROR(IF((F739-F738)&gt;1,(LARGE(F739:$F739,1)-LARGE(F$739:$F739,2))-1,""),"")</f>
        <v/>
      </c>
    </row>
    <row r="740" spans="1:7">
      <c r="A740" s="3" t="s">
        <v>47031</v>
      </c>
      <c r="B740">
        <v>719.9</v>
      </c>
      <c r="C740">
        <v>719.9</v>
      </c>
      <c r="D740">
        <v>1</v>
      </c>
      <c r="E740">
        <v>1000</v>
      </c>
      <c r="F740" s="80">
        <v>44529</v>
      </c>
      <c r="G740" t="str">
        <f>IFERROR(IF((F740-F739)&gt;1,(LARGE(F740:$F740,1)-LARGE(F$739:$F740,2))-1,""),"")</f>
        <v/>
      </c>
    </row>
    <row r="741" spans="1:7">
      <c r="A741" s="3" t="e">
        <f>AVERAGE(H739:H752)</f>
        <v>#DIV/0!</v>
      </c>
      <c r="B741">
        <v>719.9</v>
      </c>
      <c r="C741">
        <v>719.9</v>
      </c>
      <c r="D741">
        <v>4</v>
      </c>
      <c r="E741">
        <v>4000</v>
      </c>
      <c r="F741" s="80">
        <v>44530</v>
      </c>
      <c r="G741" t="str">
        <f>IFERROR(IF((F741-F740)&gt;1,(LARGE(F741:$F741,1)-LARGE(F$739:$F741,2))-1,""),"")</f>
        <v/>
      </c>
    </row>
    <row r="742" spans="1:7">
      <c r="A742" s="3">
        <f>AVERAGE(E739:E752)</f>
        <v>2372.5714285714284</v>
      </c>
      <c r="B742">
        <v>719.9</v>
      </c>
      <c r="C742">
        <v>719.9</v>
      </c>
      <c r="D742">
        <v>4</v>
      </c>
      <c r="E742">
        <v>4818</v>
      </c>
      <c r="F742" s="80">
        <v>44531</v>
      </c>
      <c r="G742" t="str">
        <f>IFERROR(IF((F742-F741)&gt;1,(LARGE(F742:$F742,1)-LARGE(F$739:$F742,2))-1,""),"")</f>
        <v/>
      </c>
    </row>
    <row r="743" spans="1:7">
      <c r="A743" s="14" t="s">
        <v>47032</v>
      </c>
      <c r="B743">
        <v>719.9</v>
      </c>
      <c r="C743">
        <v>719.9</v>
      </c>
      <c r="D743">
        <v>1</v>
      </c>
      <c r="E743">
        <v>1000</v>
      </c>
      <c r="F743" s="80">
        <v>44534</v>
      </c>
      <c r="G743">
        <f>IFERROR(IF((F743-F742)&gt;1,(LARGE(F743:$F743,1)-LARGE(F$739:$F743,2))-1,""),"")</f>
        <v>2</v>
      </c>
    </row>
    <row r="744" spans="1:7">
      <c r="A744" s="14">
        <f>E752</f>
        <v>2000</v>
      </c>
      <c r="B744">
        <v>719.9</v>
      </c>
      <c r="C744">
        <v>719.9</v>
      </c>
      <c r="D744">
        <v>1</v>
      </c>
      <c r="E744">
        <v>1000</v>
      </c>
      <c r="F744" s="80">
        <v>44535</v>
      </c>
      <c r="G744" t="str">
        <f>IFERROR(IF((F744-F743)&gt;1,(LARGE(F744:$F744,1)-LARGE(F$739:$F744,2))-1,""),"")</f>
        <v/>
      </c>
    </row>
    <row r="745" spans="1:7">
      <c r="B745">
        <v>719.9</v>
      </c>
      <c r="C745">
        <v>719.9</v>
      </c>
      <c r="D745">
        <v>1</v>
      </c>
      <c r="E745">
        <v>500</v>
      </c>
      <c r="F745" s="80">
        <v>44536</v>
      </c>
      <c r="G745" t="str">
        <f>IFERROR(IF((F745-F744)&gt;1,(LARGE(F745:$F745,1)-LARGE(F$739:$F745,2))-1,""),"")</f>
        <v/>
      </c>
    </row>
    <row r="746" spans="1:7">
      <c r="B746">
        <v>720</v>
      </c>
      <c r="C746">
        <v>720</v>
      </c>
      <c r="D746">
        <v>2</v>
      </c>
      <c r="E746">
        <v>3000</v>
      </c>
      <c r="F746" s="80">
        <v>44537</v>
      </c>
      <c r="G746" t="str">
        <f>IFERROR(IF((F746-F745)&gt;1,(LARGE(F746:$F746,1)-LARGE(F$739:$F746,2))-1,""),"")</f>
        <v/>
      </c>
    </row>
    <row r="747" spans="1:7">
      <c r="B747">
        <v>720</v>
      </c>
      <c r="C747">
        <v>720</v>
      </c>
      <c r="D747">
        <v>2</v>
      </c>
      <c r="E747">
        <v>2592</v>
      </c>
      <c r="F747" s="80">
        <v>44540</v>
      </c>
      <c r="G747">
        <f>IFERROR(IF((F747-F746)&gt;1,(LARGE(F747:$F747,1)-LARGE(F$739:$F747,2))-1,""),"")</f>
        <v>2</v>
      </c>
    </row>
    <row r="748" spans="1:7">
      <c r="B748">
        <v>720</v>
      </c>
      <c r="C748">
        <v>720</v>
      </c>
      <c r="D748">
        <v>2</v>
      </c>
      <c r="E748">
        <v>2000</v>
      </c>
      <c r="F748" s="80">
        <v>44541</v>
      </c>
      <c r="G748" t="str">
        <f>IFERROR(IF((F748-F747)&gt;1,(LARGE(F748:$F748,1)-LARGE(F$739:$F748,2))-1,""),"")</f>
        <v/>
      </c>
    </row>
    <row r="749" spans="1:7">
      <c r="B749">
        <v>720</v>
      </c>
      <c r="C749">
        <v>720</v>
      </c>
      <c r="D749">
        <v>1</v>
      </c>
      <c r="E749">
        <v>7706</v>
      </c>
      <c r="F749" s="80">
        <v>44542</v>
      </c>
      <c r="G749" t="str">
        <f>IFERROR(IF((F749-F748)&gt;1,(LARGE(F749:$F749,1)-LARGE(F$739:$F749,2))-1,""),"")</f>
        <v/>
      </c>
    </row>
    <row r="750" spans="1:7">
      <c r="B750">
        <v>720</v>
      </c>
      <c r="C750">
        <v>720</v>
      </c>
      <c r="D750">
        <v>1</v>
      </c>
      <c r="E750">
        <v>1000</v>
      </c>
      <c r="F750" s="80">
        <v>44544</v>
      </c>
      <c r="G750">
        <f>IFERROR(IF((F750-F749)&gt;1,(LARGE(F750:$F750,1)-LARGE(F$739:$F750,2))-1,""),"")</f>
        <v>1</v>
      </c>
    </row>
    <row r="751" spans="1:7">
      <c r="B751">
        <v>800.1</v>
      </c>
      <c r="C751">
        <v>800.1</v>
      </c>
      <c r="D751">
        <v>1</v>
      </c>
      <c r="E751">
        <v>1000</v>
      </c>
      <c r="F751" s="80">
        <v>44545</v>
      </c>
      <c r="G751" t="str">
        <f>IFERROR(IF((F751-F750)&gt;1,(LARGE(F751:$F751,1)-LARGE(F$739:$F751,2))-1,""),"")</f>
        <v/>
      </c>
    </row>
    <row r="752" spans="1:7">
      <c r="B752">
        <v>800.1</v>
      </c>
      <c r="C752">
        <v>800.1</v>
      </c>
      <c r="D752">
        <v>2</v>
      </c>
      <c r="E752">
        <v>2000</v>
      </c>
      <c r="F752" s="80">
        <v>44548</v>
      </c>
      <c r="G752">
        <f>IFERROR(IF((F752-F751)&gt;1,(LARGE(F752:$F752,1)-LARGE(F$739:$F752,2))-1,""),"")</f>
        <v>2</v>
      </c>
    </row>
    <row r="753" spans="1:7">
      <c r="A753" s="75">
        <f>VLOOKUP(TradeSheet!A52,TypeIDs!B:C,2,FALSE)</f>
        <v>23031</v>
      </c>
      <c r="B753" t="s">
        <v>47021</v>
      </c>
      <c r="C753" t="s">
        <v>47022</v>
      </c>
      <c r="D753" t="s">
        <v>47023</v>
      </c>
      <c r="E753" t="s">
        <v>47024</v>
      </c>
      <c r="F753" t="s">
        <v>47035</v>
      </c>
      <c r="G753" t="s">
        <v>47034</v>
      </c>
    </row>
    <row r="754" spans="1:7">
      <c r="A754" s="75" t="str">
        <f>CONCATENATE(SwaggerURL,input051)</f>
        <v>https://esi.evetech.net/latest/markets/10000021/history/?datasource=tranquility&amp;type_id=23031</v>
      </c>
      <c r="B754">
        <v>949.8</v>
      </c>
      <c r="C754">
        <v>949.8</v>
      </c>
      <c r="D754">
        <v>9</v>
      </c>
      <c r="E754">
        <v>18216</v>
      </c>
      <c r="F754" s="80">
        <v>44530</v>
      </c>
      <c r="G754" t="str">
        <f>IFERROR(IF((F754-F753)&gt;1,(LARGE(F754:$F754,1)-LARGE(F$754:$F754,2))-1,""),"")</f>
        <v/>
      </c>
    </row>
    <row r="755" spans="1:7">
      <c r="A755" s="3" t="s">
        <v>47031</v>
      </c>
      <c r="B755">
        <v>949.8</v>
      </c>
      <c r="C755">
        <v>949.8</v>
      </c>
      <c r="D755">
        <v>6</v>
      </c>
      <c r="E755">
        <v>8594</v>
      </c>
      <c r="F755" s="80">
        <v>44531</v>
      </c>
      <c r="G755" t="str">
        <f>IFERROR(IF((F755-F754)&gt;1,(LARGE(F755:$F755,1)-LARGE(F$754:$F755,2))-1,""),"")</f>
        <v/>
      </c>
    </row>
    <row r="756" spans="1:7">
      <c r="A756" s="3" t="e">
        <f>AVERAGE(H754:H767)</f>
        <v>#DIV/0!</v>
      </c>
      <c r="B756">
        <v>949.8</v>
      </c>
      <c r="C756">
        <v>949.8</v>
      </c>
      <c r="D756">
        <v>4</v>
      </c>
      <c r="E756">
        <v>5300</v>
      </c>
      <c r="F756" s="80">
        <v>44532</v>
      </c>
      <c r="G756" t="str">
        <f>IFERROR(IF((F756-F755)&gt;1,(LARGE(F756:$F756,1)-LARGE(F$754:$F756,2))-1,""),"")</f>
        <v/>
      </c>
    </row>
    <row r="757" spans="1:7">
      <c r="A757" s="3">
        <f>AVERAGE(E754:E767)</f>
        <v>6843.3571428571431</v>
      </c>
      <c r="B757">
        <v>949.8</v>
      </c>
      <c r="C757">
        <v>949.8</v>
      </c>
      <c r="D757">
        <v>1</v>
      </c>
      <c r="E757">
        <v>1000</v>
      </c>
      <c r="F757" s="80">
        <v>44534</v>
      </c>
      <c r="G757">
        <f>IFERROR(IF((F757-F756)&gt;1,(LARGE(F757:$F757,1)-LARGE(F$754:$F757,2))-1,""),"")</f>
        <v>1</v>
      </c>
    </row>
    <row r="758" spans="1:7">
      <c r="A758" s="14" t="s">
        <v>47032</v>
      </c>
      <c r="B758">
        <v>949.8</v>
      </c>
      <c r="C758">
        <v>949.8</v>
      </c>
      <c r="D758">
        <v>1</v>
      </c>
      <c r="E758">
        <v>1000</v>
      </c>
      <c r="F758" s="80">
        <v>44535</v>
      </c>
      <c r="G758" t="str">
        <f>IFERROR(IF((F758-F757)&gt;1,(LARGE(F758:$F758,1)-LARGE(F$754:$F758,2))-1,""),"")</f>
        <v/>
      </c>
    </row>
    <row r="759" spans="1:7">
      <c r="A759" s="14">
        <f>E767</f>
        <v>8351</v>
      </c>
      <c r="B759">
        <v>949.8</v>
      </c>
      <c r="C759">
        <v>949.8</v>
      </c>
      <c r="D759">
        <v>1</v>
      </c>
      <c r="E759">
        <v>1500</v>
      </c>
      <c r="F759" s="80">
        <v>44536</v>
      </c>
      <c r="G759" t="str">
        <f>IFERROR(IF((F759-F758)&gt;1,(LARGE(F759:$F759,1)-LARGE(F$754:$F759,2))-1,""),"")</f>
        <v/>
      </c>
    </row>
    <row r="760" spans="1:7">
      <c r="B760">
        <v>949.8</v>
      </c>
      <c r="C760">
        <v>949.8</v>
      </c>
      <c r="D760">
        <v>2</v>
      </c>
      <c r="E760">
        <v>914</v>
      </c>
      <c r="F760" s="80">
        <v>44537</v>
      </c>
      <c r="G760" t="str">
        <f>IFERROR(IF((F760-F759)&gt;1,(LARGE(F760:$F760,1)-LARGE(F$754:$F760,2))-1,""),"")</f>
        <v/>
      </c>
    </row>
    <row r="761" spans="1:7">
      <c r="B761">
        <v>949.6</v>
      </c>
      <c r="C761">
        <v>949.6</v>
      </c>
      <c r="D761">
        <v>2</v>
      </c>
      <c r="E761">
        <v>33378</v>
      </c>
      <c r="F761" s="80">
        <v>44539</v>
      </c>
      <c r="G761">
        <f>IFERROR(IF((F761-F760)&gt;1,(LARGE(F761:$F761,1)-LARGE(F$754:$F761,2))-1,""),"")</f>
        <v>1</v>
      </c>
    </row>
    <row r="762" spans="1:7">
      <c r="B762">
        <v>949.6</v>
      </c>
      <c r="C762">
        <v>949.6</v>
      </c>
      <c r="D762">
        <v>2</v>
      </c>
      <c r="E762">
        <v>2629</v>
      </c>
      <c r="F762" s="80">
        <v>44540</v>
      </c>
      <c r="G762" t="str">
        <f>IFERROR(IF((F762-F761)&gt;1,(LARGE(F762:$F762,1)-LARGE(F$754:$F762,2))-1,""),"")</f>
        <v/>
      </c>
    </row>
    <row r="763" spans="1:7">
      <c r="B763">
        <v>949.6</v>
      </c>
      <c r="C763">
        <v>949.6</v>
      </c>
      <c r="D763">
        <v>3</v>
      </c>
      <c r="E763">
        <v>8500</v>
      </c>
      <c r="F763" s="80">
        <v>44542</v>
      </c>
      <c r="G763">
        <f>IFERROR(IF((F763-F762)&gt;1,(LARGE(F763:$F763,1)-LARGE(F$754:$F763,2))-1,""),"")</f>
        <v>1</v>
      </c>
    </row>
    <row r="764" spans="1:7">
      <c r="B764">
        <v>949.6</v>
      </c>
      <c r="C764">
        <v>949.6</v>
      </c>
      <c r="D764">
        <v>1</v>
      </c>
      <c r="E764">
        <v>1000</v>
      </c>
      <c r="F764" s="80">
        <v>44544</v>
      </c>
      <c r="G764">
        <f>IFERROR(IF((F764-F763)&gt;1,(LARGE(F764:$F764,1)-LARGE(F$754:$F764,2))-1,""),"")</f>
        <v>1</v>
      </c>
    </row>
    <row r="765" spans="1:7">
      <c r="B765">
        <v>949.6</v>
      </c>
      <c r="C765">
        <v>949.6</v>
      </c>
      <c r="D765">
        <v>1</v>
      </c>
      <c r="E765">
        <v>1000</v>
      </c>
      <c r="F765" s="80">
        <v>44545</v>
      </c>
      <c r="G765" t="str">
        <f>IFERROR(IF((F765-F764)&gt;1,(LARGE(F765:$F765,1)-LARGE(F$754:$F765,2))-1,""),"")</f>
        <v/>
      </c>
    </row>
    <row r="766" spans="1:7">
      <c r="B766">
        <v>949.6</v>
      </c>
      <c r="C766">
        <v>949.6</v>
      </c>
      <c r="D766">
        <v>3</v>
      </c>
      <c r="E766">
        <v>4425</v>
      </c>
      <c r="F766" s="80">
        <v>44546</v>
      </c>
      <c r="G766" t="str">
        <f>IFERROR(IF((F766-F765)&gt;1,(LARGE(F766:$F766,1)-LARGE(F$754:$F766,2))-1,""),"")</f>
        <v/>
      </c>
    </row>
    <row r="767" spans="1:7">
      <c r="B767">
        <v>949.4</v>
      </c>
      <c r="C767">
        <v>949.4</v>
      </c>
      <c r="D767">
        <v>11</v>
      </c>
      <c r="E767">
        <v>8351</v>
      </c>
      <c r="F767" s="80">
        <v>44548</v>
      </c>
      <c r="G767">
        <f>IFERROR(IF((F767-F766)&gt;1,(LARGE(F767:$F767,1)-LARGE(F$754:$F767,2))-1,""),"")</f>
        <v>1</v>
      </c>
    </row>
    <row r="768" spans="1:7">
      <c r="A768" s="75">
        <f>VLOOKUP(TradeSheet!A53,TypeIDs!B:C,2,FALSE)</f>
        <v>23037</v>
      </c>
      <c r="B768" t="s">
        <v>47021</v>
      </c>
      <c r="C768" t="s">
        <v>47022</v>
      </c>
      <c r="D768" t="s">
        <v>47023</v>
      </c>
      <c r="E768" t="s">
        <v>47024</v>
      </c>
      <c r="F768" t="s">
        <v>47035</v>
      </c>
      <c r="G768" t="s">
        <v>47034</v>
      </c>
    </row>
    <row r="769" spans="1:7">
      <c r="A769" s="75" t="str">
        <f>CONCATENATE(SwaggerURL,input052)</f>
        <v>https://esi.evetech.net/latest/markets/10000021/history/?datasource=tranquility&amp;type_id=23037</v>
      </c>
      <c r="B769">
        <v>940</v>
      </c>
      <c r="C769">
        <v>940</v>
      </c>
      <c r="D769">
        <v>3</v>
      </c>
      <c r="E769">
        <v>2018</v>
      </c>
      <c r="F769" s="80">
        <v>44528</v>
      </c>
      <c r="G769" t="str">
        <f>IFERROR(IF((F769-F768)&gt;1,(LARGE(F769:$F769,1)-LARGE(F$769:$F769,2))-1,""),"")</f>
        <v/>
      </c>
    </row>
    <row r="770" spans="1:7">
      <c r="A770" s="3" t="s">
        <v>47031</v>
      </c>
      <c r="B770">
        <v>940</v>
      </c>
      <c r="C770">
        <v>940</v>
      </c>
      <c r="D770">
        <v>1</v>
      </c>
      <c r="E770">
        <v>1000</v>
      </c>
      <c r="F770" s="80">
        <v>44529</v>
      </c>
      <c r="G770" t="str">
        <f>IFERROR(IF((F770-F769)&gt;1,(LARGE(F770:$F770,1)-LARGE(F$769:$F770,2))-1,""),"")</f>
        <v/>
      </c>
    </row>
    <row r="771" spans="1:7">
      <c r="A771" s="3" t="e">
        <f>AVERAGE(H769:H782)</f>
        <v>#DIV/0!</v>
      </c>
      <c r="B771">
        <v>940</v>
      </c>
      <c r="C771">
        <v>940</v>
      </c>
      <c r="D771">
        <v>4</v>
      </c>
      <c r="E771">
        <v>3874</v>
      </c>
      <c r="F771" s="80">
        <v>44530</v>
      </c>
      <c r="G771" t="str">
        <f>IFERROR(IF((F771-F770)&gt;1,(LARGE(F771:$F771,1)-LARGE(F$769:$F771,2))-1,""),"")</f>
        <v/>
      </c>
    </row>
    <row r="772" spans="1:7">
      <c r="A772" s="3">
        <f>AVERAGE(E769:E782)</f>
        <v>4960.0714285714284</v>
      </c>
      <c r="B772">
        <v>940</v>
      </c>
      <c r="C772">
        <v>940</v>
      </c>
      <c r="D772">
        <v>1</v>
      </c>
      <c r="E772">
        <v>1000</v>
      </c>
      <c r="F772" s="80">
        <v>44531</v>
      </c>
      <c r="G772" t="str">
        <f>IFERROR(IF((F772-F771)&gt;1,(LARGE(F772:$F772,1)-LARGE(F$769:$F772,2))-1,""),"")</f>
        <v/>
      </c>
    </row>
    <row r="773" spans="1:7">
      <c r="A773" s="14" t="s">
        <v>47032</v>
      </c>
      <c r="B773">
        <v>940</v>
      </c>
      <c r="C773">
        <v>940</v>
      </c>
      <c r="D773">
        <v>1</v>
      </c>
      <c r="E773">
        <v>1000</v>
      </c>
      <c r="F773" s="80">
        <v>44534</v>
      </c>
      <c r="G773">
        <f>IFERROR(IF((F773-F772)&gt;1,(LARGE(F773:$F773,1)-LARGE(F$769:$F773,2))-1,""),"")</f>
        <v>2</v>
      </c>
    </row>
    <row r="774" spans="1:7">
      <c r="A774" s="14">
        <f>E782</f>
        <v>7705</v>
      </c>
      <c r="B774">
        <v>940</v>
      </c>
      <c r="C774">
        <v>940</v>
      </c>
      <c r="D774">
        <v>1</v>
      </c>
      <c r="E774">
        <v>1000</v>
      </c>
      <c r="F774" s="80">
        <v>44535</v>
      </c>
      <c r="G774" t="str">
        <f>IFERROR(IF((F774-F773)&gt;1,(LARGE(F774:$F774,1)-LARGE(F$769:$F774,2))-1,""),"")</f>
        <v/>
      </c>
    </row>
    <row r="775" spans="1:7">
      <c r="B775">
        <v>940</v>
      </c>
      <c r="C775">
        <v>940</v>
      </c>
      <c r="D775">
        <v>2</v>
      </c>
      <c r="E775">
        <v>6000</v>
      </c>
      <c r="F775" s="80">
        <v>44537</v>
      </c>
      <c r="G775">
        <f>IFERROR(IF((F775-F774)&gt;1,(LARGE(F775:$F775,1)-LARGE(F$769:$F775,2))-1,""),"")</f>
        <v>1</v>
      </c>
    </row>
    <row r="776" spans="1:7">
      <c r="B776">
        <v>940</v>
      </c>
      <c r="C776">
        <v>940</v>
      </c>
      <c r="D776">
        <v>3</v>
      </c>
      <c r="E776">
        <v>36000</v>
      </c>
      <c r="F776" s="80">
        <v>44539</v>
      </c>
      <c r="G776">
        <f>IFERROR(IF((F776-F775)&gt;1,(LARGE(F776:$F776,1)-LARGE(F$769:$F776,2))-1,""),"")</f>
        <v>1</v>
      </c>
    </row>
    <row r="777" spans="1:7">
      <c r="B777">
        <v>940</v>
      </c>
      <c r="C777">
        <v>940</v>
      </c>
      <c r="D777">
        <v>2</v>
      </c>
      <c r="E777">
        <v>1844</v>
      </c>
      <c r="F777" s="80">
        <v>44540</v>
      </c>
      <c r="G777" t="str">
        <f>IFERROR(IF((F777-F776)&gt;1,(LARGE(F777:$F777,1)-LARGE(F$769:$F777,2))-1,""),"")</f>
        <v/>
      </c>
    </row>
    <row r="778" spans="1:7">
      <c r="B778">
        <v>940</v>
      </c>
      <c r="C778">
        <v>940</v>
      </c>
      <c r="D778">
        <v>5</v>
      </c>
      <c r="E778">
        <v>5000</v>
      </c>
      <c r="F778" s="80">
        <v>44542</v>
      </c>
      <c r="G778">
        <f>IFERROR(IF((F778-F777)&gt;1,(LARGE(F778:$F778,1)-LARGE(F$769:$F778,2))-1,""),"")</f>
        <v>1</v>
      </c>
    </row>
    <row r="779" spans="1:7">
      <c r="B779">
        <v>940</v>
      </c>
      <c r="C779">
        <v>940</v>
      </c>
      <c r="D779">
        <v>1</v>
      </c>
      <c r="E779">
        <v>1000</v>
      </c>
      <c r="F779" s="80">
        <v>44544</v>
      </c>
      <c r="G779">
        <f>IFERROR(IF((F779-F778)&gt;1,(LARGE(F779:$F779,1)-LARGE(F$769:$F779,2))-1,""),"")</f>
        <v>1</v>
      </c>
    </row>
    <row r="780" spans="1:7">
      <c r="B780">
        <v>940</v>
      </c>
      <c r="C780">
        <v>940</v>
      </c>
      <c r="D780">
        <v>1</v>
      </c>
      <c r="E780">
        <v>1000</v>
      </c>
      <c r="F780" s="80">
        <v>44545</v>
      </c>
      <c r="G780" t="str">
        <f>IFERROR(IF((F780-F779)&gt;1,(LARGE(F780:$F780,1)-LARGE(F$769:$F780,2))-1,""),"")</f>
        <v/>
      </c>
    </row>
    <row r="781" spans="1:7">
      <c r="B781">
        <v>940</v>
      </c>
      <c r="C781">
        <v>940</v>
      </c>
      <c r="D781">
        <v>1</v>
      </c>
      <c r="E781">
        <v>1000</v>
      </c>
      <c r="F781" s="80">
        <v>44546</v>
      </c>
      <c r="G781" t="str">
        <f>IFERROR(IF((F781-F780)&gt;1,(LARGE(F781:$F781,1)-LARGE(F$769:$F781,2))-1,""),"")</f>
        <v/>
      </c>
    </row>
    <row r="782" spans="1:7">
      <c r="B782">
        <v>940</v>
      </c>
      <c r="C782">
        <v>940</v>
      </c>
      <c r="D782">
        <v>7</v>
      </c>
      <c r="E782">
        <v>7705</v>
      </c>
      <c r="F782" s="80">
        <v>44548</v>
      </c>
      <c r="G782">
        <f>IFERROR(IF((F782-F781)&gt;1,(LARGE(F782:$F782,1)-LARGE(F$769:$F782,2))-1,""),"")</f>
        <v>1</v>
      </c>
    </row>
    <row r="783" spans="1:7">
      <c r="A783" s="75">
        <f>VLOOKUP(TradeSheet!A54,TypeIDs!B:C,2,FALSE)</f>
        <v>22977</v>
      </c>
      <c r="B783" t="s">
        <v>47021</v>
      </c>
      <c r="C783" t="s">
        <v>47022</v>
      </c>
      <c r="D783" t="s">
        <v>47023</v>
      </c>
      <c r="E783" t="s">
        <v>47024</v>
      </c>
      <c r="F783" t="s">
        <v>47035</v>
      </c>
      <c r="G783" t="s">
        <v>47034</v>
      </c>
    </row>
    <row r="784" spans="1:7">
      <c r="A784" s="75" t="str">
        <f>CONCATENATE(SwaggerURL,input053)</f>
        <v>https://esi.evetech.net/latest/markets/10000021/history/?datasource=tranquility&amp;type_id=22977</v>
      </c>
      <c r="B784">
        <v>858</v>
      </c>
      <c r="C784">
        <v>858</v>
      </c>
      <c r="D784">
        <v>2</v>
      </c>
      <c r="E784">
        <v>3000</v>
      </c>
      <c r="F784" s="80">
        <v>44470</v>
      </c>
      <c r="G784" t="str">
        <f>IFERROR(IF((F784-F783)&gt;1,(LARGE(F784:$F784,1)-LARGE(F$784:$F784,2))-1,""),"")</f>
        <v/>
      </c>
    </row>
    <row r="785" spans="1:7">
      <c r="A785" s="3" t="s">
        <v>47031</v>
      </c>
      <c r="B785">
        <v>858</v>
      </c>
      <c r="C785">
        <v>858</v>
      </c>
      <c r="D785">
        <v>1</v>
      </c>
      <c r="E785">
        <v>1000</v>
      </c>
      <c r="F785" s="80">
        <v>44478</v>
      </c>
      <c r="G785">
        <f>IFERROR(IF((F785-F784)&gt;1,(LARGE(F785:$F785,1)-LARGE(F$784:$F785,2))-1,""),"")</f>
        <v>7</v>
      </c>
    </row>
    <row r="786" spans="1:7">
      <c r="A786" s="3" t="e">
        <f>AVERAGE(H784:H797)</f>
        <v>#DIV/0!</v>
      </c>
      <c r="B786">
        <v>856.5</v>
      </c>
      <c r="C786">
        <v>855</v>
      </c>
      <c r="D786">
        <v>3</v>
      </c>
      <c r="E786">
        <v>1600</v>
      </c>
      <c r="F786" s="80">
        <v>44486</v>
      </c>
      <c r="G786">
        <f>IFERROR(IF((F786-F785)&gt;1,(LARGE(F786:$F786,1)-LARGE(F$784:$F786,2))-1,""),"")</f>
        <v>7</v>
      </c>
    </row>
    <row r="787" spans="1:7">
      <c r="A787" s="3">
        <f>AVERAGE(E784:E797)</f>
        <v>2946.1428571428573</v>
      </c>
      <c r="B787">
        <v>858</v>
      </c>
      <c r="C787">
        <v>858</v>
      </c>
      <c r="D787">
        <v>1</v>
      </c>
      <c r="E787">
        <v>1500</v>
      </c>
      <c r="F787" s="80">
        <v>44487</v>
      </c>
      <c r="G787" t="str">
        <f>IFERROR(IF((F787-F786)&gt;1,(LARGE(F787:$F787,1)-LARGE(F$784:$F787,2))-1,""),"")</f>
        <v/>
      </c>
    </row>
    <row r="788" spans="1:7">
      <c r="A788" s="14" t="s">
        <v>47032</v>
      </c>
      <c r="B788">
        <v>858</v>
      </c>
      <c r="C788">
        <v>858</v>
      </c>
      <c r="D788">
        <v>1</v>
      </c>
      <c r="E788">
        <v>1000</v>
      </c>
      <c r="F788" s="80">
        <v>44494</v>
      </c>
      <c r="G788">
        <f>IFERROR(IF((F788-F787)&gt;1,(LARGE(F788:$F788,1)-LARGE(F$784:$F788,2))-1,""),"")</f>
        <v>6</v>
      </c>
    </row>
    <row r="789" spans="1:7">
      <c r="A789" s="14">
        <f>E797</f>
        <v>2000</v>
      </c>
      <c r="B789">
        <v>858</v>
      </c>
      <c r="C789">
        <v>858</v>
      </c>
      <c r="D789">
        <v>1</v>
      </c>
      <c r="E789">
        <v>2000</v>
      </c>
      <c r="F789" s="80">
        <v>44498</v>
      </c>
      <c r="G789">
        <f>IFERROR(IF((F789-F788)&gt;1,(LARGE(F789:$F789,1)-LARGE(F$784:$F789,2))-1,""),"")</f>
        <v>3</v>
      </c>
    </row>
    <row r="790" spans="1:7">
      <c r="B790">
        <v>858</v>
      </c>
      <c r="C790">
        <v>858</v>
      </c>
      <c r="D790">
        <v>4</v>
      </c>
      <c r="E790">
        <v>4398</v>
      </c>
      <c r="F790" s="80">
        <v>44503</v>
      </c>
      <c r="G790">
        <f>IFERROR(IF((F790-F789)&gt;1,(LARGE(F790:$F790,1)-LARGE(F$784:$F790,2))-1,""),"")</f>
        <v>4</v>
      </c>
    </row>
    <row r="791" spans="1:7">
      <c r="B791">
        <v>858</v>
      </c>
      <c r="C791">
        <v>858</v>
      </c>
      <c r="D791">
        <v>1</v>
      </c>
      <c r="E791">
        <v>2300</v>
      </c>
      <c r="F791" s="80">
        <v>44505</v>
      </c>
      <c r="G791">
        <f>IFERROR(IF((F791-F790)&gt;1,(LARGE(F791:$F791,1)-LARGE(F$784:$F791,2))-1,""),"")</f>
        <v>1</v>
      </c>
    </row>
    <row r="792" spans="1:7">
      <c r="B792">
        <v>858</v>
      </c>
      <c r="C792">
        <v>858</v>
      </c>
      <c r="D792">
        <v>1</v>
      </c>
      <c r="E792">
        <v>1000</v>
      </c>
      <c r="F792" s="80">
        <v>44508</v>
      </c>
      <c r="G792">
        <f>IFERROR(IF((F792-F791)&gt;1,(LARGE(F792:$F792,1)-LARGE(F$784:$F792,2))-1,""),"")</f>
        <v>2</v>
      </c>
    </row>
    <row r="793" spans="1:7">
      <c r="B793">
        <v>858</v>
      </c>
      <c r="C793">
        <v>858</v>
      </c>
      <c r="D793">
        <v>1</v>
      </c>
      <c r="E793">
        <v>5000</v>
      </c>
      <c r="F793" s="80">
        <v>44510</v>
      </c>
      <c r="G793">
        <f>IFERROR(IF((F793-F792)&gt;1,(LARGE(F793:$F793,1)-LARGE(F$784:$F793,2))-1,""),"")</f>
        <v>1</v>
      </c>
    </row>
    <row r="794" spans="1:7">
      <c r="B794">
        <v>858</v>
      </c>
      <c r="C794">
        <v>858</v>
      </c>
      <c r="D794">
        <v>1</v>
      </c>
      <c r="E794">
        <v>5000</v>
      </c>
      <c r="F794" s="80">
        <v>44512</v>
      </c>
      <c r="G794">
        <f>IFERROR(IF((F794-F793)&gt;1,(LARGE(F794:$F794,1)-LARGE(F$784:$F794,2))-1,""),"")</f>
        <v>1</v>
      </c>
    </row>
    <row r="795" spans="1:7">
      <c r="B795">
        <v>858</v>
      </c>
      <c r="C795">
        <v>858</v>
      </c>
      <c r="D795">
        <v>1</v>
      </c>
      <c r="E795">
        <v>10000</v>
      </c>
      <c r="F795" s="80">
        <v>44513</v>
      </c>
      <c r="G795" t="str">
        <f>IFERROR(IF((F795-F794)&gt;1,(LARGE(F795:$F795,1)-LARGE(F$784:$F795,2))-1,""),"")</f>
        <v/>
      </c>
    </row>
    <row r="796" spans="1:7">
      <c r="B796">
        <v>858.1</v>
      </c>
      <c r="C796">
        <v>858.1</v>
      </c>
      <c r="D796">
        <v>2</v>
      </c>
      <c r="E796">
        <v>1448</v>
      </c>
      <c r="F796" s="80">
        <v>44532</v>
      </c>
      <c r="G796">
        <f>IFERROR(IF((F796-F795)&gt;1,(LARGE(F796:$F796,1)-LARGE(F$784:$F796,2))-1,""),"")</f>
        <v>18</v>
      </c>
    </row>
    <row r="797" spans="1:7">
      <c r="B797">
        <v>845</v>
      </c>
      <c r="C797">
        <v>845</v>
      </c>
      <c r="D797">
        <v>1</v>
      </c>
      <c r="E797">
        <v>2000</v>
      </c>
      <c r="F797" s="80">
        <v>44547</v>
      </c>
      <c r="G797">
        <f>IFERROR(IF((F797-F796)&gt;1,(LARGE(F797:$F797,1)-LARGE(F$784:$F797,2))-1,""),"")</f>
        <v>14</v>
      </c>
    </row>
    <row r="798" spans="1:7">
      <c r="A798" s="75">
        <f>VLOOKUP(TradeSheet!A55,TypeIDs!B:C,2,FALSE)</f>
        <v>23009</v>
      </c>
      <c r="B798" t="s">
        <v>47021</v>
      </c>
      <c r="C798" t="s">
        <v>47022</v>
      </c>
      <c r="D798" t="s">
        <v>47023</v>
      </c>
      <c r="E798" t="s">
        <v>47024</v>
      </c>
      <c r="F798" t="s">
        <v>47035</v>
      </c>
      <c r="G798" t="s">
        <v>47034</v>
      </c>
    </row>
    <row r="799" spans="1:7">
      <c r="A799" s="75" t="str">
        <f>CONCATENATE(SwaggerURL,input054)</f>
        <v>https://esi.evetech.net/latest/markets/10000021/history/?datasource=tranquility&amp;type_id=23009</v>
      </c>
      <c r="B799">
        <v>509.9</v>
      </c>
      <c r="C799">
        <v>509.9</v>
      </c>
      <c r="D799">
        <v>9</v>
      </c>
      <c r="E799">
        <v>13196</v>
      </c>
      <c r="F799" s="80">
        <v>44527</v>
      </c>
      <c r="G799" t="str">
        <f>IFERROR(IF((F799-F798)&gt;1,(LARGE(F799:$F799,1)-LARGE(F$799:$F799,2))-1,""),"")</f>
        <v/>
      </c>
    </row>
    <row r="800" spans="1:7">
      <c r="A800" s="3" t="s">
        <v>47031</v>
      </c>
      <c r="B800">
        <v>510</v>
      </c>
      <c r="C800">
        <v>510</v>
      </c>
      <c r="D800">
        <v>4</v>
      </c>
      <c r="E800">
        <v>4600</v>
      </c>
      <c r="F800" s="80">
        <v>44528</v>
      </c>
      <c r="G800" t="str">
        <f>IFERROR(IF((F800-F799)&gt;1,(LARGE(F800:$F800,1)-LARGE(F$799:$F800,2))-1,""),"")</f>
        <v/>
      </c>
    </row>
    <row r="801" spans="1:7">
      <c r="A801" s="3" t="e">
        <f>AVERAGE(H799:H812)</f>
        <v>#DIV/0!</v>
      </c>
      <c r="B801">
        <v>510</v>
      </c>
      <c r="C801">
        <v>510</v>
      </c>
      <c r="D801">
        <v>4</v>
      </c>
      <c r="E801">
        <v>16144</v>
      </c>
      <c r="F801" s="80">
        <v>44529</v>
      </c>
      <c r="G801" t="str">
        <f>IFERROR(IF((F801-F800)&gt;1,(LARGE(F801:$F801,1)-LARGE(F$799:$F801,2))-1,""),"")</f>
        <v/>
      </c>
    </row>
    <row r="802" spans="1:7">
      <c r="A802" s="3">
        <f>AVERAGE(E799:E812)</f>
        <v>7307.4285714285716</v>
      </c>
      <c r="B802">
        <v>510</v>
      </c>
      <c r="C802">
        <v>510</v>
      </c>
      <c r="D802">
        <v>2</v>
      </c>
      <c r="E802">
        <v>13640</v>
      </c>
      <c r="F802" s="80">
        <v>44530</v>
      </c>
      <c r="G802" t="str">
        <f>IFERROR(IF((F802-F801)&gt;1,(LARGE(F802:$F802,1)-LARGE(F$799:$F802,2))-1,""),"")</f>
        <v/>
      </c>
    </row>
    <row r="803" spans="1:7">
      <c r="A803" s="14" t="s">
        <v>47032</v>
      </c>
      <c r="B803">
        <v>510</v>
      </c>
      <c r="C803">
        <v>510</v>
      </c>
      <c r="D803">
        <v>1</v>
      </c>
      <c r="E803">
        <v>80</v>
      </c>
      <c r="F803" s="80">
        <v>44531</v>
      </c>
      <c r="G803" t="str">
        <f>IFERROR(IF((F803-F802)&gt;1,(LARGE(F803:$F803,1)-LARGE(F$799:$F803,2))-1,""),"")</f>
        <v/>
      </c>
    </row>
    <row r="804" spans="1:7">
      <c r="A804" s="14">
        <f>E812</f>
        <v>7160</v>
      </c>
      <c r="B804">
        <v>510</v>
      </c>
      <c r="C804">
        <v>510</v>
      </c>
      <c r="D804">
        <v>2</v>
      </c>
      <c r="E804">
        <v>8000</v>
      </c>
      <c r="F804" s="80">
        <v>44533</v>
      </c>
      <c r="G804">
        <f>IFERROR(IF((F804-F803)&gt;1,(LARGE(F804:$F804,1)-LARGE(F$799:$F804,2))-1,""),"")</f>
        <v>1</v>
      </c>
    </row>
    <row r="805" spans="1:7">
      <c r="B805">
        <v>510</v>
      </c>
      <c r="C805">
        <v>510</v>
      </c>
      <c r="D805">
        <v>4</v>
      </c>
      <c r="E805">
        <v>5365</v>
      </c>
      <c r="F805" s="80">
        <v>44534</v>
      </c>
      <c r="G805" t="str">
        <f>IFERROR(IF((F805-F804)&gt;1,(LARGE(F805:$F805,1)-LARGE(F$799:$F805,2))-1,""),"")</f>
        <v/>
      </c>
    </row>
    <row r="806" spans="1:7">
      <c r="B806">
        <v>510</v>
      </c>
      <c r="C806">
        <v>510</v>
      </c>
      <c r="D806">
        <v>5</v>
      </c>
      <c r="E806">
        <v>7310</v>
      </c>
      <c r="F806" s="80">
        <v>44535</v>
      </c>
      <c r="G806" t="str">
        <f>IFERROR(IF((F806-F805)&gt;1,(LARGE(F806:$F806,1)-LARGE(F$799:$F806,2))-1,""),"")</f>
        <v/>
      </c>
    </row>
    <row r="807" spans="1:7">
      <c r="B807">
        <v>510</v>
      </c>
      <c r="C807">
        <v>510</v>
      </c>
      <c r="D807">
        <v>2</v>
      </c>
      <c r="E807">
        <v>11500</v>
      </c>
      <c r="F807" s="80">
        <v>44536</v>
      </c>
      <c r="G807" t="str">
        <f>IFERROR(IF((F807-F806)&gt;1,(LARGE(F807:$F807,1)-LARGE(F$799:$F807,2))-1,""),"")</f>
        <v/>
      </c>
    </row>
    <row r="808" spans="1:7">
      <c r="B808">
        <v>510</v>
      </c>
      <c r="C808">
        <v>510</v>
      </c>
      <c r="D808">
        <v>2</v>
      </c>
      <c r="E808">
        <v>4579</v>
      </c>
      <c r="F808" s="80">
        <v>44541</v>
      </c>
      <c r="G808">
        <f>IFERROR(IF((F808-F807)&gt;1,(LARGE(F808:$F808,1)-LARGE(F$799:$F808,2))-1,""),"")</f>
        <v>4</v>
      </c>
    </row>
    <row r="809" spans="1:7">
      <c r="B809">
        <v>500</v>
      </c>
      <c r="C809">
        <v>500</v>
      </c>
      <c r="D809">
        <v>3</v>
      </c>
      <c r="E809">
        <v>2888</v>
      </c>
      <c r="F809" s="80">
        <v>44544</v>
      </c>
      <c r="G809">
        <f>IFERROR(IF((F809-F808)&gt;1,(LARGE(F809:$F809,1)-LARGE(F$799:$F809,2))-1,""),"")</f>
        <v>2</v>
      </c>
    </row>
    <row r="810" spans="1:7">
      <c r="B810">
        <v>576</v>
      </c>
      <c r="C810">
        <v>576</v>
      </c>
      <c r="D810">
        <v>7</v>
      </c>
      <c r="E810">
        <v>4058</v>
      </c>
      <c r="F810" s="80">
        <v>44545</v>
      </c>
      <c r="G810" t="str">
        <f>IFERROR(IF((F810-F809)&gt;1,(LARGE(F810:$F810,1)-LARGE(F$799:$F810,2))-1,""),"")</f>
        <v/>
      </c>
    </row>
    <row r="811" spans="1:7">
      <c r="B811">
        <v>576</v>
      </c>
      <c r="C811">
        <v>576</v>
      </c>
      <c r="D811">
        <v>2</v>
      </c>
      <c r="E811">
        <v>3784</v>
      </c>
      <c r="F811" s="80">
        <v>44546</v>
      </c>
      <c r="G811" t="str">
        <f>IFERROR(IF((F811-F810)&gt;1,(LARGE(F811:$F811,1)-LARGE(F$799:$F811,2))-1,""),"")</f>
        <v/>
      </c>
    </row>
    <row r="812" spans="1:7">
      <c r="B812">
        <v>576</v>
      </c>
      <c r="C812">
        <v>576</v>
      </c>
      <c r="D812">
        <v>2</v>
      </c>
      <c r="E812">
        <v>7160</v>
      </c>
      <c r="F812" s="80">
        <v>44548</v>
      </c>
      <c r="G812">
        <f>IFERROR(IF((F812-F811)&gt;1,(LARGE(F812:$F812,1)-LARGE(F$799:$F812,2))-1,""),"")</f>
        <v>1</v>
      </c>
    </row>
    <row r="813" spans="1:7">
      <c r="A813" s="75">
        <f>VLOOKUP(TradeSheet!A56,TypeIDs!B:C,2,FALSE)</f>
        <v>24535</v>
      </c>
      <c r="B813" t="s">
        <v>47021</v>
      </c>
      <c r="C813" t="s">
        <v>47022</v>
      </c>
      <c r="D813" t="s">
        <v>47023</v>
      </c>
      <c r="E813" t="s">
        <v>47024</v>
      </c>
      <c r="F813" t="s">
        <v>47035</v>
      </c>
      <c r="G813" t="s">
        <v>47034</v>
      </c>
    </row>
    <row r="814" spans="1:7">
      <c r="A814" s="75" t="str">
        <f>CONCATENATE(SwaggerURL,input055)</f>
        <v>https://esi.evetech.net/latest/markets/10000021/history/?datasource=tranquility&amp;type_id=24535</v>
      </c>
      <c r="B814">
        <v>1000</v>
      </c>
      <c r="C814">
        <v>1000</v>
      </c>
      <c r="D814">
        <v>3</v>
      </c>
      <c r="E814">
        <v>18300</v>
      </c>
      <c r="F814" s="80">
        <v>44534</v>
      </c>
      <c r="G814" t="str">
        <f>IFERROR(IF((F814-F813)&gt;1,(LARGE(F814:$F814,1)-LARGE(F$814:$F814,2))-1,""),"")</f>
        <v/>
      </c>
    </row>
    <row r="815" spans="1:7">
      <c r="A815" s="3" t="s">
        <v>47031</v>
      </c>
      <c r="B815">
        <v>950</v>
      </c>
      <c r="C815">
        <v>950</v>
      </c>
      <c r="D815">
        <v>3</v>
      </c>
      <c r="E815">
        <v>18890</v>
      </c>
      <c r="F815" s="80">
        <v>44535</v>
      </c>
      <c r="G815" t="str">
        <f>IFERROR(IF((F815-F814)&gt;1,(LARGE(F815:$F815,1)-LARGE(F$814:$F815,2))-1,""),"")</f>
        <v/>
      </c>
    </row>
    <row r="816" spans="1:7">
      <c r="A816" s="3" t="e">
        <f>AVERAGE(H814:H827)</f>
        <v>#DIV/0!</v>
      </c>
      <c r="B816">
        <v>999.6</v>
      </c>
      <c r="C816">
        <v>999.6</v>
      </c>
      <c r="D816">
        <v>2</v>
      </c>
      <c r="E816">
        <v>2912</v>
      </c>
      <c r="F816" s="80">
        <v>44536</v>
      </c>
      <c r="G816" t="str">
        <f>IFERROR(IF((F816-F815)&gt;1,(LARGE(F816:$F816,1)-LARGE(F$814:$F816,2))-1,""),"")</f>
        <v/>
      </c>
    </row>
    <row r="817" spans="1:7">
      <c r="A817" s="3">
        <f>AVERAGE(E814:E827)</f>
        <v>22740.5</v>
      </c>
      <c r="B817">
        <v>995</v>
      </c>
      <c r="C817">
        <v>995</v>
      </c>
      <c r="D817">
        <v>1</v>
      </c>
      <c r="E817">
        <v>40000</v>
      </c>
      <c r="F817" s="80">
        <v>44537</v>
      </c>
      <c r="G817" t="str">
        <f>IFERROR(IF((F817-F816)&gt;1,(LARGE(F817:$F817,1)-LARGE(F$814:$F817,2))-1,""),"")</f>
        <v/>
      </c>
    </row>
    <row r="818" spans="1:7">
      <c r="A818" s="14" t="s">
        <v>47032</v>
      </c>
      <c r="B818">
        <v>994</v>
      </c>
      <c r="C818">
        <v>994</v>
      </c>
      <c r="D818">
        <v>1</v>
      </c>
      <c r="E818">
        <v>2000</v>
      </c>
      <c r="F818" s="80">
        <v>44538</v>
      </c>
      <c r="G818" t="str">
        <f>IFERROR(IF((F818-F817)&gt;1,(LARGE(F818:$F818,1)-LARGE(F$814:$F818,2))-1,""),"")</f>
        <v/>
      </c>
    </row>
    <row r="819" spans="1:7">
      <c r="A819" s="14">
        <f>E827</f>
        <v>4000</v>
      </c>
      <c r="B819">
        <v>993</v>
      </c>
      <c r="C819">
        <v>993</v>
      </c>
      <c r="D819">
        <v>3</v>
      </c>
      <c r="E819">
        <v>16588</v>
      </c>
      <c r="F819" s="80">
        <v>44539</v>
      </c>
      <c r="G819" t="str">
        <f>IFERROR(IF((F819-F818)&gt;1,(LARGE(F819:$F819,1)-LARGE(F$814:$F819,2))-1,""),"")</f>
        <v/>
      </c>
    </row>
    <row r="820" spans="1:7">
      <c r="B820">
        <v>980</v>
      </c>
      <c r="C820">
        <v>980</v>
      </c>
      <c r="D820">
        <v>1</v>
      </c>
      <c r="E820">
        <v>40000</v>
      </c>
      <c r="F820" s="80">
        <v>44540</v>
      </c>
      <c r="G820" t="str">
        <f>IFERROR(IF((F820-F819)&gt;1,(LARGE(F820:$F820,1)-LARGE(F$814:$F820,2))-1,""),"")</f>
        <v/>
      </c>
    </row>
    <row r="821" spans="1:7">
      <c r="B821">
        <v>980.7</v>
      </c>
      <c r="C821">
        <v>980.7</v>
      </c>
      <c r="D821">
        <v>1</v>
      </c>
      <c r="E821">
        <v>22362</v>
      </c>
      <c r="F821" s="80">
        <v>44541</v>
      </c>
      <c r="G821" t="str">
        <f>IFERROR(IF((F821-F820)&gt;1,(LARGE(F821:$F821,1)-LARGE(F$814:$F821,2))-1,""),"")</f>
        <v/>
      </c>
    </row>
    <row r="822" spans="1:7">
      <c r="B822">
        <v>980.7</v>
      </c>
      <c r="C822">
        <v>980.7</v>
      </c>
      <c r="D822">
        <v>10</v>
      </c>
      <c r="E822">
        <v>52021</v>
      </c>
      <c r="F822" s="80">
        <v>44542</v>
      </c>
      <c r="G822" t="str">
        <f>IFERROR(IF((F822-F821)&gt;1,(LARGE(F822:$F822,1)-LARGE(F$814:$F822,2))-1,""),"")</f>
        <v/>
      </c>
    </row>
    <row r="823" spans="1:7">
      <c r="B823">
        <v>992.5</v>
      </c>
      <c r="C823">
        <v>992.5</v>
      </c>
      <c r="D823">
        <v>1</v>
      </c>
      <c r="E823">
        <v>10000</v>
      </c>
      <c r="F823" s="80">
        <v>44543</v>
      </c>
      <c r="G823" t="str">
        <f>IFERROR(IF((F823-F822)&gt;1,(LARGE(F823:$F823,1)-LARGE(F$814:$F823,2))-1,""),"")</f>
        <v/>
      </c>
    </row>
    <row r="824" spans="1:7">
      <c r="B824">
        <v>969.9</v>
      </c>
      <c r="C824">
        <v>969.9</v>
      </c>
      <c r="D824">
        <v>5</v>
      </c>
      <c r="E824">
        <v>36000</v>
      </c>
      <c r="F824" s="80">
        <v>44544</v>
      </c>
      <c r="G824" t="str">
        <f>IFERROR(IF((F824-F823)&gt;1,(LARGE(F824:$F824,1)-LARGE(F$814:$F824,2))-1,""),"")</f>
        <v/>
      </c>
    </row>
    <row r="825" spans="1:7">
      <c r="B825">
        <v>968.8</v>
      </c>
      <c r="C825">
        <v>965</v>
      </c>
      <c r="D825">
        <v>8</v>
      </c>
      <c r="E825">
        <v>55000</v>
      </c>
      <c r="F825" s="80">
        <v>44545</v>
      </c>
      <c r="G825" t="str">
        <f>IFERROR(IF((F825-F824)&gt;1,(LARGE(F825:$F825,1)-LARGE(F$814:$F825,2))-1,""),"")</f>
        <v/>
      </c>
    </row>
    <row r="826" spans="1:7">
      <c r="B826">
        <v>965</v>
      </c>
      <c r="C826">
        <v>965</v>
      </c>
      <c r="D826">
        <v>1</v>
      </c>
      <c r="E826">
        <v>294</v>
      </c>
      <c r="F826" s="80">
        <v>44547</v>
      </c>
      <c r="G826">
        <f>IFERROR(IF((F826-F825)&gt;1,(LARGE(F826:$F826,1)-LARGE(F$814:$F826,2))-1,""),"")</f>
        <v>1</v>
      </c>
    </row>
    <row r="827" spans="1:7">
      <c r="B827">
        <v>960</v>
      </c>
      <c r="C827">
        <v>960</v>
      </c>
      <c r="D827">
        <v>3</v>
      </c>
      <c r="E827">
        <v>4000</v>
      </c>
      <c r="F827" s="80">
        <v>44548</v>
      </c>
      <c r="G827" t="str">
        <f>IFERROR(IF((F827-F826)&gt;1,(LARGE(F827:$F827,1)-LARGE(F$814:$F827,2))-1,""),"")</f>
        <v/>
      </c>
    </row>
    <row r="828" spans="1:7">
      <c r="A828" s="75">
        <f>VLOOKUP(TradeSheet!A57,TypeIDs!B:C,2,FALSE)</f>
        <v>24539</v>
      </c>
      <c r="B828" t="s">
        <v>47021</v>
      </c>
      <c r="C828" t="s">
        <v>47022</v>
      </c>
      <c r="D828" t="s">
        <v>47023</v>
      </c>
      <c r="E828" t="s">
        <v>47024</v>
      </c>
      <c r="F828" t="s">
        <v>47035</v>
      </c>
      <c r="G828" t="s">
        <v>47034</v>
      </c>
    </row>
    <row r="829" spans="1:7">
      <c r="A829" s="75" t="str">
        <f>CONCATENATE(SwaggerURL,input056)</f>
        <v>https://esi.evetech.net/latest/markets/10000021/history/?datasource=tranquility&amp;type_id=24539</v>
      </c>
      <c r="B829">
        <v>892</v>
      </c>
      <c r="C829">
        <v>892</v>
      </c>
      <c r="D829">
        <v>1</v>
      </c>
      <c r="E829">
        <v>20000</v>
      </c>
      <c r="F829" s="80">
        <v>44517</v>
      </c>
      <c r="G829" t="str">
        <f>IFERROR(IF((F829-F828)&gt;1,(LARGE(F829:$F829,1)-LARGE(F$829:$F829,2))-1,""),"")</f>
        <v/>
      </c>
    </row>
    <row r="830" spans="1:7">
      <c r="A830" s="3" t="s">
        <v>47031</v>
      </c>
      <c r="B830">
        <v>892</v>
      </c>
      <c r="C830">
        <v>892</v>
      </c>
      <c r="D830">
        <v>1</v>
      </c>
      <c r="E830">
        <v>5000</v>
      </c>
      <c r="F830" s="80">
        <v>44519</v>
      </c>
      <c r="G830">
        <f>IFERROR(IF((F830-F829)&gt;1,(LARGE(F830:$F830,1)-LARGE(F$829:$F830,2))-1,""),"")</f>
        <v>1</v>
      </c>
    </row>
    <row r="831" spans="1:7">
      <c r="A831" s="3" t="e">
        <f>AVERAGE(H829:H842)</f>
        <v>#DIV/0!</v>
      </c>
      <c r="B831">
        <v>892</v>
      </c>
      <c r="C831">
        <v>892</v>
      </c>
      <c r="D831">
        <v>1</v>
      </c>
      <c r="E831">
        <v>500</v>
      </c>
      <c r="F831" s="80">
        <v>44520</v>
      </c>
      <c r="G831" t="str">
        <f>IFERROR(IF((F831-F830)&gt;1,(LARGE(F831:$F831,1)-LARGE(F$829:$F831,2))-1,""),"")</f>
        <v/>
      </c>
    </row>
    <row r="832" spans="1:7">
      <c r="A832" s="3">
        <f>AVERAGE(E829:E842)</f>
        <v>8352.7142857142862</v>
      </c>
      <c r="B832">
        <v>892</v>
      </c>
      <c r="C832">
        <v>892</v>
      </c>
      <c r="D832">
        <v>1</v>
      </c>
      <c r="E832">
        <v>3000</v>
      </c>
      <c r="F832" s="80">
        <v>44521</v>
      </c>
      <c r="G832" t="str">
        <f>IFERROR(IF((F832-F831)&gt;1,(LARGE(F832:$F832,1)-LARGE(F$829:$F832,2))-1,""),"")</f>
        <v/>
      </c>
    </row>
    <row r="833" spans="1:7">
      <c r="A833" s="14" t="s">
        <v>47032</v>
      </c>
      <c r="B833">
        <v>892</v>
      </c>
      <c r="C833">
        <v>892</v>
      </c>
      <c r="D833">
        <v>1</v>
      </c>
      <c r="E833">
        <v>1000</v>
      </c>
      <c r="F833" s="80">
        <v>44529</v>
      </c>
      <c r="G833">
        <f>IFERROR(IF((F833-F832)&gt;1,(LARGE(F833:$F833,1)-LARGE(F$829:$F833,2))-1,""),"")</f>
        <v>7</v>
      </c>
    </row>
    <row r="834" spans="1:7">
      <c r="A834" s="14">
        <f>E842</f>
        <v>12000</v>
      </c>
      <c r="B834">
        <v>892</v>
      </c>
      <c r="C834">
        <v>892</v>
      </c>
      <c r="D834">
        <v>1</v>
      </c>
      <c r="E834">
        <v>2000</v>
      </c>
      <c r="F834" s="80">
        <v>44530</v>
      </c>
      <c r="G834" t="str">
        <f>IFERROR(IF((F834-F833)&gt;1,(LARGE(F834:$F834,1)-LARGE(F$829:$F834,2))-1,""),"")</f>
        <v/>
      </c>
    </row>
    <row r="835" spans="1:7">
      <c r="B835">
        <v>892</v>
      </c>
      <c r="C835">
        <v>892</v>
      </c>
      <c r="D835">
        <v>2</v>
      </c>
      <c r="E835">
        <v>500</v>
      </c>
      <c r="F835" s="80">
        <v>44535</v>
      </c>
      <c r="G835">
        <f>IFERROR(IF((F835-F834)&gt;1,(LARGE(F835:$F835,1)-LARGE(F$829:$F835,2))-1,""),"")</f>
        <v>4</v>
      </c>
    </row>
    <row r="836" spans="1:7">
      <c r="B836">
        <v>892</v>
      </c>
      <c r="C836">
        <v>892</v>
      </c>
      <c r="D836">
        <v>1</v>
      </c>
      <c r="E836">
        <v>1000</v>
      </c>
      <c r="F836" s="80">
        <v>44538</v>
      </c>
      <c r="G836">
        <f>IFERROR(IF((F836-F835)&gt;1,(LARGE(F836:$F836,1)-LARGE(F$829:$F836,2))-1,""),"")</f>
        <v>2</v>
      </c>
    </row>
    <row r="837" spans="1:7">
      <c r="B837">
        <v>892.1</v>
      </c>
      <c r="C837">
        <v>892.1</v>
      </c>
      <c r="D837">
        <v>1</v>
      </c>
      <c r="E837">
        <v>2500</v>
      </c>
      <c r="F837" s="80">
        <v>44539</v>
      </c>
      <c r="G837" t="str">
        <f>IFERROR(IF((F837-F836)&gt;1,(LARGE(F837:$F837,1)-LARGE(F$829:$F837,2))-1,""),"")</f>
        <v/>
      </c>
    </row>
    <row r="838" spans="1:7">
      <c r="B838">
        <v>892</v>
      </c>
      <c r="C838">
        <v>892</v>
      </c>
      <c r="D838">
        <v>1</v>
      </c>
      <c r="E838">
        <v>5000</v>
      </c>
      <c r="F838" s="80">
        <v>44540</v>
      </c>
      <c r="G838" t="str">
        <f>IFERROR(IF((F838-F837)&gt;1,(LARGE(F838:$F838,1)-LARGE(F$829:$F838,2))-1,""),"")</f>
        <v/>
      </c>
    </row>
    <row r="839" spans="1:7">
      <c r="B839">
        <v>892</v>
      </c>
      <c r="C839">
        <v>892</v>
      </c>
      <c r="D839">
        <v>1</v>
      </c>
      <c r="E839">
        <v>4500</v>
      </c>
      <c r="F839" s="80">
        <v>44542</v>
      </c>
      <c r="G839">
        <f>IFERROR(IF((F839-F838)&gt;1,(LARGE(F839:$F839,1)-LARGE(F$829:$F839,2))-1,""),"")</f>
        <v>1</v>
      </c>
    </row>
    <row r="840" spans="1:7">
      <c r="B840">
        <v>892.1</v>
      </c>
      <c r="C840">
        <v>892.1</v>
      </c>
      <c r="D840">
        <v>2</v>
      </c>
      <c r="E840">
        <v>30000</v>
      </c>
      <c r="F840" s="80">
        <v>44543</v>
      </c>
      <c r="G840" t="str">
        <f>IFERROR(IF((F840-F839)&gt;1,(LARGE(F840:$F840,1)-LARGE(F$829:$F840,2))-1,""),"")</f>
        <v/>
      </c>
    </row>
    <row r="841" spans="1:7">
      <c r="B841">
        <v>893</v>
      </c>
      <c r="C841">
        <v>892.5</v>
      </c>
      <c r="D841">
        <v>8</v>
      </c>
      <c r="E841">
        <v>29938</v>
      </c>
      <c r="F841" s="80">
        <v>44544</v>
      </c>
      <c r="G841" t="str">
        <f>IFERROR(IF((F841-F840)&gt;1,(LARGE(F841:$F841,1)-LARGE(F$829:$F841,2))-1,""),"")</f>
        <v/>
      </c>
    </row>
    <row r="842" spans="1:7">
      <c r="B842">
        <v>892.5</v>
      </c>
      <c r="C842">
        <v>892.5</v>
      </c>
      <c r="D842">
        <v>1</v>
      </c>
      <c r="E842">
        <v>12000</v>
      </c>
      <c r="F842" s="80">
        <v>44545</v>
      </c>
      <c r="G842" t="str">
        <f>IFERROR(IF((F842-F841)&gt;1,(LARGE(F842:$F842,1)-LARGE(F$829:$F842,2))-1,""),"")</f>
        <v/>
      </c>
    </row>
    <row r="843" spans="1:7">
      <c r="A843" s="75">
        <f>VLOOKUP(TradeSheet!A58,TypeIDs!B:C,2,FALSE)</f>
        <v>27377</v>
      </c>
      <c r="B843" t="s">
        <v>47021</v>
      </c>
      <c r="C843" t="s">
        <v>47022</v>
      </c>
      <c r="D843" t="s">
        <v>47023</v>
      </c>
      <c r="E843" t="s">
        <v>47024</v>
      </c>
      <c r="F843" t="s">
        <v>47035</v>
      </c>
      <c r="G843" t="s">
        <v>47034</v>
      </c>
    </row>
    <row r="844" spans="1:7">
      <c r="A844" s="75" t="str">
        <f>CONCATENATE(SwaggerURL,input057)</f>
        <v>https://esi.evetech.net/latest/markets/10000021/history/?datasource=tranquility&amp;type_id=27377</v>
      </c>
      <c r="B844">
        <v>2000</v>
      </c>
      <c r="C844">
        <v>2000</v>
      </c>
      <c r="D844">
        <v>1</v>
      </c>
      <c r="E844">
        <v>2500</v>
      </c>
      <c r="F844" s="80">
        <v>44532</v>
      </c>
      <c r="G844" t="str">
        <f>IFERROR(IF((F844-F843)&gt;1,(LARGE(F844:$F844,1)-LARGE(F$844:$F844,2))-1,""),"")</f>
        <v/>
      </c>
    </row>
    <row r="845" spans="1:7">
      <c r="A845" s="3" t="s">
        <v>47031</v>
      </c>
      <c r="B845">
        <v>1997</v>
      </c>
      <c r="C845">
        <v>1997</v>
      </c>
      <c r="D845">
        <v>1</v>
      </c>
      <c r="E845">
        <v>2500</v>
      </c>
      <c r="F845" s="80">
        <v>44533</v>
      </c>
      <c r="G845" t="str">
        <f>IFERROR(IF((F845-F844)&gt;1,(LARGE(F845:$F845,1)-LARGE(F$844:$F845,2))-1,""),"")</f>
        <v/>
      </c>
    </row>
    <row r="846" spans="1:7">
      <c r="A846" s="3" t="e">
        <f>AVERAGE(H844:H857)</f>
        <v>#DIV/0!</v>
      </c>
      <c r="B846">
        <v>1997</v>
      </c>
      <c r="C846">
        <v>1997</v>
      </c>
      <c r="D846">
        <v>3</v>
      </c>
      <c r="E846">
        <v>17000</v>
      </c>
      <c r="F846" s="80">
        <v>44534</v>
      </c>
      <c r="G846" t="str">
        <f>IFERROR(IF((F846-F845)&gt;1,(LARGE(F846:$F846,1)-LARGE(F$844:$F846,2))-1,""),"")</f>
        <v/>
      </c>
    </row>
    <row r="847" spans="1:7">
      <c r="A847" s="3">
        <f>AVERAGE(E844:E857)</f>
        <v>5818.2142857142853</v>
      </c>
      <c r="B847">
        <v>1997</v>
      </c>
      <c r="C847">
        <v>1997</v>
      </c>
      <c r="D847">
        <v>2</v>
      </c>
      <c r="E847">
        <v>5000</v>
      </c>
      <c r="F847" s="80">
        <v>44535</v>
      </c>
      <c r="G847" t="str">
        <f>IFERROR(IF((F847-F846)&gt;1,(LARGE(F847:$F847,1)-LARGE(F$844:$F847,2))-1,""),"")</f>
        <v/>
      </c>
    </row>
    <row r="848" spans="1:7">
      <c r="A848" s="14" t="s">
        <v>47032</v>
      </c>
      <c r="B848">
        <v>1997</v>
      </c>
      <c r="C848">
        <v>1997</v>
      </c>
      <c r="D848">
        <v>1</v>
      </c>
      <c r="E848">
        <v>2500</v>
      </c>
      <c r="F848" s="80">
        <v>44536</v>
      </c>
      <c r="G848" t="str">
        <f>IFERROR(IF((F848-F847)&gt;1,(LARGE(F848:$F848,1)-LARGE(F$844:$F848,2))-1,""),"")</f>
        <v/>
      </c>
    </row>
    <row r="849" spans="1:7">
      <c r="A849" s="14">
        <f>E857</f>
        <v>12700</v>
      </c>
      <c r="B849">
        <v>1997</v>
      </c>
      <c r="C849">
        <v>1997</v>
      </c>
      <c r="D849">
        <v>1</v>
      </c>
      <c r="E849">
        <v>6363</v>
      </c>
      <c r="F849" s="80">
        <v>44538</v>
      </c>
      <c r="G849">
        <f>IFERROR(IF((F849-F848)&gt;1,(LARGE(F849:$F849,1)-LARGE(F$844:$F849,2))-1,""),"")</f>
        <v>1</v>
      </c>
    </row>
    <row r="850" spans="1:7">
      <c r="B850">
        <v>2000</v>
      </c>
      <c r="C850">
        <v>2000</v>
      </c>
      <c r="D850">
        <v>3</v>
      </c>
      <c r="E850">
        <v>7500</v>
      </c>
      <c r="F850" s="80">
        <v>44539</v>
      </c>
      <c r="G850" t="str">
        <f>IFERROR(IF((F850-F849)&gt;1,(LARGE(F850:$F850,1)-LARGE(F$844:$F850,2))-1,""),"")</f>
        <v/>
      </c>
    </row>
    <row r="851" spans="1:7">
      <c r="B851">
        <v>2183</v>
      </c>
      <c r="C851">
        <v>2183</v>
      </c>
      <c r="D851">
        <v>1</v>
      </c>
      <c r="E851">
        <v>1900</v>
      </c>
      <c r="F851" s="80">
        <v>44540</v>
      </c>
      <c r="G851" t="str">
        <f>IFERROR(IF((F851-F850)&gt;1,(LARGE(F851:$F851,1)-LARGE(F$844:$F851,2))-1,""),"")</f>
        <v/>
      </c>
    </row>
    <row r="852" spans="1:7">
      <c r="B852">
        <v>2183</v>
      </c>
      <c r="C852">
        <v>2183</v>
      </c>
      <c r="D852">
        <v>2</v>
      </c>
      <c r="E852">
        <v>8000</v>
      </c>
      <c r="F852" s="80">
        <v>44542</v>
      </c>
      <c r="G852">
        <f>IFERROR(IF((F852-F851)&gt;1,(LARGE(F852:$F852,1)-LARGE(F$844:$F852,2))-1,""),"")</f>
        <v>1</v>
      </c>
    </row>
    <row r="853" spans="1:7">
      <c r="B853">
        <v>2201</v>
      </c>
      <c r="C853">
        <v>2201</v>
      </c>
      <c r="D853">
        <v>1</v>
      </c>
      <c r="E853">
        <v>2700</v>
      </c>
      <c r="F853" s="80">
        <v>44543</v>
      </c>
      <c r="G853" t="str">
        <f>IFERROR(IF((F853-F852)&gt;1,(LARGE(F853:$F853,1)-LARGE(F$844:$F853,2))-1,""),"")</f>
        <v/>
      </c>
    </row>
    <row r="854" spans="1:7">
      <c r="B854">
        <v>2201</v>
      </c>
      <c r="C854">
        <v>2201</v>
      </c>
      <c r="D854">
        <v>5</v>
      </c>
      <c r="E854">
        <v>9900</v>
      </c>
      <c r="F854" s="80">
        <v>44544</v>
      </c>
      <c r="G854" t="str">
        <f>IFERROR(IF((F854-F853)&gt;1,(LARGE(F854:$F854,1)-LARGE(F$844:$F854,2))-1,""),"")</f>
        <v/>
      </c>
    </row>
    <row r="855" spans="1:7">
      <c r="B855">
        <v>2201</v>
      </c>
      <c r="C855">
        <v>2201</v>
      </c>
      <c r="D855">
        <v>1</v>
      </c>
      <c r="E855">
        <v>2700</v>
      </c>
      <c r="F855" s="80">
        <v>44545</v>
      </c>
      <c r="G855" t="str">
        <f>IFERROR(IF((F855-F854)&gt;1,(LARGE(F855:$F855,1)-LARGE(F$844:$F855,2))-1,""),"")</f>
        <v/>
      </c>
    </row>
    <row r="856" spans="1:7">
      <c r="B856">
        <v>2201</v>
      </c>
      <c r="C856">
        <v>2201</v>
      </c>
      <c r="D856">
        <v>1</v>
      </c>
      <c r="E856">
        <v>192</v>
      </c>
      <c r="F856" s="80">
        <v>44547</v>
      </c>
      <c r="G856">
        <f>IFERROR(IF((F856-F855)&gt;1,(LARGE(F856:$F856,1)-LARGE(F$844:$F856,2))-1,""),"")</f>
        <v>1</v>
      </c>
    </row>
    <row r="857" spans="1:7">
      <c r="B857">
        <v>2201</v>
      </c>
      <c r="C857">
        <v>2201</v>
      </c>
      <c r="D857">
        <v>7</v>
      </c>
      <c r="E857">
        <v>12700</v>
      </c>
      <c r="F857" s="80">
        <v>44548</v>
      </c>
      <c r="G857" t="str">
        <f>IFERROR(IF((F857-F856)&gt;1,(LARGE(F857:$F857,1)-LARGE(F$844:$F857,2))-1,""),"")</f>
        <v/>
      </c>
    </row>
    <row r="858" spans="1:7">
      <c r="A858" s="75">
        <f>VLOOKUP(TradeSheet!A59,TypeIDs!B:C,2,FALSE)</f>
        <v>24486</v>
      </c>
      <c r="B858" t="s">
        <v>47021</v>
      </c>
      <c r="C858" t="s">
        <v>47022</v>
      </c>
      <c r="D858" t="s">
        <v>47023</v>
      </c>
      <c r="E858" t="s">
        <v>47024</v>
      </c>
      <c r="F858" t="s">
        <v>47035</v>
      </c>
      <c r="G858" t="s">
        <v>47034</v>
      </c>
    </row>
    <row r="859" spans="1:7">
      <c r="A859" s="75" t="str">
        <f>CONCATENATE(SwaggerURL,input058)</f>
        <v>https://esi.evetech.net/latest/markets/10000021/history/?datasource=tranquility&amp;type_id=24486</v>
      </c>
      <c r="B859">
        <v>400</v>
      </c>
      <c r="C859">
        <v>400</v>
      </c>
      <c r="D859">
        <v>5</v>
      </c>
      <c r="E859">
        <v>7000</v>
      </c>
      <c r="F859" s="80">
        <v>44521</v>
      </c>
      <c r="G859" t="str">
        <f>IFERROR(IF((F859-F858)&gt;1,(LARGE(F859:$F859,1)-LARGE(F$859:$F859,2))-1,""),"")</f>
        <v/>
      </c>
    </row>
    <row r="860" spans="1:7">
      <c r="A860" s="3" t="s">
        <v>47031</v>
      </c>
      <c r="B860">
        <v>400</v>
      </c>
      <c r="C860">
        <v>400</v>
      </c>
      <c r="D860">
        <v>1</v>
      </c>
      <c r="E860">
        <v>5000</v>
      </c>
      <c r="F860" s="80">
        <v>44524</v>
      </c>
      <c r="G860">
        <f>IFERROR(IF((F860-F859)&gt;1,(LARGE(F860:$F860,1)-LARGE(F$859:$F860,2))-1,""),"")</f>
        <v>2</v>
      </c>
    </row>
    <row r="861" spans="1:7">
      <c r="A861" s="3" t="e">
        <f>AVERAGE(H859:H872)</f>
        <v>#DIV/0!</v>
      </c>
      <c r="B861">
        <v>400</v>
      </c>
      <c r="C861">
        <v>400</v>
      </c>
      <c r="D861">
        <v>2</v>
      </c>
      <c r="E861">
        <v>7330</v>
      </c>
      <c r="F861" s="80">
        <v>44525</v>
      </c>
      <c r="G861" t="str">
        <f>IFERROR(IF((F861-F860)&gt;1,(LARGE(F861:$F861,1)-LARGE(F$859:$F861,2))-1,""),"")</f>
        <v/>
      </c>
    </row>
    <row r="862" spans="1:7">
      <c r="A862" s="3">
        <f>AVERAGE(E859:E872)</f>
        <v>6867.8571428571431</v>
      </c>
      <c r="B862">
        <v>399.9</v>
      </c>
      <c r="C862">
        <v>399.9</v>
      </c>
      <c r="D862">
        <v>1</v>
      </c>
      <c r="E862">
        <v>7500</v>
      </c>
      <c r="F862" s="80">
        <v>44527</v>
      </c>
      <c r="G862">
        <f>IFERROR(IF((F862-F861)&gt;1,(LARGE(F862:$F862,1)-LARGE(F$859:$F862,2))-1,""),"")</f>
        <v>1</v>
      </c>
    </row>
    <row r="863" spans="1:7">
      <c r="A863" s="14" t="s">
        <v>47032</v>
      </c>
      <c r="B863">
        <v>400</v>
      </c>
      <c r="C863">
        <v>400</v>
      </c>
      <c r="D863">
        <v>1</v>
      </c>
      <c r="E863">
        <v>3000</v>
      </c>
      <c r="F863" s="80">
        <v>44528</v>
      </c>
      <c r="G863" t="str">
        <f>IFERROR(IF((F863-F862)&gt;1,(LARGE(F863:$F863,1)-LARGE(F$859:$F863,2))-1,""),"")</f>
        <v/>
      </c>
    </row>
    <row r="864" spans="1:7">
      <c r="A864" s="14">
        <f>E872</f>
        <v>3000</v>
      </c>
      <c r="B864">
        <v>399</v>
      </c>
      <c r="C864">
        <v>399</v>
      </c>
      <c r="D864">
        <v>5</v>
      </c>
      <c r="E864">
        <v>7500</v>
      </c>
      <c r="F864" s="80">
        <v>44529</v>
      </c>
      <c r="G864" t="str">
        <f>IFERROR(IF((F864-F863)&gt;1,(LARGE(F864:$F864,1)-LARGE(F$859:$F864,2))-1,""),"")</f>
        <v/>
      </c>
    </row>
    <row r="865" spans="1:7">
      <c r="B865">
        <v>390</v>
      </c>
      <c r="C865">
        <v>390</v>
      </c>
      <c r="D865">
        <v>2</v>
      </c>
      <c r="E865">
        <v>6820</v>
      </c>
      <c r="F865" s="80">
        <v>44530</v>
      </c>
      <c r="G865" t="str">
        <f>IFERROR(IF((F865-F864)&gt;1,(LARGE(F865:$F865,1)-LARGE(F$859:$F865,2))-1,""),"")</f>
        <v/>
      </c>
    </row>
    <row r="866" spans="1:7">
      <c r="B866">
        <v>175</v>
      </c>
      <c r="C866">
        <v>175</v>
      </c>
      <c r="D866">
        <v>2</v>
      </c>
      <c r="E866">
        <v>15500</v>
      </c>
      <c r="F866" s="80">
        <v>44533</v>
      </c>
      <c r="G866">
        <f>IFERROR(IF((F866-F865)&gt;1,(LARGE(F866:$F866,1)-LARGE(F$859:$F866,2))-1,""),"")</f>
        <v>2</v>
      </c>
    </row>
    <row r="867" spans="1:7">
      <c r="B867">
        <v>189.9</v>
      </c>
      <c r="C867">
        <v>189.9</v>
      </c>
      <c r="D867">
        <v>1</v>
      </c>
      <c r="E867">
        <v>1000</v>
      </c>
      <c r="F867" s="80">
        <v>44539</v>
      </c>
      <c r="G867">
        <f>IFERROR(IF((F867-F866)&gt;1,(LARGE(F867:$F867,1)-LARGE(F$859:$F867,2))-1,""),"")</f>
        <v>5</v>
      </c>
    </row>
    <row r="868" spans="1:7">
      <c r="B868">
        <v>190</v>
      </c>
      <c r="C868">
        <v>190</v>
      </c>
      <c r="D868">
        <v>2</v>
      </c>
      <c r="E868">
        <v>9500</v>
      </c>
      <c r="F868" s="80">
        <v>44542</v>
      </c>
      <c r="G868">
        <f>IFERROR(IF((F868-F867)&gt;1,(LARGE(F868:$F868,1)-LARGE(F$859:$F868,2))-1,""),"")</f>
        <v>2</v>
      </c>
    </row>
    <row r="869" spans="1:7">
      <c r="B869">
        <v>190</v>
      </c>
      <c r="C869">
        <v>190</v>
      </c>
      <c r="D869">
        <v>1</v>
      </c>
      <c r="E869">
        <v>1000</v>
      </c>
      <c r="F869" s="80">
        <v>44543</v>
      </c>
      <c r="G869" t="str">
        <f>IFERROR(IF((F869-F868)&gt;1,(LARGE(F869:$F869,1)-LARGE(F$859:$F869,2))-1,""),"")</f>
        <v/>
      </c>
    </row>
    <row r="870" spans="1:7">
      <c r="B870">
        <v>190</v>
      </c>
      <c r="C870">
        <v>190</v>
      </c>
      <c r="D870">
        <v>1</v>
      </c>
      <c r="E870">
        <v>2000</v>
      </c>
      <c r="F870" s="80">
        <v>44545</v>
      </c>
      <c r="G870">
        <f>IFERROR(IF((F870-F869)&gt;1,(LARGE(F870:$F870,1)-LARGE(F$859:$F870,2))-1,""),"")</f>
        <v>1</v>
      </c>
    </row>
    <row r="871" spans="1:7">
      <c r="B871">
        <v>190</v>
      </c>
      <c r="C871">
        <v>190</v>
      </c>
      <c r="D871">
        <v>1</v>
      </c>
      <c r="E871">
        <v>20000</v>
      </c>
      <c r="F871" s="80">
        <v>44546</v>
      </c>
      <c r="G871" t="str">
        <f>IFERROR(IF((F871-F870)&gt;1,(LARGE(F871:$F871,1)-LARGE(F$859:$F871,2))-1,""),"")</f>
        <v/>
      </c>
    </row>
    <row r="872" spans="1:7">
      <c r="B872">
        <v>190</v>
      </c>
      <c r="C872">
        <v>190</v>
      </c>
      <c r="D872">
        <v>2</v>
      </c>
      <c r="E872">
        <v>3000</v>
      </c>
      <c r="F872" s="80">
        <v>44547</v>
      </c>
      <c r="G872" t="str">
        <f>IFERROR(IF((F872-F871)&gt;1,(LARGE(F872:$F872,1)-LARGE(F$859:$F872,2))-1,""),"")</f>
        <v/>
      </c>
    </row>
    <row r="873" spans="1:7">
      <c r="A873" s="75">
        <f>VLOOKUP(TradeSheet!A60,TypeIDs!B:C,2,FALSE)</f>
        <v>24490</v>
      </c>
      <c r="B873" t="s">
        <v>47021</v>
      </c>
      <c r="C873" t="s">
        <v>47022</v>
      </c>
      <c r="D873" t="s">
        <v>47023</v>
      </c>
      <c r="E873" t="s">
        <v>47024</v>
      </c>
      <c r="F873" t="s">
        <v>47035</v>
      </c>
      <c r="G873" t="s">
        <v>47034</v>
      </c>
    </row>
    <row r="874" spans="1:7">
      <c r="A874" s="75" t="str">
        <f>CONCATENATE(SwaggerURL,input059)</f>
        <v>https://esi.evetech.net/latest/markets/10000021/history/?datasource=tranquility&amp;type_id=24490</v>
      </c>
      <c r="B874">
        <v>160</v>
      </c>
      <c r="C874">
        <v>160</v>
      </c>
      <c r="D874">
        <v>2</v>
      </c>
      <c r="E874">
        <v>12000</v>
      </c>
      <c r="F874" s="80">
        <v>44535</v>
      </c>
      <c r="G874" t="str">
        <f>IFERROR(IF((F874-F873)&gt;1,(LARGE(F874:$F874,1)-LARGE(F$874:$F874,2))-1,""),"")</f>
        <v/>
      </c>
    </row>
    <row r="875" spans="1:7">
      <c r="A875" s="3" t="s">
        <v>47031</v>
      </c>
      <c r="B875">
        <v>160</v>
      </c>
      <c r="C875">
        <v>160</v>
      </c>
      <c r="D875">
        <v>5</v>
      </c>
      <c r="E875">
        <v>151000</v>
      </c>
      <c r="F875" s="80">
        <v>44536</v>
      </c>
      <c r="G875" t="str">
        <f>IFERROR(IF((F875-F874)&gt;1,(LARGE(F875:$F875,1)-LARGE(F$874:$F875,2))-1,""),"")</f>
        <v/>
      </c>
    </row>
    <row r="876" spans="1:7">
      <c r="A876" s="3" t="e">
        <f>AVERAGE(H874:H887)</f>
        <v>#DIV/0!</v>
      </c>
      <c r="B876">
        <v>160</v>
      </c>
      <c r="C876">
        <v>160</v>
      </c>
      <c r="D876">
        <v>2</v>
      </c>
      <c r="E876">
        <v>3200</v>
      </c>
      <c r="F876" s="80">
        <v>44537</v>
      </c>
      <c r="G876" t="str">
        <f>IFERROR(IF((F876-F875)&gt;1,(LARGE(F876:$F876,1)-LARGE(F$874:$F876,2))-1,""),"")</f>
        <v/>
      </c>
    </row>
    <row r="877" spans="1:7">
      <c r="A877" s="3">
        <f>AVERAGE(E874:E887)</f>
        <v>64531.714285714283</v>
      </c>
      <c r="B877">
        <v>160</v>
      </c>
      <c r="C877">
        <v>160</v>
      </c>
      <c r="D877">
        <v>6</v>
      </c>
      <c r="E877">
        <v>145010</v>
      </c>
      <c r="F877" s="80">
        <v>44538</v>
      </c>
      <c r="G877" t="str">
        <f>IFERROR(IF((F877-F876)&gt;1,(LARGE(F877:$F877,1)-LARGE(F$874:$F877,2))-1,""),"")</f>
        <v/>
      </c>
    </row>
    <row r="878" spans="1:7">
      <c r="A878" s="14" t="s">
        <v>47032</v>
      </c>
      <c r="B878">
        <v>160</v>
      </c>
      <c r="C878">
        <v>160</v>
      </c>
      <c r="D878">
        <v>3</v>
      </c>
      <c r="E878">
        <v>18300</v>
      </c>
      <c r="F878" s="80">
        <v>44540</v>
      </c>
      <c r="G878">
        <f>IFERROR(IF((F878-F877)&gt;1,(LARGE(F878:$F878,1)-LARGE(F$874:$F878,2))-1,""),"")</f>
        <v>1</v>
      </c>
    </row>
    <row r="879" spans="1:7">
      <c r="A879" s="14">
        <f>E887</f>
        <v>25792</v>
      </c>
      <c r="B879">
        <v>160</v>
      </c>
      <c r="C879">
        <v>160</v>
      </c>
      <c r="D879">
        <v>5</v>
      </c>
      <c r="E879">
        <v>75500</v>
      </c>
      <c r="F879" s="80">
        <v>44541</v>
      </c>
      <c r="G879" t="str">
        <f>IFERROR(IF((F879-F878)&gt;1,(LARGE(F879:$F879,1)-LARGE(F$874:$F879,2))-1,""),"")</f>
        <v/>
      </c>
    </row>
    <row r="880" spans="1:7">
      <c r="B880">
        <v>160</v>
      </c>
      <c r="C880">
        <v>160</v>
      </c>
      <c r="D880">
        <v>11</v>
      </c>
      <c r="E880">
        <v>89000</v>
      </c>
      <c r="F880" s="80">
        <v>44542</v>
      </c>
      <c r="G880" t="str">
        <f>IFERROR(IF((F880-F879)&gt;1,(LARGE(F880:$F880,1)-LARGE(F$874:$F880,2))-1,""),"")</f>
        <v/>
      </c>
    </row>
    <row r="881" spans="1:7">
      <c r="B881">
        <v>160</v>
      </c>
      <c r="C881">
        <v>160</v>
      </c>
      <c r="D881">
        <v>4</v>
      </c>
      <c r="E881">
        <v>23000</v>
      </c>
      <c r="F881" s="80">
        <v>44543</v>
      </c>
      <c r="G881" t="str">
        <f>IFERROR(IF((F881-F880)&gt;1,(LARGE(F881:$F881,1)-LARGE(F$874:$F881,2))-1,""),"")</f>
        <v/>
      </c>
    </row>
    <row r="882" spans="1:7">
      <c r="B882">
        <v>160</v>
      </c>
      <c r="C882">
        <v>160</v>
      </c>
      <c r="D882">
        <v>5</v>
      </c>
      <c r="E882">
        <v>105000</v>
      </c>
      <c r="F882" s="80">
        <v>44544</v>
      </c>
      <c r="G882" t="str">
        <f>IFERROR(IF((F882-F881)&gt;1,(LARGE(F882:$F882,1)-LARGE(F$874:$F882,2))-1,""),"")</f>
        <v/>
      </c>
    </row>
    <row r="883" spans="1:7">
      <c r="B883">
        <v>160.1</v>
      </c>
      <c r="C883">
        <v>160.1</v>
      </c>
      <c r="D883">
        <v>6</v>
      </c>
      <c r="E883">
        <v>159642</v>
      </c>
      <c r="F883" s="80">
        <v>44545</v>
      </c>
      <c r="G883" t="str">
        <f>IFERROR(IF((F883-F882)&gt;1,(LARGE(F883:$F883,1)-LARGE(F$874:$F883,2))-1,""),"")</f>
        <v/>
      </c>
    </row>
    <row r="884" spans="1:7">
      <c r="B884">
        <v>170.1</v>
      </c>
      <c r="C884">
        <v>170.1</v>
      </c>
      <c r="D884">
        <v>2</v>
      </c>
      <c r="E884">
        <v>27000</v>
      </c>
      <c r="F884" s="80">
        <v>44546</v>
      </c>
      <c r="G884" t="str">
        <f>IFERROR(IF((F884-F883)&gt;1,(LARGE(F884:$F884,1)-LARGE(F$874:$F884,2))-1,""),"")</f>
        <v/>
      </c>
    </row>
    <row r="885" spans="1:7">
      <c r="B885">
        <v>170.1</v>
      </c>
      <c r="C885">
        <v>170.1</v>
      </c>
      <c r="D885">
        <v>3</v>
      </c>
      <c r="E885">
        <v>41000</v>
      </c>
      <c r="F885" s="80">
        <v>44547</v>
      </c>
      <c r="G885" t="str">
        <f>IFERROR(IF((F885-F884)&gt;1,(LARGE(F885:$F885,1)-LARGE(F$874:$F885,2))-1,""),"")</f>
        <v/>
      </c>
    </row>
    <row r="886" spans="1:7">
      <c r="B886">
        <v>170.1</v>
      </c>
      <c r="C886">
        <v>170.1</v>
      </c>
      <c r="D886">
        <v>4</v>
      </c>
      <c r="E886">
        <v>28000</v>
      </c>
      <c r="F886" s="80">
        <v>44548</v>
      </c>
      <c r="G886" t="str">
        <f>IFERROR(IF((F886-F885)&gt;1,(LARGE(F886:$F886,1)-LARGE(F$874:$F886,2))-1,""),"")</f>
        <v/>
      </c>
    </row>
    <row r="887" spans="1:7">
      <c r="B887">
        <v>170.1</v>
      </c>
      <c r="C887">
        <v>170.1</v>
      </c>
      <c r="D887">
        <v>7</v>
      </c>
      <c r="E887">
        <v>25792</v>
      </c>
      <c r="F887" s="80">
        <v>44549</v>
      </c>
      <c r="G887" t="str">
        <f>IFERROR(IF((F887-F886)&gt;1,(LARGE(F887:$F887,1)-LARGE(F$874:$F887,2))-1,""),"")</f>
        <v/>
      </c>
    </row>
    <row r="888" spans="1:7">
      <c r="A888" s="75">
        <f>VLOOKUP(TradeSheet!A61,TypeIDs!B:C,2,FALSE)</f>
        <v>24488</v>
      </c>
      <c r="B888" t="s">
        <v>47021</v>
      </c>
      <c r="C888" t="s">
        <v>47022</v>
      </c>
      <c r="D888" t="s">
        <v>47023</v>
      </c>
      <c r="E888" t="s">
        <v>47024</v>
      </c>
      <c r="F888" t="s">
        <v>47035</v>
      </c>
      <c r="G888" t="s">
        <v>47034</v>
      </c>
    </row>
    <row r="889" spans="1:7">
      <c r="A889" s="75" t="str">
        <f>CONCATENATE(SwaggerURL,input060)</f>
        <v>https://esi.evetech.net/latest/markets/10000021/history/?datasource=tranquility&amp;type_id=24488</v>
      </c>
      <c r="B889">
        <v>700</v>
      </c>
      <c r="C889">
        <v>700</v>
      </c>
      <c r="D889">
        <v>2</v>
      </c>
      <c r="E889">
        <v>2500</v>
      </c>
      <c r="F889" s="80">
        <v>44519</v>
      </c>
      <c r="G889" t="str">
        <f>IFERROR(IF((F889-F888)&gt;1,(LARGE(F889:$F889,1)-LARGE(F$889:$F889,2))-1,""),"")</f>
        <v/>
      </c>
    </row>
    <row r="890" spans="1:7">
      <c r="A890" s="3" t="s">
        <v>47031</v>
      </c>
      <c r="B890">
        <v>700</v>
      </c>
      <c r="C890">
        <v>700</v>
      </c>
      <c r="D890">
        <v>6</v>
      </c>
      <c r="E890">
        <v>6000</v>
      </c>
      <c r="F890" s="80">
        <v>44521</v>
      </c>
      <c r="G890">
        <f>IFERROR(IF((F890-F889)&gt;1,(LARGE(F890:$F890,1)-LARGE(F$889:$F890,2))-1,""),"")</f>
        <v>1</v>
      </c>
    </row>
    <row r="891" spans="1:7">
      <c r="A891" s="3" t="e">
        <f>AVERAGE(H889:H902)</f>
        <v>#DIV/0!</v>
      </c>
      <c r="B891">
        <v>700</v>
      </c>
      <c r="C891">
        <v>700</v>
      </c>
      <c r="D891">
        <v>2</v>
      </c>
      <c r="E891">
        <v>20000</v>
      </c>
      <c r="F891" s="80">
        <v>44522</v>
      </c>
      <c r="G891" t="str">
        <f>IFERROR(IF((F891-F890)&gt;1,(LARGE(F891:$F891,1)-LARGE(F$889:$F891,2))-1,""),"")</f>
        <v/>
      </c>
    </row>
    <row r="892" spans="1:7">
      <c r="A892" s="3">
        <f>AVERAGE(E889:E902)</f>
        <v>6892.8571428571431</v>
      </c>
      <c r="B892">
        <v>700</v>
      </c>
      <c r="C892">
        <v>700</v>
      </c>
      <c r="D892">
        <v>2</v>
      </c>
      <c r="E892">
        <v>10000</v>
      </c>
      <c r="F892" s="80">
        <v>44523</v>
      </c>
      <c r="G892" t="str">
        <f>IFERROR(IF((F892-F891)&gt;1,(LARGE(F892:$F892,1)-LARGE(F$889:$F892,2))-1,""),"")</f>
        <v/>
      </c>
    </row>
    <row r="893" spans="1:7">
      <c r="A893" s="14" t="s">
        <v>47032</v>
      </c>
      <c r="B893">
        <v>699</v>
      </c>
      <c r="C893">
        <v>699</v>
      </c>
      <c r="D893">
        <v>1</v>
      </c>
      <c r="E893">
        <v>600</v>
      </c>
      <c r="F893" s="80">
        <v>44526</v>
      </c>
      <c r="G893">
        <f>IFERROR(IF((F893-F892)&gt;1,(LARGE(F893:$F893,1)-LARGE(F$889:$F893,2))-1,""),"")</f>
        <v>2</v>
      </c>
    </row>
    <row r="894" spans="1:7">
      <c r="A894" s="14">
        <f>E902</f>
        <v>2000</v>
      </c>
      <c r="B894">
        <v>700</v>
      </c>
      <c r="C894">
        <v>700</v>
      </c>
      <c r="D894">
        <v>3</v>
      </c>
      <c r="E894">
        <v>9000</v>
      </c>
      <c r="F894" s="80">
        <v>44527</v>
      </c>
      <c r="G894" t="str">
        <f>IFERROR(IF((F894-F893)&gt;1,(LARGE(F894:$F894,1)-LARGE(F$889:$F894,2))-1,""),"")</f>
        <v/>
      </c>
    </row>
    <row r="895" spans="1:7">
      <c r="B895">
        <v>700</v>
      </c>
      <c r="C895">
        <v>700</v>
      </c>
      <c r="D895">
        <v>1</v>
      </c>
      <c r="E895">
        <v>5000</v>
      </c>
      <c r="F895" s="80">
        <v>44528</v>
      </c>
      <c r="G895" t="str">
        <f>IFERROR(IF((F895-F894)&gt;1,(LARGE(F895:$F895,1)-LARGE(F$889:$F895,2))-1,""),"")</f>
        <v/>
      </c>
    </row>
    <row r="896" spans="1:7">
      <c r="B896">
        <v>696.9</v>
      </c>
      <c r="C896">
        <v>696.9</v>
      </c>
      <c r="D896">
        <v>1</v>
      </c>
      <c r="E896">
        <v>200</v>
      </c>
      <c r="F896" s="80">
        <v>44536</v>
      </c>
      <c r="G896">
        <f>IFERROR(IF((F896-F895)&gt;1,(LARGE(F896:$F896,1)-LARGE(F$889:$F896,2))-1,""),"")</f>
        <v>7</v>
      </c>
    </row>
    <row r="897" spans="1:7">
      <c r="B897">
        <v>696.9</v>
      </c>
      <c r="C897">
        <v>696.9</v>
      </c>
      <c r="D897">
        <v>1</v>
      </c>
      <c r="E897">
        <v>1200</v>
      </c>
      <c r="F897" s="80">
        <v>44537</v>
      </c>
      <c r="G897" t="str">
        <f>IFERROR(IF((F897-F896)&gt;1,(LARGE(F897:$F897,1)-LARGE(F$889:$F897,2))-1,""),"")</f>
        <v/>
      </c>
    </row>
    <row r="898" spans="1:7">
      <c r="B898">
        <v>696.9</v>
      </c>
      <c r="C898">
        <v>696.9</v>
      </c>
      <c r="D898">
        <v>1</v>
      </c>
      <c r="E898">
        <v>1000</v>
      </c>
      <c r="F898" s="80">
        <v>44539</v>
      </c>
      <c r="G898">
        <f>IFERROR(IF((F898-F897)&gt;1,(LARGE(F898:$F898,1)-LARGE(F$889:$F898,2))-1,""),"")</f>
        <v>1</v>
      </c>
    </row>
    <row r="899" spans="1:7">
      <c r="B899">
        <v>696.9</v>
      </c>
      <c r="C899">
        <v>696.9</v>
      </c>
      <c r="D899">
        <v>1</v>
      </c>
      <c r="E899">
        <v>1000</v>
      </c>
      <c r="F899" s="80">
        <v>44543</v>
      </c>
      <c r="G899">
        <f>IFERROR(IF((F899-F898)&gt;1,(LARGE(F899:$F899,1)-LARGE(F$889:$F899,2))-1,""),"")</f>
        <v>3</v>
      </c>
    </row>
    <row r="900" spans="1:7">
      <c r="B900">
        <v>699.8</v>
      </c>
      <c r="C900">
        <v>699.8</v>
      </c>
      <c r="D900">
        <v>5</v>
      </c>
      <c r="E900">
        <v>24000</v>
      </c>
      <c r="F900" s="80">
        <v>44545</v>
      </c>
      <c r="G900">
        <f>IFERROR(IF((F900-F899)&gt;1,(LARGE(F900:$F900,1)-LARGE(F$889:$F900,2))-1,""),"")</f>
        <v>1</v>
      </c>
    </row>
    <row r="901" spans="1:7">
      <c r="B901">
        <v>690</v>
      </c>
      <c r="C901">
        <v>690</v>
      </c>
      <c r="D901">
        <v>3</v>
      </c>
      <c r="E901">
        <v>14000</v>
      </c>
      <c r="F901" s="80">
        <v>44546</v>
      </c>
      <c r="G901" t="str">
        <f>IFERROR(IF((F901-F900)&gt;1,(LARGE(F901:$F901,1)-LARGE(F$889:$F901,2))-1,""),"")</f>
        <v/>
      </c>
    </row>
    <row r="902" spans="1:7">
      <c r="B902">
        <v>695</v>
      </c>
      <c r="C902">
        <v>695</v>
      </c>
      <c r="D902">
        <v>1</v>
      </c>
      <c r="E902">
        <v>2000</v>
      </c>
      <c r="F902" s="80">
        <v>44547</v>
      </c>
      <c r="G902" t="str">
        <f>IFERROR(IF((F902-F901)&gt;1,(LARGE(F902:$F902,1)-LARGE(F$889:$F902,2))-1,""),"")</f>
        <v/>
      </c>
    </row>
    <row r="903" spans="1:7">
      <c r="A903" s="75">
        <f>VLOOKUP(TradeSheet!A62,TypeIDs!B:C,2,FALSE)</f>
        <v>2679</v>
      </c>
      <c r="B903" t="s">
        <v>47021</v>
      </c>
      <c r="C903" t="s">
        <v>47022</v>
      </c>
      <c r="D903" t="s">
        <v>47023</v>
      </c>
      <c r="E903" t="s">
        <v>47024</v>
      </c>
      <c r="F903" t="s">
        <v>47035</v>
      </c>
      <c r="G903" t="s">
        <v>47034</v>
      </c>
    </row>
    <row r="904" spans="1:7">
      <c r="A904" s="75" t="str">
        <f>CONCATENATE(SwaggerURL,input061)</f>
        <v>https://esi.evetech.net/latest/markets/10000021/history/?datasource=tranquility&amp;type_id=2679</v>
      </c>
      <c r="B904">
        <v>368.8</v>
      </c>
      <c r="C904">
        <v>368.8</v>
      </c>
      <c r="D904">
        <v>5</v>
      </c>
      <c r="E904">
        <v>42387</v>
      </c>
      <c r="F904" s="80">
        <v>44533</v>
      </c>
      <c r="G904" t="str">
        <f>IFERROR(IF((F904-F903)&gt;1,(LARGE(F904:$F904,1)-LARGE(F$904:$F904,2))-1,""),"")</f>
        <v/>
      </c>
    </row>
    <row r="905" spans="1:7">
      <c r="A905" s="3" t="s">
        <v>47031</v>
      </c>
      <c r="B905">
        <v>370</v>
      </c>
      <c r="C905">
        <v>370</v>
      </c>
      <c r="D905">
        <v>8</v>
      </c>
      <c r="E905">
        <v>42966</v>
      </c>
      <c r="F905" s="80">
        <v>44534</v>
      </c>
      <c r="G905" t="str">
        <f>IFERROR(IF((F905-F904)&gt;1,(LARGE(F905:$F905,1)-LARGE(F$904:$F905,2))-1,""),"")</f>
        <v/>
      </c>
    </row>
    <row r="906" spans="1:7">
      <c r="A906" s="3" t="e">
        <f>AVERAGE(H904:H917)</f>
        <v>#DIV/0!</v>
      </c>
      <c r="B906">
        <v>498</v>
      </c>
      <c r="C906">
        <v>498</v>
      </c>
      <c r="D906">
        <v>2</v>
      </c>
      <c r="E906">
        <v>6570</v>
      </c>
      <c r="F906" s="80">
        <v>44535</v>
      </c>
      <c r="G906" t="str">
        <f>IFERROR(IF((F906-F905)&gt;1,(LARGE(F906:$F906,1)-LARGE(F$904:$F906,2))-1,""),"")</f>
        <v/>
      </c>
    </row>
    <row r="907" spans="1:7">
      <c r="A907" s="3">
        <f>AVERAGE(E904:E917)</f>
        <v>13277.5</v>
      </c>
      <c r="B907">
        <v>499</v>
      </c>
      <c r="C907">
        <v>499</v>
      </c>
      <c r="D907">
        <v>3</v>
      </c>
      <c r="E907">
        <v>16188</v>
      </c>
      <c r="F907" s="80">
        <v>44536</v>
      </c>
      <c r="G907" t="str">
        <f>IFERROR(IF((F907-F906)&gt;1,(LARGE(F907:$F907,1)-LARGE(F$904:$F907,2))-1,""),"")</f>
        <v/>
      </c>
    </row>
    <row r="908" spans="1:7">
      <c r="A908" s="14" t="s">
        <v>47032</v>
      </c>
      <c r="B908">
        <v>499</v>
      </c>
      <c r="C908">
        <v>499</v>
      </c>
      <c r="D908">
        <v>2</v>
      </c>
      <c r="E908">
        <v>1596</v>
      </c>
      <c r="F908" s="80">
        <v>44537</v>
      </c>
      <c r="G908" t="str">
        <f>IFERROR(IF((F908-F907)&gt;1,(LARGE(F908:$F908,1)-LARGE(F$904:$F908,2))-1,""),"")</f>
        <v/>
      </c>
    </row>
    <row r="909" spans="1:7">
      <c r="A909" s="14">
        <f>E917</f>
        <v>2000</v>
      </c>
      <c r="B909">
        <v>499</v>
      </c>
      <c r="C909">
        <v>499</v>
      </c>
      <c r="D909">
        <v>1</v>
      </c>
      <c r="E909">
        <v>15000</v>
      </c>
      <c r="F909" s="80">
        <v>44538</v>
      </c>
      <c r="G909" t="str">
        <f>IFERROR(IF((F909-F908)&gt;1,(LARGE(F909:$F909,1)-LARGE(F$904:$F909,2))-1,""),"")</f>
        <v/>
      </c>
    </row>
    <row r="910" spans="1:7">
      <c r="B910">
        <v>750</v>
      </c>
      <c r="C910">
        <v>750</v>
      </c>
      <c r="D910">
        <v>3</v>
      </c>
      <c r="E910">
        <v>6200</v>
      </c>
      <c r="F910" s="80">
        <v>44539</v>
      </c>
      <c r="G910" t="str">
        <f>IFERROR(IF((F910-F909)&gt;1,(LARGE(F910:$F910,1)-LARGE(F$904:$F910,2))-1,""),"")</f>
        <v/>
      </c>
    </row>
    <row r="911" spans="1:7">
      <c r="B911">
        <v>750</v>
      </c>
      <c r="C911">
        <v>750</v>
      </c>
      <c r="D911">
        <v>3</v>
      </c>
      <c r="E911">
        <v>12000</v>
      </c>
      <c r="F911" s="80">
        <v>44540</v>
      </c>
      <c r="G911" t="str">
        <f>IFERROR(IF((F911-F910)&gt;1,(LARGE(F911:$F911,1)-LARGE(F$904:$F911,2))-1,""),"")</f>
        <v/>
      </c>
    </row>
    <row r="912" spans="1:7">
      <c r="B912">
        <v>750</v>
      </c>
      <c r="C912">
        <v>750</v>
      </c>
      <c r="D912">
        <v>2</v>
      </c>
      <c r="E912">
        <v>7830</v>
      </c>
      <c r="F912" s="80">
        <v>44541</v>
      </c>
      <c r="G912" t="str">
        <f>IFERROR(IF((F912-F911)&gt;1,(LARGE(F912:$F912,1)-LARGE(F$904:$F912,2))-1,""),"")</f>
        <v/>
      </c>
    </row>
    <row r="913" spans="1:7">
      <c r="B913">
        <v>750</v>
      </c>
      <c r="C913">
        <v>750</v>
      </c>
      <c r="D913">
        <v>2</v>
      </c>
      <c r="E913">
        <v>9776</v>
      </c>
      <c r="F913" s="80">
        <v>44542</v>
      </c>
      <c r="G913" t="str">
        <f>IFERROR(IF((F913-F912)&gt;1,(LARGE(F913:$F913,1)-LARGE(F$904:$F913,2))-1,""),"")</f>
        <v/>
      </c>
    </row>
    <row r="914" spans="1:7">
      <c r="B914">
        <v>795</v>
      </c>
      <c r="C914">
        <v>795</v>
      </c>
      <c r="D914">
        <v>1</v>
      </c>
      <c r="E914">
        <v>1000</v>
      </c>
      <c r="F914" s="80">
        <v>44543</v>
      </c>
      <c r="G914" t="str">
        <f>IFERROR(IF((F914-F913)&gt;1,(LARGE(F914:$F914,1)-LARGE(F$904:$F914,2))-1,""),"")</f>
        <v/>
      </c>
    </row>
    <row r="915" spans="1:7">
      <c r="B915">
        <v>795</v>
      </c>
      <c r="C915">
        <v>795</v>
      </c>
      <c r="D915">
        <v>1</v>
      </c>
      <c r="E915">
        <v>15000</v>
      </c>
      <c r="F915" s="80">
        <v>44544</v>
      </c>
      <c r="G915" t="str">
        <f>IFERROR(IF((F915-F914)&gt;1,(LARGE(F915:$F915,1)-LARGE(F$904:$F915,2))-1,""),"")</f>
        <v/>
      </c>
    </row>
    <row r="916" spans="1:7">
      <c r="B916">
        <v>750</v>
      </c>
      <c r="C916">
        <v>750</v>
      </c>
      <c r="D916">
        <v>4</v>
      </c>
      <c r="E916">
        <v>7372</v>
      </c>
      <c r="F916" s="80">
        <v>44545</v>
      </c>
      <c r="G916" t="str">
        <f>IFERROR(IF((F916-F915)&gt;1,(LARGE(F916:$F916,1)-LARGE(F$904:$F916,2))-1,""),"")</f>
        <v/>
      </c>
    </row>
    <row r="917" spans="1:7">
      <c r="B917">
        <v>750</v>
      </c>
      <c r="C917">
        <v>750</v>
      </c>
      <c r="D917">
        <v>1</v>
      </c>
      <c r="E917">
        <v>2000</v>
      </c>
      <c r="F917" s="80">
        <v>44547</v>
      </c>
      <c r="G917">
        <f>IFERROR(IF((F917-F916)&gt;1,(LARGE(F917:$F917,1)-LARGE(F$904:$F917,2))-1,""),"")</f>
        <v>1</v>
      </c>
    </row>
    <row r="918" spans="1:7">
      <c r="A918" s="75">
        <f>VLOOKUP(TradeSheet!A63,TypeIDs!B:C,2,FALSE)</f>
        <v>24493</v>
      </c>
      <c r="B918" t="s">
        <v>47021</v>
      </c>
      <c r="C918" t="s">
        <v>47022</v>
      </c>
      <c r="D918" t="s">
        <v>47023</v>
      </c>
      <c r="E918" t="s">
        <v>47024</v>
      </c>
      <c r="F918" t="s">
        <v>47035</v>
      </c>
      <c r="G918" t="s">
        <v>47034</v>
      </c>
    </row>
    <row r="919" spans="1:7">
      <c r="A919" s="75" t="str">
        <f>CONCATENATE(SwaggerURL,input062)</f>
        <v>https://esi.evetech.net/latest/markets/10000021/history/?datasource=tranquility&amp;type_id=24493</v>
      </c>
      <c r="B919">
        <v>180</v>
      </c>
      <c r="C919">
        <v>180</v>
      </c>
      <c r="D919">
        <v>4</v>
      </c>
      <c r="E919">
        <v>37768</v>
      </c>
      <c r="F919" s="80">
        <v>44533</v>
      </c>
      <c r="G919" t="str">
        <f>IFERROR(IF((F919-F918)&gt;1,(LARGE(F919:$F919,1)-LARGE(F$919:$F919,2))-1,""),"")</f>
        <v/>
      </c>
    </row>
    <row r="920" spans="1:7">
      <c r="A920" s="3" t="s">
        <v>47031</v>
      </c>
      <c r="B920">
        <v>180</v>
      </c>
      <c r="C920">
        <v>180</v>
      </c>
      <c r="D920">
        <v>6</v>
      </c>
      <c r="E920">
        <v>30812</v>
      </c>
      <c r="F920" s="80">
        <v>44534</v>
      </c>
      <c r="G920" t="str">
        <f>IFERROR(IF((F920-F919)&gt;1,(LARGE(F920:$F920,1)-LARGE(F$919:$F920,2))-1,""),"")</f>
        <v/>
      </c>
    </row>
    <row r="921" spans="1:7">
      <c r="A921" s="3" t="e">
        <f>AVERAGE(H919:H932)</f>
        <v>#DIV/0!</v>
      </c>
      <c r="B921">
        <v>180</v>
      </c>
      <c r="C921">
        <v>180</v>
      </c>
      <c r="D921">
        <v>5</v>
      </c>
      <c r="E921">
        <v>16896</v>
      </c>
      <c r="F921" s="80">
        <v>44536</v>
      </c>
      <c r="G921">
        <f>IFERROR(IF((F921-F920)&gt;1,(LARGE(F921:$F921,1)-LARGE(F$919:$F921,2))-1,""),"")</f>
        <v>1</v>
      </c>
    </row>
    <row r="922" spans="1:7">
      <c r="A922" s="3">
        <f>AVERAGE(E919:E932)</f>
        <v>22266.857142857141</v>
      </c>
      <c r="B922">
        <v>180</v>
      </c>
      <c r="C922">
        <v>180</v>
      </c>
      <c r="D922">
        <v>2</v>
      </c>
      <c r="E922">
        <v>26000</v>
      </c>
      <c r="F922" s="80">
        <v>44538</v>
      </c>
      <c r="G922">
        <f>IFERROR(IF((F922-F921)&gt;1,(LARGE(F922:$F922,1)-LARGE(F$919:$F922,2))-1,""),"")</f>
        <v>1</v>
      </c>
    </row>
    <row r="923" spans="1:7">
      <c r="A923" s="14" t="s">
        <v>47032</v>
      </c>
      <c r="B923">
        <v>180</v>
      </c>
      <c r="C923">
        <v>180</v>
      </c>
      <c r="D923">
        <v>2</v>
      </c>
      <c r="E923">
        <v>3000</v>
      </c>
      <c r="F923" s="80">
        <v>44539</v>
      </c>
      <c r="G923" t="str">
        <f>IFERROR(IF((F923-F922)&gt;1,(LARGE(F923:$F923,1)-LARGE(F$919:$F923,2))-1,""),"")</f>
        <v/>
      </c>
    </row>
    <row r="924" spans="1:7">
      <c r="A924" s="14">
        <f>E932</f>
        <v>12000</v>
      </c>
      <c r="B924">
        <v>180</v>
      </c>
      <c r="C924">
        <v>180</v>
      </c>
      <c r="D924">
        <v>2</v>
      </c>
      <c r="E924">
        <v>7000</v>
      </c>
      <c r="F924" s="80">
        <v>44540</v>
      </c>
      <c r="G924" t="str">
        <f>IFERROR(IF((F924-F923)&gt;1,(LARGE(F924:$F924,1)-LARGE(F$919:$F924,2))-1,""),"")</f>
        <v/>
      </c>
    </row>
    <row r="925" spans="1:7">
      <c r="B925">
        <v>180</v>
      </c>
      <c r="C925">
        <v>180</v>
      </c>
      <c r="D925">
        <v>2</v>
      </c>
      <c r="E925">
        <v>3000</v>
      </c>
      <c r="F925" s="80">
        <v>44541</v>
      </c>
      <c r="G925" t="str">
        <f>IFERROR(IF((F925-F924)&gt;1,(LARGE(F925:$F925,1)-LARGE(F$919:$F925,2))-1,""),"")</f>
        <v/>
      </c>
    </row>
    <row r="926" spans="1:7">
      <c r="B926">
        <v>180</v>
      </c>
      <c r="C926">
        <v>180</v>
      </c>
      <c r="D926">
        <v>7</v>
      </c>
      <c r="E926">
        <v>23260</v>
      </c>
      <c r="F926" s="80">
        <v>44542</v>
      </c>
      <c r="G926" t="str">
        <f>IFERROR(IF((F926-F925)&gt;1,(LARGE(F926:$F926,1)-LARGE(F$919:$F926,2))-1,""),"")</f>
        <v/>
      </c>
    </row>
    <row r="927" spans="1:7">
      <c r="B927">
        <v>180</v>
      </c>
      <c r="C927">
        <v>180</v>
      </c>
      <c r="D927">
        <v>3</v>
      </c>
      <c r="E927">
        <v>28000</v>
      </c>
      <c r="F927" s="80">
        <v>44543</v>
      </c>
      <c r="G927" t="str">
        <f>IFERROR(IF((F927-F926)&gt;1,(LARGE(F927:$F927,1)-LARGE(F$919:$F927,2))-1,""),"")</f>
        <v/>
      </c>
    </row>
    <row r="928" spans="1:7">
      <c r="B928">
        <v>180</v>
      </c>
      <c r="C928">
        <v>180</v>
      </c>
      <c r="D928">
        <v>1</v>
      </c>
      <c r="E928">
        <v>10000</v>
      </c>
      <c r="F928" s="80">
        <v>44544</v>
      </c>
      <c r="G928" t="str">
        <f>IFERROR(IF((F928-F927)&gt;1,(LARGE(F928:$F928,1)-LARGE(F$919:$F928,2))-1,""),"")</f>
        <v/>
      </c>
    </row>
    <row r="929" spans="1:7">
      <c r="B929">
        <v>180</v>
      </c>
      <c r="C929">
        <v>180</v>
      </c>
      <c r="D929">
        <v>2</v>
      </c>
      <c r="E929">
        <v>60000</v>
      </c>
      <c r="F929" s="80">
        <v>44545</v>
      </c>
      <c r="G929" t="str">
        <f>IFERROR(IF((F929-F928)&gt;1,(LARGE(F929:$F929,1)-LARGE(F$919:$F929,2))-1,""),"")</f>
        <v/>
      </c>
    </row>
    <row r="930" spans="1:7">
      <c r="B930">
        <v>180</v>
      </c>
      <c r="C930">
        <v>180</v>
      </c>
      <c r="D930">
        <v>2</v>
      </c>
      <c r="E930">
        <v>13000</v>
      </c>
      <c r="F930" s="80">
        <v>44546</v>
      </c>
      <c r="G930" t="str">
        <f>IFERROR(IF((F930-F929)&gt;1,(LARGE(F930:$F930,1)-LARGE(F$919:$F930,2))-1,""),"")</f>
        <v/>
      </c>
    </row>
    <row r="931" spans="1:7">
      <c r="B931">
        <v>180</v>
      </c>
      <c r="C931">
        <v>180</v>
      </c>
      <c r="D931">
        <v>4</v>
      </c>
      <c r="E931">
        <v>41000</v>
      </c>
      <c r="F931" s="80">
        <v>44547</v>
      </c>
      <c r="G931" t="str">
        <f>IFERROR(IF((F931-F930)&gt;1,(LARGE(F931:$F931,1)-LARGE(F$919:$F931,2))-1,""),"")</f>
        <v/>
      </c>
    </row>
    <row r="932" spans="1:7">
      <c r="B932">
        <v>180</v>
      </c>
      <c r="C932">
        <v>180</v>
      </c>
      <c r="D932">
        <v>3</v>
      </c>
      <c r="E932">
        <v>12000</v>
      </c>
      <c r="F932" s="80">
        <v>44548</v>
      </c>
      <c r="G932" t="str">
        <f>IFERROR(IF((F932-F931)&gt;1,(LARGE(F932:$F932,1)-LARGE(F$919:$F932,2))-1,""),"")</f>
        <v/>
      </c>
    </row>
    <row r="933" spans="1:7">
      <c r="A933" s="75">
        <f>VLOOKUP(TradeSheet!A64,TypeIDs!B:C,2,FALSE)</f>
        <v>24492</v>
      </c>
      <c r="B933" t="s">
        <v>47021</v>
      </c>
      <c r="C933" t="s">
        <v>47022</v>
      </c>
      <c r="D933" t="s">
        <v>47023</v>
      </c>
      <c r="E933" t="s">
        <v>47024</v>
      </c>
      <c r="F933" t="s">
        <v>47035</v>
      </c>
      <c r="G933" t="s">
        <v>47034</v>
      </c>
    </row>
    <row r="934" spans="1:7">
      <c r="A934" s="75" t="str">
        <f>CONCATENATE(SwaggerURL,input063)</f>
        <v>https://esi.evetech.net/latest/markets/10000021/history/?datasource=tranquility&amp;type_id=24492</v>
      </c>
      <c r="B934">
        <v>340</v>
      </c>
      <c r="C934">
        <v>340</v>
      </c>
      <c r="D934">
        <v>1</v>
      </c>
      <c r="E934">
        <v>700</v>
      </c>
      <c r="F934" s="80">
        <v>44532</v>
      </c>
      <c r="G934" t="str">
        <f>IFERROR(IF((F934-F933)&gt;1,(LARGE(F934:$F934,1)-LARGE(F$934:$F934,2))-1,""),"")</f>
        <v/>
      </c>
    </row>
    <row r="935" spans="1:7">
      <c r="A935" s="3" t="s">
        <v>47031</v>
      </c>
      <c r="B935">
        <v>340</v>
      </c>
      <c r="C935">
        <v>340</v>
      </c>
      <c r="D935">
        <v>1</v>
      </c>
      <c r="E935">
        <v>1046</v>
      </c>
      <c r="F935" s="80">
        <v>44533</v>
      </c>
      <c r="G935" t="str">
        <f>IFERROR(IF((F935-F934)&gt;1,(LARGE(F935:$F935,1)-LARGE(F$934:$F935,2))-1,""),"")</f>
        <v/>
      </c>
    </row>
    <row r="936" spans="1:7">
      <c r="A936" s="3" t="e">
        <f>AVERAGE(H934:H947)</f>
        <v>#DIV/0!</v>
      </c>
      <c r="B936">
        <v>349</v>
      </c>
      <c r="C936">
        <v>349</v>
      </c>
      <c r="D936">
        <v>5</v>
      </c>
      <c r="E936">
        <v>3700</v>
      </c>
      <c r="F936" s="80">
        <v>44534</v>
      </c>
      <c r="G936" t="str">
        <f>IFERROR(IF((F936-F935)&gt;1,(LARGE(F936:$F936,1)-LARGE(F$934:$F936,2))-1,""),"")</f>
        <v/>
      </c>
    </row>
    <row r="937" spans="1:7">
      <c r="A937" s="3">
        <f>AVERAGE(E934:E947)</f>
        <v>3624.7142857142858</v>
      </c>
      <c r="B937">
        <v>369</v>
      </c>
      <c r="C937">
        <v>369</v>
      </c>
      <c r="D937">
        <v>2</v>
      </c>
      <c r="E937">
        <v>4856</v>
      </c>
      <c r="F937" s="80">
        <v>44535</v>
      </c>
      <c r="G937" t="str">
        <f>IFERROR(IF((F937-F936)&gt;1,(LARGE(F937:$F937,1)-LARGE(F$934:$F937,2))-1,""),"")</f>
        <v/>
      </c>
    </row>
    <row r="938" spans="1:7">
      <c r="A938" s="14" t="s">
        <v>47032</v>
      </c>
      <c r="B938">
        <v>368</v>
      </c>
      <c r="C938">
        <v>368</v>
      </c>
      <c r="D938">
        <v>1</v>
      </c>
      <c r="E938">
        <v>700</v>
      </c>
      <c r="F938" s="80">
        <v>44536</v>
      </c>
      <c r="G938" t="str">
        <f>IFERROR(IF((F938-F937)&gt;1,(LARGE(F938:$F938,1)-LARGE(F$934:$F938,2))-1,""),"")</f>
        <v/>
      </c>
    </row>
    <row r="939" spans="1:7">
      <c r="A939" s="14">
        <f>E947</f>
        <v>2000</v>
      </c>
      <c r="B939">
        <v>250</v>
      </c>
      <c r="C939">
        <v>250</v>
      </c>
      <c r="D939">
        <v>1</v>
      </c>
      <c r="E939">
        <v>1200</v>
      </c>
      <c r="F939" s="80">
        <v>44537</v>
      </c>
      <c r="G939" t="str">
        <f>IFERROR(IF((F939-F938)&gt;1,(LARGE(F939:$F939,1)-LARGE(F$934:$F939,2))-1,""),"")</f>
        <v/>
      </c>
    </row>
    <row r="940" spans="1:7">
      <c r="B940">
        <v>368</v>
      </c>
      <c r="C940">
        <v>368</v>
      </c>
      <c r="D940">
        <v>3</v>
      </c>
      <c r="E940">
        <v>15244</v>
      </c>
      <c r="F940" s="80">
        <v>44538</v>
      </c>
      <c r="G940" t="str">
        <f>IFERROR(IF((F940-F939)&gt;1,(LARGE(F940:$F940,1)-LARGE(F$934:$F940,2))-1,""),"")</f>
        <v/>
      </c>
    </row>
    <row r="941" spans="1:7">
      <c r="B941">
        <v>368</v>
      </c>
      <c r="C941">
        <v>368</v>
      </c>
      <c r="D941">
        <v>2</v>
      </c>
      <c r="E941">
        <v>4500</v>
      </c>
      <c r="F941" s="80">
        <v>44540</v>
      </c>
      <c r="G941">
        <f>IFERROR(IF((F941-F940)&gt;1,(LARGE(F941:$F941,1)-LARGE(F$934:$F941,2))-1,""),"")</f>
        <v>1</v>
      </c>
    </row>
    <row r="942" spans="1:7">
      <c r="B942">
        <v>368</v>
      </c>
      <c r="C942">
        <v>368</v>
      </c>
      <c r="D942">
        <v>1</v>
      </c>
      <c r="E942">
        <v>2500</v>
      </c>
      <c r="F942" s="80">
        <v>44541</v>
      </c>
      <c r="G942" t="str">
        <f>IFERROR(IF((F942-F941)&gt;1,(LARGE(F942:$F942,1)-LARGE(F$934:$F942,2))-1,""),"")</f>
        <v/>
      </c>
    </row>
    <row r="943" spans="1:7">
      <c r="B943">
        <v>368</v>
      </c>
      <c r="C943">
        <v>368</v>
      </c>
      <c r="D943">
        <v>1</v>
      </c>
      <c r="E943">
        <v>3000</v>
      </c>
      <c r="F943" s="80">
        <v>44542</v>
      </c>
      <c r="G943" t="str">
        <f>IFERROR(IF((F943-F942)&gt;1,(LARGE(F943:$F943,1)-LARGE(F$934:$F943,2))-1,""),"")</f>
        <v/>
      </c>
    </row>
    <row r="944" spans="1:7">
      <c r="B944">
        <v>365</v>
      </c>
      <c r="C944">
        <v>365</v>
      </c>
      <c r="D944">
        <v>2</v>
      </c>
      <c r="E944">
        <v>3600</v>
      </c>
      <c r="F944" s="80">
        <v>44543</v>
      </c>
      <c r="G944" t="str">
        <f>IFERROR(IF((F944-F943)&gt;1,(LARGE(F944:$F944,1)-LARGE(F$934:$F944,2))-1,""),"")</f>
        <v/>
      </c>
    </row>
    <row r="945" spans="1:7">
      <c r="B945">
        <v>365</v>
      </c>
      <c r="C945">
        <v>365</v>
      </c>
      <c r="D945">
        <v>1</v>
      </c>
      <c r="E945">
        <v>3400</v>
      </c>
      <c r="F945" s="80">
        <v>44544</v>
      </c>
      <c r="G945" t="str">
        <f>IFERROR(IF((F945-F944)&gt;1,(LARGE(F945:$F945,1)-LARGE(F$934:$F945,2))-1,""),"")</f>
        <v/>
      </c>
    </row>
    <row r="946" spans="1:7">
      <c r="B946">
        <v>365</v>
      </c>
      <c r="C946">
        <v>365</v>
      </c>
      <c r="D946">
        <v>3</v>
      </c>
      <c r="E946">
        <v>4300</v>
      </c>
      <c r="F946" s="80">
        <v>44545</v>
      </c>
      <c r="G946" t="str">
        <f>IFERROR(IF((F946-F945)&gt;1,(LARGE(F946:$F946,1)-LARGE(F$934:$F946,2))-1,""),"")</f>
        <v/>
      </c>
    </row>
    <row r="947" spans="1:7">
      <c r="B947">
        <v>365</v>
      </c>
      <c r="C947">
        <v>365</v>
      </c>
      <c r="D947">
        <v>1</v>
      </c>
      <c r="E947">
        <v>2000</v>
      </c>
      <c r="F947" s="80">
        <v>44547</v>
      </c>
      <c r="G947">
        <f>IFERROR(IF((F947-F946)&gt;1,(LARGE(F947:$F947,1)-LARGE(F$934:$F947,2))-1,""),"")</f>
        <v>1</v>
      </c>
    </row>
    <row r="948" spans="1:7">
      <c r="A948" s="75">
        <f>VLOOKUP(TradeSheet!A65,TypeIDs!B:C,2,FALSE)</f>
        <v>27405</v>
      </c>
      <c r="B948" t="s">
        <v>47021</v>
      </c>
      <c r="C948" t="s">
        <v>47022</v>
      </c>
      <c r="D948" t="s">
        <v>47023</v>
      </c>
      <c r="E948" t="s">
        <v>47024</v>
      </c>
      <c r="F948" t="s">
        <v>47035</v>
      </c>
      <c r="G948" t="s">
        <v>47034</v>
      </c>
    </row>
    <row r="949" spans="1:7">
      <c r="A949" s="75" t="str">
        <f>CONCATENATE(SwaggerURL,input064)</f>
        <v>https://esi.evetech.net/latest/markets/10000021/history/?datasource=tranquility&amp;type_id=27405</v>
      </c>
      <c r="B949">
        <v>1415</v>
      </c>
      <c r="C949">
        <v>1415</v>
      </c>
      <c r="D949">
        <v>1</v>
      </c>
      <c r="E949">
        <v>1000</v>
      </c>
      <c r="F949" s="80">
        <v>44508</v>
      </c>
      <c r="G949" t="str">
        <f>IFERROR(IF((F949-F948)&gt;1,(LARGE(F949:$F949,1)-LARGE(F$949:$F949,2))-1,""),"")</f>
        <v/>
      </c>
    </row>
    <row r="950" spans="1:7">
      <c r="A950" s="3" t="s">
        <v>47031</v>
      </c>
      <c r="B950">
        <v>1416</v>
      </c>
      <c r="C950">
        <v>1416</v>
      </c>
      <c r="D950">
        <v>4</v>
      </c>
      <c r="E950">
        <v>5830</v>
      </c>
      <c r="F950" s="80">
        <v>44510</v>
      </c>
      <c r="G950">
        <f>IFERROR(IF((F950-F949)&gt;1,(LARGE(F950:$F950,1)-LARGE(F$949:$F950,2))-1,""),"")</f>
        <v>1</v>
      </c>
    </row>
    <row r="951" spans="1:7">
      <c r="A951" s="3" t="e">
        <f>AVERAGE(H949:H962)</f>
        <v>#DIV/0!</v>
      </c>
      <c r="B951">
        <v>1416</v>
      </c>
      <c r="C951">
        <v>1416</v>
      </c>
      <c r="D951">
        <v>1</v>
      </c>
      <c r="E951">
        <v>600</v>
      </c>
      <c r="F951" s="80">
        <v>44511</v>
      </c>
      <c r="G951" t="str">
        <f>IFERROR(IF((F951-F950)&gt;1,(LARGE(F951:$F951,1)-LARGE(F$949:$F951,2))-1,""),"")</f>
        <v/>
      </c>
    </row>
    <row r="952" spans="1:7">
      <c r="A952" s="3">
        <f>AVERAGE(E949:E962)</f>
        <v>3348.8571428571427</v>
      </c>
      <c r="B952">
        <v>1416</v>
      </c>
      <c r="C952">
        <v>1416</v>
      </c>
      <c r="D952">
        <v>3</v>
      </c>
      <c r="E952">
        <v>5808</v>
      </c>
      <c r="F952" s="80">
        <v>44512</v>
      </c>
      <c r="G952" t="str">
        <f>IFERROR(IF((F952-F951)&gt;1,(LARGE(F952:$F952,1)-LARGE(F$949:$F952,2))-1,""),"")</f>
        <v/>
      </c>
    </row>
    <row r="953" spans="1:7">
      <c r="A953" s="14" t="s">
        <v>47032</v>
      </c>
      <c r="B953">
        <v>1416</v>
      </c>
      <c r="C953">
        <v>1416</v>
      </c>
      <c r="D953">
        <v>3</v>
      </c>
      <c r="E953">
        <v>5246</v>
      </c>
      <c r="F953" s="80">
        <v>44513</v>
      </c>
      <c r="G953" t="str">
        <f>IFERROR(IF((F953-F952)&gt;1,(LARGE(F953:$F953,1)-LARGE(F$949:$F953,2))-1,""),"")</f>
        <v/>
      </c>
    </row>
    <row r="954" spans="1:7">
      <c r="A954" s="14">
        <f>E962</f>
        <v>3600</v>
      </c>
      <c r="B954">
        <v>1413</v>
      </c>
      <c r="C954">
        <v>1413</v>
      </c>
      <c r="D954">
        <v>1</v>
      </c>
      <c r="E954">
        <v>2000</v>
      </c>
      <c r="F954" s="80">
        <v>44520</v>
      </c>
      <c r="G954">
        <f>IFERROR(IF((F954-F953)&gt;1,(LARGE(F954:$F954,1)-LARGE(F$949:$F954,2))-1,""),"")</f>
        <v>6</v>
      </c>
    </row>
    <row r="955" spans="1:7">
      <c r="B955">
        <v>1413.5</v>
      </c>
      <c r="C955">
        <v>1413</v>
      </c>
      <c r="D955">
        <v>3</v>
      </c>
      <c r="E955">
        <v>5000</v>
      </c>
      <c r="F955" s="80">
        <v>44521</v>
      </c>
      <c r="G955" t="str">
        <f>IFERROR(IF((F955-F954)&gt;1,(LARGE(F955:$F955,1)-LARGE(F$949:$F955,2))-1,""),"")</f>
        <v/>
      </c>
    </row>
    <row r="956" spans="1:7">
      <c r="B956">
        <v>1414</v>
      </c>
      <c r="C956">
        <v>1414</v>
      </c>
      <c r="D956">
        <v>1</v>
      </c>
      <c r="E956">
        <v>1500</v>
      </c>
      <c r="F956" s="80">
        <v>44522</v>
      </c>
      <c r="G956" t="str">
        <f>IFERROR(IF((F956-F955)&gt;1,(LARGE(F956:$F956,1)-LARGE(F$949:$F956,2))-1,""),"")</f>
        <v/>
      </c>
    </row>
    <row r="957" spans="1:7">
      <c r="B957">
        <v>1414</v>
      </c>
      <c r="C957">
        <v>1414</v>
      </c>
      <c r="D957">
        <v>3</v>
      </c>
      <c r="E957">
        <v>6000</v>
      </c>
      <c r="F957" s="80">
        <v>44529</v>
      </c>
      <c r="G957">
        <f>IFERROR(IF((F957-F956)&gt;1,(LARGE(F957:$F957,1)-LARGE(F$949:$F957,2))-1,""),"")</f>
        <v>6</v>
      </c>
    </row>
    <row r="958" spans="1:7">
      <c r="B958">
        <v>1413</v>
      </c>
      <c r="C958">
        <v>1413</v>
      </c>
      <c r="D958">
        <v>1</v>
      </c>
      <c r="E958">
        <v>300</v>
      </c>
      <c r="F958" s="80">
        <v>44533</v>
      </c>
      <c r="G958">
        <f>IFERROR(IF((F958-F957)&gt;1,(LARGE(F958:$F958,1)-LARGE(F$949:$F958,2))-1,""),"")</f>
        <v>3</v>
      </c>
    </row>
    <row r="959" spans="1:7">
      <c r="B959">
        <v>1412</v>
      </c>
      <c r="C959">
        <v>1412</v>
      </c>
      <c r="D959">
        <v>2</v>
      </c>
      <c r="E959">
        <v>1500</v>
      </c>
      <c r="F959" s="80">
        <v>44537</v>
      </c>
      <c r="G959">
        <f>IFERROR(IF((F959-F958)&gt;1,(LARGE(F959:$F959,1)-LARGE(F$949:$F959,2))-1,""),"")</f>
        <v>3</v>
      </c>
    </row>
    <row r="960" spans="1:7">
      <c r="B960">
        <v>1415</v>
      </c>
      <c r="C960">
        <v>1415</v>
      </c>
      <c r="D960">
        <v>2</v>
      </c>
      <c r="E960">
        <v>8000</v>
      </c>
      <c r="F960" s="80">
        <v>44543</v>
      </c>
      <c r="G960">
        <f>IFERROR(IF((F960-F959)&gt;1,(LARGE(F960:$F960,1)-LARGE(F$949:$F960,2))-1,""),"")</f>
        <v>5</v>
      </c>
    </row>
    <row r="961" spans="1:7">
      <c r="B961">
        <v>1415</v>
      </c>
      <c r="C961">
        <v>1415</v>
      </c>
      <c r="D961">
        <v>1</v>
      </c>
      <c r="E961">
        <v>500</v>
      </c>
      <c r="F961" s="80">
        <v>44545</v>
      </c>
      <c r="G961">
        <f>IFERROR(IF((F961-F960)&gt;1,(LARGE(F961:$F961,1)-LARGE(F$949:$F961,2))-1,""),"")</f>
        <v>1</v>
      </c>
    </row>
    <row r="962" spans="1:7">
      <c r="B962">
        <v>1415</v>
      </c>
      <c r="C962">
        <v>1415</v>
      </c>
      <c r="D962">
        <v>3</v>
      </c>
      <c r="E962">
        <v>3600</v>
      </c>
      <c r="F962" s="80">
        <v>44547</v>
      </c>
      <c r="G962">
        <f>IFERROR(IF((F962-F961)&gt;1,(LARGE(F962:$F962,1)-LARGE(F$949:$F962,2))-1,""),"")</f>
        <v>1</v>
      </c>
    </row>
    <row r="963" spans="1:7">
      <c r="A963" s="75">
        <f>VLOOKUP(TradeSheet!A66,TypeIDs!B:C,2,FALSE)</f>
        <v>27419</v>
      </c>
      <c r="B963" t="s">
        <v>47021</v>
      </c>
      <c r="C963" t="s">
        <v>47022</v>
      </c>
      <c r="D963" t="s">
        <v>47023</v>
      </c>
      <c r="E963" t="s">
        <v>47024</v>
      </c>
      <c r="F963" t="s">
        <v>47035</v>
      </c>
      <c r="G963" t="s">
        <v>47034</v>
      </c>
    </row>
    <row r="964" spans="1:7">
      <c r="A964" s="75" t="str">
        <f>CONCATENATE(SwaggerURL,input065)</f>
        <v>https://esi.evetech.net/latest/markets/10000021/history/?datasource=tranquility&amp;type_id=27419</v>
      </c>
      <c r="B964">
        <v>1800</v>
      </c>
      <c r="C964">
        <v>1800</v>
      </c>
      <c r="D964">
        <v>1</v>
      </c>
      <c r="E964">
        <v>1000</v>
      </c>
      <c r="F964" s="80">
        <v>44514</v>
      </c>
      <c r="G964" t="str">
        <f>IFERROR(IF((F964-F963)&gt;1,(LARGE(F964:$F964,1)-LARGE(F$964:$F964,2))-1,""),"")</f>
        <v/>
      </c>
    </row>
    <row r="965" spans="1:7">
      <c r="A965" s="3" t="s">
        <v>47031</v>
      </c>
      <c r="B965">
        <v>1799</v>
      </c>
      <c r="C965">
        <v>1799</v>
      </c>
      <c r="D965">
        <v>6</v>
      </c>
      <c r="E965">
        <v>11292</v>
      </c>
      <c r="F965" s="80">
        <v>44521</v>
      </c>
      <c r="G965">
        <f>IFERROR(IF((F965-F964)&gt;1,(LARGE(F965:$F965,1)-LARGE(F$964:$F965,2))-1,""),"")</f>
        <v>6</v>
      </c>
    </row>
    <row r="966" spans="1:7">
      <c r="A966" s="3" t="e">
        <f>AVERAGE(H964:H977)</f>
        <v>#DIV/0!</v>
      </c>
      <c r="B966">
        <v>1799</v>
      </c>
      <c r="C966">
        <v>1799</v>
      </c>
      <c r="D966">
        <v>1</v>
      </c>
      <c r="E966">
        <v>1500</v>
      </c>
      <c r="F966" s="80">
        <v>44522</v>
      </c>
      <c r="G966" t="str">
        <f>IFERROR(IF((F966-F965)&gt;1,(LARGE(F966:$F966,1)-LARGE(F$964:$F966,2))-1,""),"")</f>
        <v/>
      </c>
    </row>
    <row r="967" spans="1:7">
      <c r="A967" s="3">
        <f>AVERAGE(E964:E977)</f>
        <v>29567.785714285714</v>
      </c>
      <c r="B967">
        <v>1800</v>
      </c>
      <c r="C967">
        <v>1800</v>
      </c>
      <c r="D967">
        <v>1</v>
      </c>
      <c r="E967">
        <v>1330</v>
      </c>
      <c r="F967" s="80">
        <v>44525</v>
      </c>
      <c r="G967">
        <f>IFERROR(IF((F967-F966)&gt;1,(LARGE(F967:$F967,1)-LARGE(F$964:$F967,2))-1,""),"")</f>
        <v>2</v>
      </c>
    </row>
    <row r="968" spans="1:7">
      <c r="A968" s="14" t="s">
        <v>47032</v>
      </c>
      <c r="B968">
        <v>1799</v>
      </c>
      <c r="C968">
        <v>1799</v>
      </c>
      <c r="D968">
        <v>5</v>
      </c>
      <c r="E968">
        <v>10000</v>
      </c>
      <c r="F968" s="80">
        <v>44529</v>
      </c>
      <c r="G968">
        <f>IFERROR(IF((F968-F967)&gt;1,(LARGE(F968:$F968,1)-LARGE(F$964:$F968,2))-1,""),"")</f>
        <v>3</v>
      </c>
    </row>
    <row r="969" spans="1:7">
      <c r="A969" s="14">
        <f>E977</f>
        <v>184000</v>
      </c>
      <c r="B969">
        <v>1799</v>
      </c>
      <c r="C969">
        <v>1799</v>
      </c>
      <c r="D969">
        <v>1</v>
      </c>
      <c r="E969">
        <v>5000</v>
      </c>
      <c r="F969" s="80">
        <v>44531</v>
      </c>
      <c r="G969">
        <f>IFERROR(IF((F969-F968)&gt;1,(LARGE(F969:$F969,1)-LARGE(F$964:$F969,2))-1,""),"")</f>
        <v>1</v>
      </c>
    </row>
    <row r="970" spans="1:7">
      <c r="B970">
        <v>1736</v>
      </c>
      <c r="C970">
        <v>1736</v>
      </c>
      <c r="D970">
        <v>2</v>
      </c>
      <c r="E970">
        <v>1500</v>
      </c>
      <c r="F970" s="80">
        <v>44537</v>
      </c>
      <c r="G970">
        <f>IFERROR(IF((F970-F969)&gt;1,(LARGE(F970:$F970,1)-LARGE(F$964:$F970,2))-1,""),"")</f>
        <v>5</v>
      </c>
    </row>
    <row r="971" spans="1:7">
      <c r="B971">
        <v>1736</v>
      </c>
      <c r="C971">
        <v>1736</v>
      </c>
      <c r="D971">
        <v>1</v>
      </c>
      <c r="E971">
        <v>1000</v>
      </c>
      <c r="F971" s="80">
        <v>44539</v>
      </c>
      <c r="G971">
        <f>IFERROR(IF((F971-F970)&gt;1,(LARGE(F971:$F971,1)-LARGE(F$964:$F971,2))-1,""),"")</f>
        <v>1</v>
      </c>
    </row>
    <row r="972" spans="1:7">
      <c r="B972">
        <v>1750</v>
      </c>
      <c r="C972">
        <v>1750</v>
      </c>
      <c r="D972">
        <v>6</v>
      </c>
      <c r="E972">
        <v>31339</v>
      </c>
      <c r="F972" s="80">
        <v>44540</v>
      </c>
      <c r="G972" t="str">
        <f>IFERROR(IF((F972-F971)&gt;1,(LARGE(F972:$F972,1)-LARGE(F$964:$F972,2))-1,""),"")</f>
        <v/>
      </c>
    </row>
    <row r="973" spans="1:7">
      <c r="B973">
        <v>1744</v>
      </c>
      <c r="C973">
        <v>1744</v>
      </c>
      <c r="D973">
        <v>4</v>
      </c>
      <c r="E973">
        <v>37500</v>
      </c>
      <c r="F973" s="80">
        <v>44541</v>
      </c>
      <c r="G973" t="str">
        <f>IFERROR(IF((F973-F972)&gt;1,(LARGE(F973:$F973,1)-LARGE(F$964:$F973,2))-1,""),"")</f>
        <v/>
      </c>
    </row>
    <row r="974" spans="1:7">
      <c r="B974">
        <v>1750</v>
      </c>
      <c r="C974">
        <v>1750</v>
      </c>
      <c r="D974">
        <v>7</v>
      </c>
      <c r="E974">
        <v>82708</v>
      </c>
      <c r="F974" s="80">
        <v>44542</v>
      </c>
      <c r="G974" t="str">
        <f>IFERROR(IF((F974-F973)&gt;1,(LARGE(F974:$F974,1)-LARGE(F$964:$F974,2))-1,""),"")</f>
        <v/>
      </c>
    </row>
    <row r="975" spans="1:7">
      <c r="B975">
        <v>1750</v>
      </c>
      <c r="C975">
        <v>1750</v>
      </c>
      <c r="D975">
        <v>3</v>
      </c>
      <c r="E975">
        <v>40000</v>
      </c>
      <c r="F975" s="80">
        <v>44543</v>
      </c>
      <c r="G975" t="str">
        <f>IFERROR(IF((F975-F974)&gt;1,(LARGE(F975:$F975,1)-LARGE(F$964:$F975,2))-1,""),"")</f>
        <v/>
      </c>
    </row>
    <row r="976" spans="1:7">
      <c r="B976">
        <v>1750</v>
      </c>
      <c r="C976">
        <v>1750</v>
      </c>
      <c r="D976">
        <v>1</v>
      </c>
      <c r="E976">
        <v>5780</v>
      </c>
      <c r="F976" s="80">
        <v>44544</v>
      </c>
      <c r="G976" t="str">
        <f>IFERROR(IF((F976-F975)&gt;1,(LARGE(F976:$F976,1)-LARGE(F$964:$F976,2))-1,""),"")</f>
        <v/>
      </c>
    </row>
    <row r="977" spans="1:7">
      <c r="B977">
        <v>1800</v>
      </c>
      <c r="C977">
        <v>1800</v>
      </c>
      <c r="D977">
        <v>7</v>
      </c>
      <c r="E977">
        <v>184000</v>
      </c>
      <c r="F977" s="80">
        <v>44545</v>
      </c>
      <c r="G977" t="str">
        <f>IFERROR(IF((F977-F976)&gt;1,(LARGE(F977:$F977,1)-LARGE(F$964:$F977,2))-1,""),"")</f>
        <v/>
      </c>
    </row>
    <row r="978" spans="1:7">
      <c r="A978" s="75">
        <f>VLOOKUP(TradeSheet!A67,TypeIDs!B:C,2,FALSE)</f>
        <v>27401</v>
      </c>
      <c r="B978" t="s">
        <v>47021</v>
      </c>
      <c r="C978" t="s">
        <v>47022</v>
      </c>
      <c r="D978" t="s">
        <v>47023</v>
      </c>
      <c r="E978" t="s">
        <v>47024</v>
      </c>
      <c r="F978" t="s">
        <v>47035</v>
      </c>
      <c r="G978" t="s">
        <v>47034</v>
      </c>
    </row>
    <row r="979" spans="1:7">
      <c r="A979" s="75" t="str">
        <f>CONCATENATE(SwaggerURL,input066)</f>
        <v>https://esi.evetech.net/latest/markets/10000021/history/?datasource=tranquility&amp;type_id=27401</v>
      </c>
      <c r="B979">
        <v>1400</v>
      </c>
      <c r="C979">
        <v>1400</v>
      </c>
      <c r="D979">
        <v>2</v>
      </c>
      <c r="E979">
        <v>1990</v>
      </c>
      <c r="F979" s="80">
        <v>44497</v>
      </c>
      <c r="G979" t="str">
        <f>IFERROR(IF((F979-F978)&gt;1,(LARGE(F979:$F979,1)-LARGE(F$979:$F979,2))-1,""),"")</f>
        <v/>
      </c>
    </row>
    <row r="980" spans="1:7">
      <c r="A980" s="3" t="s">
        <v>47031</v>
      </c>
      <c r="B980">
        <v>1400</v>
      </c>
      <c r="C980">
        <v>1400</v>
      </c>
      <c r="D980">
        <v>2</v>
      </c>
      <c r="E980">
        <v>1980</v>
      </c>
      <c r="F980" s="80">
        <v>44499</v>
      </c>
      <c r="G980">
        <f>IFERROR(IF((F980-F979)&gt;1,(LARGE(F980:$F980,1)-LARGE(F$979:$F980,2))-1,""),"")</f>
        <v>1</v>
      </c>
    </row>
    <row r="981" spans="1:7">
      <c r="A981" s="3" t="e">
        <f>AVERAGE(H979:H992)</f>
        <v>#DIV/0!</v>
      </c>
      <c r="B981">
        <v>1400</v>
      </c>
      <c r="C981">
        <v>1400</v>
      </c>
      <c r="D981">
        <v>1</v>
      </c>
      <c r="E981">
        <v>1500</v>
      </c>
      <c r="F981" s="80">
        <v>44503</v>
      </c>
      <c r="G981">
        <f>IFERROR(IF((F981-F980)&gt;1,(LARGE(F981:$F981,1)-LARGE(F$979:$F981,2))-1,""),"")</f>
        <v>3</v>
      </c>
    </row>
    <row r="982" spans="1:7">
      <c r="A982" s="3">
        <f>AVERAGE(E979:E992)</f>
        <v>4708.4285714285716</v>
      </c>
      <c r="B982">
        <v>1447</v>
      </c>
      <c r="C982">
        <v>1447</v>
      </c>
      <c r="D982">
        <v>2</v>
      </c>
      <c r="E982">
        <v>1972</v>
      </c>
      <c r="F982" s="80">
        <v>44504</v>
      </c>
      <c r="G982" t="str">
        <f>IFERROR(IF((F982-F981)&gt;1,(LARGE(F982:$F982,1)-LARGE(F$979:$F982,2))-1,""),"")</f>
        <v/>
      </c>
    </row>
    <row r="983" spans="1:7">
      <c r="A983" s="14" t="s">
        <v>47032</v>
      </c>
      <c r="B983">
        <v>1447</v>
      </c>
      <c r="C983">
        <v>1447</v>
      </c>
      <c r="D983">
        <v>1</v>
      </c>
      <c r="E983">
        <v>600</v>
      </c>
      <c r="F983" s="80">
        <v>44506</v>
      </c>
      <c r="G983">
        <f>IFERROR(IF((F983-F982)&gt;1,(LARGE(F983:$F983,1)-LARGE(F$979:$F983,2))-1,""),"")</f>
        <v>1</v>
      </c>
    </row>
    <row r="984" spans="1:7">
      <c r="A984" s="14">
        <f>E992</f>
        <v>1500</v>
      </c>
      <c r="B984">
        <v>1447</v>
      </c>
      <c r="C984">
        <v>1447</v>
      </c>
      <c r="D984">
        <v>1</v>
      </c>
      <c r="E984">
        <v>2000</v>
      </c>
      <c r="F984" s="80">
        <v>44507</v>
      </c>
      <c r="G984" t="str">
        <f>IFERROR(IF((F984-F983)&gt;1,(LARGE(F984:$F984,1)-LARGE(F$979:$F984,2))-1,""),"")</f>
        <v/>
      </c>
    </row>
    <row r="985" spans="1:7">
      <c r="B985">
        <v>1447</v>
      </c>
      <c r="C985">
        <v>1447</v>
      </c>
      <c r="D985">
        <v>2</v>
      </c>
      <c r="E985">
        <v>30276</v>
      </c>
      <c r="F985" s="80">
        <v>44509</v>
      </c>
      <c r="G985">
        <f>IFERROR(IF((F985-F984)&gt;1,(LARGE(F985:$F985,1)-LARGE(F$979:$F985,2))-1,""),"")</f>
        <v>1</v>
      </c>
    </row>
    <row r="986" spans="1:7">
      <c r="B986">
        <v>1447</v>
      </c>
      <c r="C986">
        <v>1447</v>
      </c>
      <c r="D986">
        <v>1</v>
      </c>
      <c r="E986">
        <v>600</v>
      </c>
      <c r="F986" s="80">
        <v>44511</v>
      </c>
      <c r="G986">
        <f>IFERROR(IF((F986-F985)&gt;1,(LARGE(F986:$F986,1)-LARGE(F$979:$F986,2))-1,""),"")</f>
        <v>1</v>
      </c>
    </row>
    <row r="987" spans="1:7">
      <c r="B987">
        <v>1447</v>
      </c>
      <c r="C987">
        <v>1447</v>
      </c>
      <c r="D987">
        <v>1</v>
      </c>
      <c r="E987">
        <v>2000</v>
      </c>
      <c r="F987" s="80">
        <v>44514</v>
      </c>
      <c r="G987">
        <f>IFERROR(IF((F987-F986)&gt;1,(LARGE(F987:$F987,1)-LARGE(F$979:$F987,2))-1,""),"")</f>
        <v>2</v>
      </c>
    </row>
    <row r="988" spans="1:7">
      <c r="B988">
        <v>1446</v>
      </c>
      <c r="C988">
        <v>1446</v>
      </c>
      <c r="D988">
        <v>3</v>
      </c>
      <c r="E988">
        <v>7000</v>
      </c>
      <c r="F988" s="80">
        <v>44521</v>
      </c>
      <c r="G988">
        <f>IFERROR(IF((F988-F987)&gt;1,(LARGE(F988:$F988,1)-LARGE(F$979:$F988,2))-1,""),"")</f>
        <v>6</v>
      </c>
    </row>
    <row r="989" spans="1:7">
      <c r="B989">
        <v>1446</v>
      </c>
      <c r="C989">
        <v>1446</v>
      </c>
      <c r="D989">
        <v>1</v>
      </c>
      <c r="E989">
        <v>1500</v>
      </c>
      <c r="F989" s="80">
        <v>44522</v>
      </c>
      <c r="G989" t="str">
        <f>IFERROR(IF((F989-F988)&gt;1,(LARGE(F989:$F989,1)-LARGE(F$979:$F989,2))-1,""),"")</f>
        <v/>
      </c>
    </row>
    <row r="990" spans="1:7">
      <c r="B990">
        <v>1446</v>
      </c>
      <c r="C990">
        <v>1446</v>
      </c>
      <c r="D990">
        <v>2</v>
      </c>
      <c r="E990">
        <v>9000</v>
      </c>
      <c r="F990" s="80">
        <v>44527</v>
      </c>
      <c r="G990">
        <f>IFERROR(IF((F990-F989)&gt;1,(LARGE(F990:$F990,1)-LARGE(F$979:$F990,2))-1,""),"")</f>
        <v>4</v>
      </c>
    </row>
    <row r="991" spans="1:7">
      <c r="B991">
        <v>1400</v>
      </c>
      <c r="C991">
        <v>1400</v>
      </c>
      <c r="D991">
        <v>2</v>
      </c>
      <c r="E991">
        <v>4000</v>
      </c>
      <c r="F991" s="80">
        <v>44534</v>
      </c>
      <c r="G991">
        <f>IFERROR(IF((F991-F990)&gt;1,(LARGE(F991:$F991,1)-LARGE(F$979:$F991,2))-1,""),"")</f>
        <v>6</v>
      </c>
    </row>
    <row r="992" spans="1:7">
      <c r="B992">
        <v>1399</v>
      </c>
      <c r="C992">
        <v>1399</v>
      </c>
      <c r="D992">
        <v>1</v>
      </c>
      <c r="E992">
        <v>1500</v>
      </c>
      <c r="F992" s="80">
        <v>44537</v>
      </c>
      <c r="G992">
        <f>IFERROR(IF((F992-F991)&gt;1,(LARGE(F992:$F992,1)-LARGE(F$979:$F992,2))-1,""),"")</f>
        <v>2</v>
      </c>
    </row>
    <row r="993" spans="1:7">
      <c r="A993" s="75">
        <f>VLOOKUP(TradeSheet!A68,TypeIDs!B:C,2,FALSE)</f>
        <v>27413</v>
      </c>
      <c r="B993" t="s">
        <v>47021</v>
      </c>
      <c r="C993" t="s">
        <v>47022</v>
      </c>
      <c r="D993" t="s">
        <v>47023</v>
      </c>
      <c r="E993" t="s">
        <v>47024</v>
      </c>
      <c r="F993" t="s">
        <v>47035</v>
      </c>
      <c r="G993" t="s">
        <v>47034</v>
      </c>
    </row>
    <row r="994" spans="1:7">
      <c r="A994" s="75" t="str">
        <f>CONCATENATE(SwaggerURL,input067)</f>
        <v>https://esi.evetech.net/latest/markets/10000021/history/?datasource=tranquility&amp;type_id=27413</v>
      </c>
      <c r="B994">
        <v>1393</v>
      </c>
      <c r="C994">
        <v>1393</v>
      </c>
      <c r="D994">
        <v>7</v>
      </c>
      <c r="E994">
        <v>10264</v>
      </c>
      <c r="F994" s="80">
        <v>44521</v>
      </c>
      <c r="G994" t="str">
        <f>IFERROR(IF((F994-F993)&gt;1,(LARGE(F994:$F994,1)-LARGE(F$994:$F994,2))-1,""),"")</f>
        <v/>
      </c>
    </row>
    <row r="995" spans="1:7">
      <c r="A995" s="3" t="s">
        <v>47031</v>
      </c>
      <c r="B995">
        <v>1394</v>
      </c>
      <c r="C995">
        <v>1394</v>
      </c>
      <c r="D995">
        <v>2</v>
      </c>
      <c r="E995">
        <v>4500</v>
      </c>
      <c r="F995" s="80">
        <v>44522</v>
      </c>
      <c r="G995" t="str">
        <f>IFERROR(IF((F995-F994)&gt;1,(LARGE(F995:$F995,1)-LARGE(F$994:$F995,2))-1,""),"")</f>
        <v/>
      </c>
    </row>
    <row r="996" spans="1:7">
      <c r="A996" s="3" t="e">
        <f>AVERAGE(H994:H1007)</f>
        <v>#DIV/0!</v>
      </c>
      <c r="B996">
        <v>1175</v>
      </c>
      <c r="C996">
        <v>1175</v>
      </c>
      <c r="D996">
        <v>2</v>
      </c>
      <c r="E996">
        <v>1330</v>
      </c>
      <c r="F996" s="80">
        <v>44525</v>
      </c>
      <c r="G996">
        <f>IFERROR(IF((F996-F995)&gt;1,(LARGE(F996:$F996,1)-LARGE(F$994:$F996,2))-1,""),"")</f>
        <v>2</v>
      </c>
    </row>
    <row r="997" spans="1:7">
      <c r="A997" s="3">
        <f>AVERAGE(E994:E1007)</f>
        <v>5372.2142857142853</v>
      </c>
      <c r="B997">
        <v>1174</v>
      </c>
      <c r="C997">
        <v>1174</v>
      </c>
      <c r="D997">
        <v>1</v>
      </c>
      <c r="E997">
        <v>1000</v>
      </c>
      <c r="F997" s="80">
        <v>44528</v>
      </c>
      <c r="G997">
        <f>IFERROR(IF((F997-F996)&gt;1,(LARGE(F997:$F997,1)-LARGE(F$994:$F997,2))-1,""),"")</f>
        <v>2</v>
      </c>
    </row>
    <row r="998" spans="1:7">
      <c r="A998" s="14" t="s">
        <v>47032</v>
      </c>
      <c r="B998">
        <v>1174</v>
      </c>
      <c r="C998">
        <v>1174</v>
      </c>
      <c r="D998">
        <v>5</v>
      </c>
      <c r="E998">
        <v>10000</v>
      </c>
      <c r="F998" s="80">
        <v>44529</v>
      </c>
      <c r="G998" t="str">
        <f>IFERROR(IF((F998-F997)&gt;1,(LARGE(F998:$F998,1)-LARGE(F$994:$F998,2))-1,""),"")</f>
        <v/>
      </c>
    </row>
    <row r="999" spans="1:7">
      <c r="A999" s="14">
        <f>E1007</f>
        <v>1000</v>
      </c>
      <c r="B999">
        <v>1172</v>
      </c>
      <c r="C999">
        <v>1172</v>
      </c>
      <c r="D999">
        <v>3</v>
      </c>
      <c r="E999">
        <v>6500</v>
      </c>
      <c r="F999" s="80">
        <v>44537</v>
      </c>
      <c r="G999">
        <f>IFERROR(IF((F999-F998)&gt;1,(LARGE(F999:$F999,1)-LARGE(F$994:$F999,2))-1,""),"")</f>
        <v>7</v>
      </c>
    </row>
    <row r="1000" spans="1:7">
      <c r="B1000">
        <v>1172</v>
      </c>
      <c r="C1000">
        <v>1172</v>
      </c>
      <c r="D1000">
        <v>3</v>
      </c>
      <c r="E1000">
        <v>12000</v>
      </c>
      <c r="F1000" s="80">
        <v>44539</v>
      </c>
      <c r="G1000">
        <f>IFERROR(IF((F1000-F999)&gt;1,(LARGE(F1000:$F1000,1)-LARGE(F$994:$F1000,2))-1,""),"")</f>
        <v>1</v>
      </c>
    </row>
    <row r="1001" spans="1:7">
      <c r="B1001">
        <v>1172</v>
      </c>
      <c r="C1001">
        <v>1172</v>
      </c>
      <c r="D1001">
        <v>2</v>
      </c>
      <c r="E1001">
        <v>15000</v>
      </c>
      <c r="F1001" s="80">
        <v>44540</v>
      </c>
      <c r="G1001" t="str">
        <f>IFERROR(IF((F1001-F1000)&gt;1,(LARGE(F1001:$F1001,1)-LARGE(F$994:$F1001,2))-1,""),"")</f>
        <v/>
      </c>
    </row>
    <row r="1002" spans="1:7">
      <c r="B1002">
        <v>1172</v>
      </c>
      <c r="C1002">
        <v>1172</v>
      </c>
      <c r="D1002">
        <v>2</v>
      </c>
      <c r="E1002">
        <v>2500</v>
      </c>
      <c r="F1002" s="80">
        <v>44541</v>
      </c>
      <c r="G1002" t="str">
        <f>IFERROR(IF((F1002-F1001)&gt;1,(LARGE(F1002:$F1002,1)-LARGE(F$994:$F1002,2))-1,""),"")</f>
        <v/>
      </c>
    </row>
    <row r="1003" spans="1:7">
      <c r="B1003">
        <v>1175</v>
      </c>
      <c r="C1003">
        <v>1175</v>
      </c>
      <c r="D1003">
        <v>1</v>
      </c>
      <c r="E1003">
        <v>17</v>
      </c>
      <c r="F1003" s="80">
        <v>44542</v>
      </c>
      <c r="G1003" t="str">
        <f>IFERROR(IF((F1003-F1002)&gt;1,(LARGE(F1003:$F1003,1)-LARGE(F$994:$F1003,2))-1,""),"")</f>
        <v/>
      </c>
    </row>
    <row r="1004" spans="1:7">
      <c r="B1004">
        <v>1394</v>
      </c>
      <c r="C1004">
        <v>1394</v>
      </c>
      <c r="D1004">
        <v>3</v>
      </c>
      <c r="E1004">
        <v>9000</v>
      </c>
      <c r="F1004" s="80">
        <v>44543</v>
      </c>
      <c r="G1004" t="str">
        <f>IFERROR(IF((F1004-F1003)&gt;1,(LARGE(F1004:$F1004,1)-LARGE(F$994:$F1004,2))-1,""),"")</f>
        <v/>
      </c>
    </row>
    <row r="1005" spans="1:7">
      <c r="B1005">
        <v>1394</v>
      </c>
      <c r="C1005">
        <v>1394</v>
      </c>
      <c r="D1005">
        <v>1</v>
      </c>
      <c r="E1005">
        <v>1500</v>
      </c>
      <c r="F1005" s="80">
        <v>44544</v>
      </c>
      <c r="G1005" t="str">
        <f>IFERROR(IF((F1005-F1004)&gt;1,(LARGE(F1005:$F1005,1)-LARGE(F$994:$F1005,2))-1,""),"")</f>
        <v/>
      </c>
    </row>
    <row r="1006" spans="1:7">
      <c r="B1006">
        <v>1394</v>
      </c>
      <c r="C1006">
        <v>1394</v>
      </c>
      <c r="D1006">
        <v>1</v>
      </c>
      <c r="E1006">
        <v>600</v>
      </c>
      <c r="F1006" s="80">
        <v>44545</v>
      </c>
      <c r="G1006" t="str">
        <f>IFERROR(IF((F1006-F1005)&gt;1,(LARGE(F1006:$F1006,1)-LARGE(F$994:$F1006,2))-1,""),"")</f>
        <v/>
      </c>
    </row>
    <row r="1007" spans="1:7">
      <c r="B1007">
        <v>1393</v>
      </c>
      <c r="C1007">
        <v>1393</v>
      </c>
      <c r="D1007">
        <v>1</v>
      </c>
      <c r="E1007">
        <v>1000</v>
      </c>
      <c r="F1007" s="80">
        <v>44547</v>
      </c>
      <c r="G1007">
        <f>IFERROR(IF((F1007-F1006)&gt;1,(LARGE(F1007:$F1007,1)-LARGE(F$994:$F1007,2))-1,""),"")</f>
        <v>1</v>
      </c>
    </row>
    <row r="1008" spans="1:7">
      <c r="A1008" s="75">
        <f>VLOOKUP(TradeSheet!A69,TypeIDs!B:C,2,FALSE)</f>
        <v>24511</v>
      </c>
      <c r="B1008" t="s">
        <v>47021</v>
      </c>
      <c r="C1008" t="s">
        <v>47022</v>
      </c>
      <c r="D1008" t="s">
        <v>47023</v>
      </c>
      <c r="E1008" t="s">
        <v>47024</v>
      </c>
      <c r="F1008" t="s">
        <v>47035</v>
      </c>
      <c r="G1008" t="s">
        <v>47034</v>
      </c>
    </row>
    <row r="1009" spans="1:7">
      <c r="A1009" s="75" t="str">
        <f>CONCATENATE(SwaggerURL,input068)</f>
        <v>https://esi.evetech.net/latest/markets/10000021/history/?datasource=tranquility&amp;type_id=24511</v>
      </c>
      <c r="B1009">
        <v>1599</v>
      </c>
      <c r="C1009">
        <v>1599</v>
      </c>
      <c r="D1009">
        <v>2</v>
      </c>
      <c r="E1009">
        <v>10000</v>
      </c>
      <c r="F1009" s="80">
        <v>44514</v>
      </c>
      <c r="G1009" t="str">
        <f>IFERROR(IF((F1009-F1008)&gt;1,(LARGE(F1009:$F1009,1)-LARGE(F$1009:$F1009,2))-1,""),"")</f>
        <v/>
      </c>
    </row>
    <row r="1010" spans="1:7">
      <c r="A1010" s="3" t="s">
        <v>47031</v>
      </c>
      <c r="B1010">
        <v>1778</v>
      </c>
      <c r="C1010">
        <v>1778</v>
      </c>
      <c r="D1010">
        <v>2</v>
      </c>
      <c r="E1010">
        <v>500</v>
      </c>
      <c r="F1010" s="80">
        <v>44515</v>
      </c>
      <c r="G1010" t="str">
        <f>IFERROR(IF((F1010-F1009)&gt;1,(LARGE(F1010:$F1010,1)-LARGE(F$1009:$F1010,2))-1,""),"")</f>
        <v/>
      </c>
    </row>
    <row r="1011" spans="1:7">
      <c r="A1011" s="3" t="e">
        <f>AVERAGE(H1009:H1022)</f>
        <v>#DIV/0!</v>
      </c>
      <c r="B1011">
        <v>1777</v>
      </c>
      <c r="C1011">
        <v>1777</v>
      </c>
      <c r="D1011">
        <v>2</v>
      </c>
      <c r="E1011">
        <v>11000</v>
      </c>
      <c r="F1011" s="80">
        <v>44516</v>
      </c>
      <c r="G1011" t="str">
        <f>IFERROR(IF((F1011-F1010)&gt;1,(LARGE(F1011:$F1011,1)-LARGE(F$1009:$F1011,2))-1,""),"")</f>
        <v/>
      </c>
    </row>
    <row r="1012" spans="1:7">
      <c r="A1012" s="3">
        <f>AVERAGE(E1009:E1022)</f>
        <v>7993.7142857142853</v>
      </c>
      <c r="B1012">
        <v>1777</v>
      </c>
      <c r="C1012">
        <v>1777</v>
      </c>
      <c r="D1012">
        <v>1</v>
      </c>
      <c r="E1012">
        <v>1000</v>
      </c>
      <c r="F1012" s="80">
        <v>44517</v>
      </c>
      <c r="G1012" t="str">
        <f>IFERROR(IF((F1012-F1011)&gt;1,(LARGE(F1012:$F1012,1)-LARGE(F$1009:$F1012,2))-1,""),"")</f>
        <v/>
      </c>
    </row>
    <row r="1013" spans="1:7">
      <c r="A1013" s="14" t="s">
        <v>47032</v>
      </c>
      <c r="B1013">
        <v>1777</v>
      </c>
      <c r="C1013">
        <v>1777</v>
      </c>
      <c r="D1013">
        <v>1</v>
      </c>
      <c r="E1013">
        <v>10000</v>
      </c>
      <c r="F1013" s="80">
        <v>44520</v>
      </c>
      <c r="G1013">
        <f>IFERROR(IF((F1013-F1012)&gt;1,(LARGE(F1013:$F1013,1)-LARGE(F$1009:$F1013,2))-1,""),"")</f>
        <v>2</v>
      </c>
    </row>
    <row r="1014" spans="1:7">
      <c r="A1014" s="14">
        <f>E1022</f>
        <v>300</v>
      </c>
      <c r="B1014">
        <v>797.9</v>
      </c>
      <c r="C1014">
        <v>797.9</v>
      </c>
      <c r="D1014">
        <v>1</v>
      </c>
      <c r="E1014">
        <v>2832</v>
      </c>
      <c r="F1014" s="80">
        <v>44534</v>
      </c>
      <c r="G1014">
        <f>IFERROR(IF((F1014-F1013)&gt;1,(LARGE(F1014:$F1014,1)-LARGE(F$1009:$F1014,2))-1,""),"")</f>
        <v>13</v>
      </c>
    </row>
    <row r="1015" spans="1:7">
      <c r="B1015">
        <v>797.4</v>
      </c>
      <c r="C1015">
        <v>797.4</v>
      </c>
      <c r="D1015">
        <v>1</v>
      </c>
      <c r="E1015">
        <v>1500</v>
      </c>
      <c r="F1015" s="80">
        <v>44537</v>
      </c>
      <c r="G1015">
        <f>IFERROR(IF((F1015-F1014)&gt;1,(LARGE(F1015:$F1015,1)-LARGE(F$1009:$F1015,2))-1,""),"")</f>
        <v>2</v>
      </c>
    </row>
    <row r="1016" spans="1:7">
      <c r="B1016">
        <v>795</v>
      </c>
      <c r="C1016">
        <v>795</v>
      </c>
      <c r="D1016">
        <v>1</v>
      </c>
      <c r="E1016">
        <v>2150</v>
      </c>
      <c r="F1016" s="80">
        <v>44538</v>
      </c>
      <c r="G1016" t="str">
        <f>IFERROR(IF((F1016-F1015)&gt;1,(LARGE(F1016:$F1016,1)-LARGE(F$1009:$F1016,2))-1,""),"")</f>
        <v/>
      </c>
    </row>
    <row r="1017" spans="1:7">
      <c r="B1017">
        <v>784.9</v>
      </c>
      <c r="C1017">
        <v>784.9</v>
      </c>
      <c r="D1017">
        <v>1</v>
      </c>
      <c r="E1017">
        <v>300</v>
      </c>
      <c r="F1017" s="80">
        <v>44541</v>
      </c>
      <c r="G1017">
        <f>IFERROR(IF((F1017-F1016)&gt;1,(LARGE(F1017:$F1017,1)-LARGE(F$1009:$F1017,2))-1,""),"")</f>
        <v>2</v>
      </c>
    </row>
    <row r="1018" spans="1:7">
      <c r="B1018">
        <v>898.1</v>
      </c>
      <c r="C1018">
        <v>898.1</v>
      </c>
      <c r="D1018">
        <v>3</v>
      </c>
      <c r="E1018">
        <v>31232</v>
      </c>
      <c r="F1018" s="80">
        <v>44542</v>
      </c>
      <c r="G1018" t="str">
        <f>IFERROR(IF((F1018-F1017)&gt;1,(LARGE(F1018:$F1018,1)-LARGE(F$1009:$F1018,2))-1,""),"")</f>
        <v/>
      </c>
    </row>
    <row r="1019" spans="1:7">
      <c r="B1019">
        <v>889.9</v>
      </c>
      <c r="C1019">
        <v>889.9</v>
      </c>
      <c r="D1019">
        <v>1</v>
      </c>
      <c r="E1019">
        <v>498</v>
      </c>
      <c r="F1019" s="80">
        <v>44543</v>
      </c>
      <c r="G1019" t="str">
        <f>IFERROR(IF((F1019-F1018)&gt;1,(LARGE(F1019:$F1019,1)-LARGE(F$1009:$F1019,2))-1,""),"")</f>
        <v/>
      </c>
    </row>
    <row r="1020" spans="1:7">
      <c r="B1020">
        <v>879.9</v>
      </c>
      <c r="C1020">
        <v>879.9</v>
      </c>
      <c r="D1020">
        <v>2</v>
      </c>
      <c r="E1020">
        <v>10600</v>
      </c>
      <c r="F1020" s="80">
        <v>44546</v>
      </c>
      <c r="G1020">
        <f>IFERROR(IF((F1020-F1019)&gt;1,(LARGE(F1020:$F1020,1)-LARGE(F$1009:$F1020,2))-1,""),"")</f>
        <v>2</v>
      </c>
    </row>
    <row r="1021" spans="1:7">
      <c r="B1021">
        <v>877.45</v>
      </c>
      <c r="C1021">
        <v>875</v>
      </c>
      <c r="D1021">
        <v>2</v>
      </c>
      <c r="E1021">
        <v>30000</v>
      </c>
      <c r="F1021" s="80">
        <v>44547</v>
      </c>
      <c r="G1021" t="str">
        <f>IFERROR(IF((F1021-F1020)&gt;1,(LARGE(F1021:$F1021,1)-LARGE(F$1009:$F1021,2))-1,""),"")</f>
        <v/>
      </c>
    </row>
    <row r="1022" spans="1:7">
      <c r="B1022">
        <v>874.9</v>
      </c>
      <c r="C1022">
        <v>874.9</v>
      </c>
      <c r="D1022">
        <v>1</v>
      </c>
      <c r="E1022">
        <v>300</v>
      </c>
      <c r="F1022" s="80">
        <v>44548</v>
      </c>
      <c r="G1022" t="str">
        <f>IFERROR(IF((F1022-F1021)&gt;1,(LARGE(F1022:$F1022,1)-LARGE(F$1009:$F1022,2))-1,""),"")</f>
        <v/>
      </c>
    </row>
    <row r="1023" spans="1:7">
      <c r="A1023" s="75">
        <f>VLOOKUP(TradeSheet!A70,TypeIDs!B:C,2,FALSE)</f>
        <v>24509</v>
      </c>
      <c r="B1023" t="s">
        <v>47021</v>
      </c>
      <c r="C1023" t="s">
        <v>47022</v>
      </c>
      <c r="D1023" t="s">
        <v>47023</v>
      </c>
      <c r="E1023" t="s">
        <v>47024</v>
      </c>
      <c r="F1023" t="s">
        <v>47035</v>
      </c>
      <c r="G1023" t="s">
        <v>47034</v>
      </c>
    </row>
    <row r="1024" spans="1:7">
      <c r="A1024" s="75" t="str">
        <f>CONCATENATE(SwaggerURL,input069)</f>
        <v>https://esi.evetech.net/latest/markets/10000021/history/?datasource=tranquility&amp;type_id=24509</v>
      </c>
      <c r="B1024">
        <v>1100</v>
      </c>
      <c r="C1024">
        <v>1100</v>
      </c>
      <c r="D1024">
        <v>1</v>
      </c>
      <c r="E1024">
        <v>6000</v>
      </c>
      <c r="F1024" s="80">
        <v>44533</v>
      </c>
      <c r="G1024" t="str">
        <f>IFERROR(IF((F1024-F1023)&gt;1,(LARGE(F1024:$F1024,1)-LARGE(F$1024:$F1024,2))-1,""),"")</f>
        <v/>
      </c>
    </row>
    <row r="1025" spans="1:7">
      <c r="A1025" s="3" t="s">
        <v>47031</v>
      </c>
      <c r="B1025">
        <v>999.7</v>
      </c>
      <c r="C1025">
        <v>999.7</v>
      </c>
      <c r="D1025">
        <v>3</v>
      </c>
      <c r="E1025">
        <v>36045</v>
      </c>
      <c r="F1025" s="80">
        <v>44534</v>
      </c>
      <c r="G1025" t="str">
        <f>IFERROR(IF((F1025-F1024)&gt;1,(LARGE(F1025:$F1025,1)-LARGE(F$1024:$F1025,2))-1,""),"")</f>
        <v/>
      </c>
    </row>
    <row r="1026" spans="1:7">
      <c r="A1026" s="3" t="e">
        <f>AVERAGE(H1024:H1037)</f>
        <v>#DIV/0!</v>
      </c>
      <c r="B1026">
        <v>937.6</v>
      </c>
      <c r="C1026">
        <v>935</v>
      </c>
      <c r="D1026">
        <v>3</v>
      </c>
      <c r="E1026">
        <v>23000</v>
      </c>
      <c r="F1026" s="80">
        <v>44537</v>
      </c>
      <c r="G1026">
        <f>IFERROR(IF((F1026-F1025)&gt;1,(LARGE(F1026:$F1026,1)-LARGE(F$1024:$F1026,2))-1,""),"")</f>
        <v>2</v>
      </c>
    </row>
    <row r="1027" spans="1:7">
      <c r="A1027" s="3">
        <f>AVERAGE(E1024:E1037)</f>
        <v>30433.214285714286</v>
      </c>
      <c r="B1027">
        <v>929.9</v>
      </c>
      <c r="C1027">
        <v>929.9</v>
      </c>
      <c r="D1027">
        <v>9</v>
      </c>
      <c r="E1027">
        <v>8700</v>
      </c>
      <c r="F1027" s="80">
        <v>44538</v>
      </c>
      <c r="G1027" t="str">
        <f>IFERROR(IF((F1027-F1026)&gt;1,(LARGE(F1027:$F1027,1)-LARGE(F$1024:$F1027,2))-1,""),"")</f>
        <v/>
      </c>
    </row>
    <row r="1028" spans="1:7">
      <c r="A1028" s="14" t="s">
        <v>47032</v>
      </c>
      <c r="B1028">
        <v>924.9</v>
      </c>
      <c r="C1028">
        <v>924.9</v>
      </c>
      <c r="D1028">
        <v>3</v>
      </c>
      <c r="E1028">
        <v>35150</v>
      </c>
      <c r="F1028" s="80">
        <v>44539</v>
      </c>
      <c r="G1028" t="str">
        <f>IFERROR(IF((F1028-F1027)&gt;1,(LARGE(F1028:$F1028,1)-LARGE(F$1024:$F1028,2))-1,""),"")</f>
        <v/>
      </c>
    </row>
    <row r="1029" spans="1:7">
      <c r="A1029" s="14">
        <f>E1037</f>
        <v>41447</v>
      </c>
      <c r="B1029">
        <v>919.9</v>
      </c>
      <c r="C1029">
        <v>919.9</v>
      </c>
      <c r="D1029">
        <v>6</v>
      </c>
      <c r="E1029">
        <v>24264</v>
      </c>
      <c r="F1029" s="80">
        <v>44540</v>
      </c>
      <c r="G1029" t="str">
        <f>IFERROR(IF((F1029-F1028)&gt;1,(LARGE(F1029:$F1029,1)-LARGE(F$1024:$F1029,2))-1,""),"")</f>
        <v/>
      </c>
    </row>
    <row r="1030" spans="1:7">
      <c r="B1030">
        <v>920</v>
      </c>
      <c r="C1030">
        <v>919.9</v>
      </c>
      <c r="D1030">
        <v>8</v>
      </c>
      <c r="E1030">
        <v>82186</v>
      </c>
      <c r="F1030" s="80">
        <v>44541</v>
      </c>
      <c r="G1030" t="str">
        <f>IFERROR(IF((F1030-F1029)&gt;1,(LARGE(F1030:$F1030,1)-LARGE(F$1024:$F1030,2))-1,""),"")</f>
        <v/>
      </c>
    </row>
    <row r="1031" spans="1:7">
      <c r="B1031">
        <v>925</v>
      </c>
      <c r="C1031">
        <v>925</v>
      </c>
      <c r="D1031">
        <v>3</v>
      </c>
      <c r="E1031">
        <v>12160</v>
      </c>
      <c r="F1031" s="80">
        <v>44542</v>
      </c>
      <c r="G1031" t="str">
        <f>IFERROR(IF((F1031-F1030)&gt;1,(LARGE(F1031:$F1031,1)-LARGE(F$1024:$F1031,2))-1,""),"")</f>
        <v/>
      </c>
    </row>
    <row r="1032" spans="1:7">
      <c r="B1032">
        <v>914.8</v>
      </c>
      <c r="C1032">
        <v>914.8</v>
      </c>
      <c r="D1032">
        <v>4</v>
      </c>
      <c r="E1032">
        <v>8500</v>
      </c>
      <c r="F1032" s="80">
        <v>44543</v>
      </c>
      <c r="G1032" t="str">
        <f>IFERROR(IF((F1032-F1031)&gt;1,(LARGE(F1032:$F1032,1)-LARGE(F$1024:$F1032,2))-1,""),"")</f>
        <v/>
      </c>
    </row>
    <row r="1033" spans="1:7">
      <c r="B1033">
        <v>910</v>
      </c>
      <c r="C1033">
        <v>910</v>
      </c>
      <c r="D1033">
        <v>7</v>
      </c>
      <c r="E1033">
        <v>46376</v>
      </c>
      <c r="F1033" s="80">
        <v>44544</v>
      </c>
      <c r="G1033" t="str">
        <f>IFERROR(IF((F1033-F1032)&gt;1,(LARGE(F1033:$F1033,1)-LARGE(F$1024:$F1033,2))-1,""),"")</f>
        <v/>
      </c>
    </row>
    <row r="1034" spans="1:7">
      <c r="B1034">
        <v>899.8</v>
      </c>
      <c r="C1034">
        <v>899.8</v>
      </c>
      <c r="D1034">
        <v>4</v>
      </c>
      <c r="E1034">
        <v>34800</v>
      </c>
      <c r="F1034" s="80">
        <v>44545</v>
      </c>
      <c r="G1034" t="str">
        <f>IFERROR(IF((F1034-F1033)&gt;1,(LARGE(F1034:$F1034,1)-LARGE(F$1024:$F1034,2))-1,""),"")</f>
        <v/>
      </c>
    </row>
    <row r="1035" spans="1:7">
      <c r="B1035">
        <v>899.8</v>
      </c>
      <c r="C1035">
        <v>895</v>
      </c>
      <c r="D1035">
        <v>7</v>
      </c>
      <c r="E1035">
        <v>42437</v>
      </c>
      <c r="F1035" s="80">
        <v>44546</v>
      </c>
      <c r="G1035" t="str">
        <f>IFERROR(IF((F1035-F1034)&gt;1,(LARGE(F1035:$F1035,1)-LARGE(F$1024:$F1035,2))-1,""),"")</f>
        <v/>
      </c>
    </row>
    <row r="1036" spans="1:7">
      <c r="B1036">
        <v>900</v>
      </c>
      <c r="C1036">
        <v>900</v>
      </c>
      <c r="D1036">
        <v>2</v>
      </c>
      <c r="E1036">
        <v>25000</v>
      </c>
      <c r="F1036" s="80">
        <v>44547</v>
      </c>
      <c r="G1036" t="str">
        <f>IFERROR(IF((F1036-F1035)&gt;1,(LARGE(F1036:$F1036,1)-LARGE(F$1024:$F1036,2))-1,""),"")</f>
        <v/>
      </c>
    </row>
    <row r="1037" spans="1:7">
      <c r="B1037">
        <v>904.9</v>
      </c>
      <c r="C1037">
        <v>904.9</v>
      </c>
      <c r="D1037">
        <v>3</v>
      </c>
      <c r="E1037">
        <v>41447</v>
      </c>
      <c r="F1037" s="80">
        <v>44548</v>
      </c>
      <c r="G1037" t="str">
        <f>IFERROR(IF((F1037-F1036)&gt;1,(LARGE(F1037:$F1037,1)-LARGE(F$1024:$F1037,2))-1,""),"")</f>
        <v/>
      </c>
    </row>
    <row r="1038" spans="1:7">
      <c r="A1038" s="75">
        <f>VLOOKUP(TradeSheet!A71,TypeIDs!B:C,2,FALSE)</f>
        <v>2629</v>
      </c>
      <c r="B1038" t="s">
        <v>47021</v>
      </c>
      <c r="C1038" t="s">
        <v>47022</v>
      </c>
      <c r="D1038" t="s">
        <v>47023</v>
      </c>
      <c r="E1038" t="s">
        <v>47024</v>
      </c>
      <c r="F1038" t="s">
        <v>47035</v>
      </c>
      <c r="G1038" t="s">
        <v>47034</v>
      </c>
    </row>
    <row r="1039" spans="1:7">
      <c r="A1039" s="75" t="str">
        <f>CONCATENATE(SwaggerURL,input070)</f>
        <v>https://esi.evetech.net/latest/markets/10000021/history/?datasource=tranquility&amp;type_id=2629</v>
      </c>
      <c r="B1039">
        <v>619.9</v>
      </c>
      <c r="C1039">
        <v>619.9</v>
      </c>
      <c r="D1039">
        <v>1</v>
      </c>
      <c r="E1039">
        <v>20000</v>
      </c>
      <c r="F1039" s="80">
        <v>44516</v>
      </c>
      <c r="G1039" t="str">
        <f>IFERROR(IF((F1039-F1038)&gt;1,(LARGE(F1039:$F1039,1)-LARGE(F$1039:$F1039,2))-1,""),"")</f>
        <v/>
      </c>
    </row>
    <row r="1040" spans="1:7">
      <c r="A1040" s="3" t="s">
        <v>47031</v>
      </c>
      <c r="B1040">
        <v>619.9</v>
      </c>
      <c r="C1040">
        <v>619.9</v>
      </c>
      <c r="D1040">
        <v>3</v>
      </c>
      <c r="E1040">
        <v>2670</v>
      </c>
      <c r="F1040" s="80">
        <v>44518</v>
      </c>
      <c r="G1040">
        <f>IFERROR(IF((F1040-F1039)&gt;1,(LARGE(F1040:$F1040,1)-LARGE(F$1039:$F1040,2))-1,""),"")</f>
        <v>1</v>
      </c>
    </row>
    <row r="1041" spans="1:7">
      <c r="A1041" s="3" t="e">
        <f>AVERAGE(H1039:H1052)</f>
        <v>#DIV/0!</v>
      </c>
      <c r="B1041">
        <v>620</v>
      </c>
      <c r="C1041">
        <v>620</v>
      </c>
      <c r="D1041">
        <v>2</v>
      </c>
      <c r="E1041">
        <v>10000</v>
      </c>
      <c r="F1041" s="80">
        <v>44520</v>
      </c>
      <c r="G1041">
        <f>IFERROR(IF((F1041-F1040)&gt;1,(LARGE(F1041:$F1041,1)-LARGE(F$1039:$F1041,2))-1,""),"")</f>
        <v>1</v>
      </c>
    </row>
    <row r="1042" spans="1:7">
      <c r="A1042" s="3">
        <f>AVERAGE(E1039:E1052)</f>
        <v>11642.071428571429</v>
      </c>
      <c r="B1042">
        <v>620</v>
      </c>
      <c r="C1042">
        <v>620</v>
      </c>
      <c r="D1042">
        <v>3</v>
      </c>
      <c r="E1042">
        <v>7511</v>
      </c>
      <c r="F1042" s="80">
        <v>44521</v>
      </c>
      <c r="G1042" t="str">
        <f>IFERROR(IF((F1042-F1041)&gt;1,(LARGE(F1042:$F1042,1)-LARGE(F$1039:$F1042,2))-1,""),"")</f>
        <v/>
      </c>
    </row>
    <row r="1043" spans="1:7">
      <c r="A1043" s="14" t="s">
        <v>47032</v>
      </c>
      <c r="B1043">
        <v>619.9</v>
      </c>
      <c r="C1043">
        <v>619.9</v>
      </c>
      <c r="D1043">
        <v>1</v>
      </c>
      <c r="E1043">
        <v>500</v>
      </c>
      <c r="F1043" s="80">
        <v>44523</v>
      </c>
      <c r="G1043">
        <f>IFERROR(IF((F1043-F1042)&gt;1,(LARGE(F1043:$F1043,1)-LARGE(F$1039:$F1043,2))-1,""),"")</f>
        <v>1</v>
      </c>
    </row>
    <row r="1044" spans="1:7">
      <c r="A1044" s="14">
        <f>E1052</f>
        <v>300</v>
      </c>
      <c r="B1044">
        <v>619.9</v>
      </c>
      <c r="C1044">
        <v>619.9</v>
      </c>
      <c r="D1044">
        <v>1</v>
      </c>
      <c r="E1044">
        <v>3500</v>
      </c>
      <c r="F1044" s="80">
        <v>44525</v>
      </c>
      <c r="G1044">
        <f>IFERROR(IF((F1044-F1043)&gt;1,(LARGE(F1044:$F1044,1)-LARGE(F$1039:$F1044,2))-1,""),"")</f>
        <v>1</v>
      </c>
    </row>
    <row r="1045" spans="1:7">
      <c r="B1045">
        <v>620</v>
      </c>
      <c r="C1045">
        <v>620</v>
      </c>
      <c r="D1045">
        <v>2</v>
      </c>
      <c r="E1045">
        <v>56000</v>
      </c>
      <c r="F1045" s="80">
        <v>44526</v>
      </c>
      <c r="G1045" t="str">
        <f>IFERROR(IF((F1045-F1044)&gt;1,(LARGE(F1045:$F1045,1)-LARGE(F$1039:$F1045,2))-1,""),"")</f>
        <v/>
      </c>
    </row>
    <row r="1046" spans="1:7">
      <c r="B1046">
        <v>616.5</v>
      </c>
      <c r="C1046">
        <v>616.5</v>
      </c>
      <c r="D1046">
        <v>5</v>
      </c>
      <c r="E1046">
        <v>9500</v>
      </c>
      <c r="F1046" s="80">
        <v>44535</v>
      </c>
      <c r="G1046">
        <f>IFERROR(IF((F1046-F1045)&gt;1,(LARGE(F1046:$F1046,1)-LARGE(F$1039:$F1046,2))-1,""),"")</f>
        <v>8</v>
      </c>
    </row>
    <row r="1047" spans="1:7">
      <c r="B1047">
        <v>615.29999999999995</v>
      </c>
      <c r="C1047">
        <v>615.29999999999995</v>
      </c>
      <c r="D1047">
        <v>1</v>
      </c>
      <c r="E1047">
        <v>108</v>
      </c>
      <c r="F1047" s="80">
        <v>44540</v>
      </c>
      <c r="G1047">
        <f>IFERROR(IF((F1047-F1046)&gt;1,(LARGE(F1047:$F1047,1)-LARGE(F$1039:$F1047,2))-1,""),"")</f>
        <v>4</v>
      </c>
    </row>
    <row r="1048" spans="1:7">
      <c r="B1048">
        <v>615.4</v>
      </c>
      <c r="C1048">
        <v>615.4</v>
      </c>
      <c r="D1048">
        <v>3</v>
      </c>
      <c r="E1048">
        <v>15300</v>
      </c>
      <c r="F1048" s="80">
        <v>44541</v>
      </c>
      <c r="G1048" t="str">
        <f>IFERROR(IF((F1048-F1047)&gt;1,(LARGE(F1048:$F1048,1)-LARGE(F$1039:$F1048,2))-1,""),"")</f>
        <v/>
      </c>
    </row>
    <row r="1049" spans="1:7">
      <c r="B1049">
        <v>615.20000000000005</v>
      </c>
      <c r="C1049">
        <v>615.20000000000005</v>
      </c>
      <c r="D1049">
        <v>2</v>
      </c>
      <c r="E1049">
        <v>27000</v>
      </c>
      <c r="F1049" s="80">
        <v>44543</v>
      </c>
      <c r="G1049">
        <f>IFERROR(IF((F1049-F1048)&gt;1,(LARGE(F1049:$F1049,1)-LARGE(F$1039:$F1049,2))-1,""),"")</f>
        <v>1</v>
      </c>
    </row>
    <row r="1050" spans="1:7">
      <c r="B1050">
        <v>615.20000000000005</v>
      </c>
      <c r="C1050">
        <v>615.20000000000005</v>
      </c>
      <c r="D1050">
        <v>2</v>
      </c>
      <c r="E1050">
        <v>5600</v>
      </c>
      <c r="F1050" s="80">
        <v>44546</v>
      </c>
      <c r="G1050">
        <f>IFERROR(IF((F1050-F1049)&gt;1,(LARGE(F1050:$F1050,1)-LARGE(F$1039:$F1050,2))-1,""),"")</f>
        <v>2</v>
      </c>
    </row>
    <row r="1051" spans="1:7">
      <c r="B1051">
        <v>615.20000000000005</v>
      </c>
      <c r="C1051">
        <v>615.20000000000005</v>
      </c>
      <c r="D1051">
        <v>1</v>
      </c>
      <c r="E1051">
        <v>5000</v>
      </c>
      <c r="F1051" s="80">
        <v>44547</v>
      </c>
      <c r="G1051" t="str">
        <f>IFERROR(IF((F1051-F1050)&gt;1,(LARGE(F1051:$F1051,1)-LARGE(F$1039:$F1051,2))-1,""),"")</f>
        <v/>
      </c>
    </row>
    <row r="1052" spans="1:7">
      <c r="B1052">
        <v>615.20000000000005</v>
      </c>
      <c r="C1052">
        <v>615.20000000000005</v>
      </c>
      <c r="D1052">
        <v>1</v>
      </c>
      <c r="E1052">
        <v>300</v>
      </c>
      <c r="F1052" s="80">
        <v>44548</v>
      </c>
      <c r="G1052" t="str">
        <f>IFERROR(IF((F1052-F1051)&gt;1,(LARGE(F1052:$F1052,1)-LARGE(F$1039:$F1052,2))-1,""),"")</f>
        <v/>
      </c>
    </row>
    <row r="1053" spans="1:7">
      <c r="A1053" s="75">
        <f>VLOOKUP(TradeSheet!A72,TypeIDs!B:C,2,FALSE)</f>
        <v>24517</v>
      </c>
      <c r="B1053" t="s">
        <v>47021</v>
      </c>
      <c r="C1053" t="s">
        <v>47022</v>
      </c>
      <c r="D1053" t="s">
        <v>47023</v>
      </c>
      <c r="E1053" t="s">
        <v>47024</v>
      </c>
      <c r="F1053" t="s">
        <v>47035</v>
      </c>
      <c r="G1053" t="s">
        <v>47034</v>
      </c>
    </row>
    <row r="1054" spans="1:7">
      <c r="A1054" s="75" t="str">
        <f>CONCATENATE(SwaggerURL,input071)</f>
        <v>https://esi.evetech.net/latest/markets/10000021/history/?datasource=tranquility&amp;type_id=24517</v>
      </c>
      <c r="B1054">
        <v>587.79999999999995</v>
      </c>
      <c r="C1054">
        <v>587.79999999999995</v>
      </c>
      <c r="D1054">
        <v>1</v>
      </c>
      <c r="E1054">
        <v>15700</v>
      </c>
      <c r="F1054" s="80">
        <v>44526</v>
      </c>
      <c r="G1054" t="str">
        <f>IFERROR(IF((F1054-F1053)&gt;1,(LARGE(F1054:$F1054,1)-LARGE(F$1054:$F1054,2))-1,""),"")</f>
        <v/>
      </c>
    </row>
    <row r="1055" spans="1:7">
      <c r="A1055" s="3" t="s">
        <v>47031</v>
      </c>
      <c r="B1055">
        <v>587.9</v>
      </c>
      <c r="C1055">
        <v>587.9</v>
      </c>
      <c r="D1055">
        <v>4</v>
      </c>
      <c r="E1055">
        <v>11150</v>
      </c>
      <c r="F1055" s="80">
        <v>44527</v>
      </c>
      <c r="G1055" t="str">
        <f>IFERROR(IF((F1055-F1054)&gt;1,(LARGE(F1055:$F1055,1)-LARGE(F$1054:$F1055,2))-1,""),"")</f>
        <v/>
      </c>
    </row>
    <row r="1056" spans="1:7">
      <c r="A1056" s="3" t="e">
        <f>AVERAGE(H1054:H1067)</f>
        <v>#DIV/0!</v>
      </c>
      <c r="B1056">
        <v>587.79999999999995</v>
      </c>
      <c r="C1056">
        <v>587.79999999999995</v>
      </c>
      <c r="D1056">
        <v>1</v>
      </c>
      <c r="E1056">
        <v>1000</v>
      </c>
      <c r="F1056" s="80">
        <v>44530</v>
      </c>
      <c r="G1056">
        <f>IFERROR(IF((F1056-F1055)&gt;1,(LARGE(F1056:$F1056,1)-LARGE(F$1054:$F1056,2))-1,""),"")</f>
        <v>2</v>
      </c>
    </row>
    <row r="1057" spans="1:7">
      <c r="A1057" s="3">
        <f>AVERAGE(E1054:E1067)</f>
        <v>12783</v>
      </c>
      <c r="B1057">
        <v>587.79999999999995</v>
      </c>
      <c r="C1057">
        <v>587.79999999999995</v>
      </c>
      <c r="D1057">
        <v>2</v>
      </c>
      <c r="E1057">
        <v>600</v>
      </c>
      <c r="F1057" s="80">
        <v>44531</v>
      </c>
      <c r="G1057" t="str">
        <f>IFERROR(IF((F1057-F1056)&gt;1,(LARGE(F1057:$F1057,1)-LARGE(F$1054:$F1057,2))-1,""),"")</f>
        <v/>
      </c>
    </row>
    <row r="1058" spans="1:7">
      <c r="A1058" s="14" t="s">
        <v>47032</v>
      </c>
      <c r="B1058">
        <v>587.6</v>
      </c>
      <c r="C1058">
        <v>587.6</v>
      </c>
      <c r="D1058">
        <v>7</v>
      </c>
      <c r="E1058">
        <v>2700</v>
      </c>
      <c r="F1058" s="80">
        <v>44538</v>
      </c>
      <c r="G1058">
        <f>IFERROR(IF((F1058-F1057)&gt;1,(LARGE(F1058:$F1058,1)-LARGE(F$1054:$F1058,2))-1,""),"")</f>
        <v>6</v>
      </c>
    </row>
    <row r="1059" spans="1:7">
      <c r="A1059" s="14">
        <f>E1067</f>
        <v>4500</v>
      </c>
      <c r="B1059">
        <v>587.6</v>
      </c>
      <c r="C1059">
        <v>587.6</v>
      </c>
      <c r="D1059">
        <v>2</v>
      </c>
      <c r="E1059">
        <v>25000</v>
      </c>
      <c r="F1059" s="80">
        <v>44539</v>
      </c>
      <c r="G1059" t="str">
        <f>IFERROR(IF((F1059-F1058)&gt;1,(LARGE(F1059:$F1059,1)-LARGE(F$1054:$F1059,2))-1,""),"")</f>
        <v/>
      </c>
    </row>
    <row r="1060" spans="1:7">
      <c r="B1060">
        <v>587.6</v>
      </c>
      <c r="C1060">
        <v>587.6</v>
      </c>
      <c r="D1060">
        <v>3</v>
      </c>
      <c r="E1060">
        <v>900</v>
      </c>
      <c r="F1060" s="80">
        <v>44540</v>
      </c>
      <c r="G1060" t="str">
        <f>IFERROR(IF((F1060-F1059)&gt;1,(LARGE(F1060:$F1060,1)-LARGE(F$1054:$F1060,2))-1,""),"")</f>
        <v/>
      </c>
    </row>
    <row r="1061" spans="1:7">
      <c r="B1061">
        <v>587.6</v>
      </c>
      <c r="C1061">
        <v>587.6</v>
      </c>
      <c r="D1061">
        <v>3</v>
      </c>
      <c r="E1061">
        <v>20600</v>
      </c>
      <c r="F1061" s="80">
        <v>44541</v>
      </c>
      <c r="G1061" t="str">
        <f>IFERROR(IF((F1061-F1060)&gt;1,(LARGE(F1061:$F1061,1)-LARGE(F$1054:$F1061,2))-1,""),"")</f>
        <v/>
      </c>
    </row>
    <row r="1062" spans="1:7">
      <c r="B1062">
        <v>587.70000000000005</v>
      </c>
      <c r="C1062">
        <v>587.70000000000005</v>
      </c>
      <c r="D1062">
        <v>3</v>
      </c>
      <c r="E1062">
        <v>10300</v>
      </c>
      <c r="F1062" s="80">
        <v>44542</v>
      </c>
      <c r="G1062" t="str">
        <f>IFERROR(IF((F1062-F1061)&gt;1,(LARGE(F1062:$F1062,1)-LARGE(F$1054:$F1062,2))-1,""),"")</f>
        <v/>
      </c>
    </row>
    <row r="1063" spans="1:7">
      <c r="B1063">
        <v>587.70000000000005</v>
      </c>
      <c r="C1063">
        <v>587.70000000000005</v>
      </c>
      <c r="D1063">
        <v>5</v>
      </c>
      <c r="E1063">
        <v>29919</v>
      </c>
      <c r="F1063" s="80">
        <v>44543</v>
      </c>
      <c r="G1063" t="str">
        <f>IFERROR(IF((F1063-F1062)&gt;1,(LARGE(F1063:$F1063,1)-LARGE(F$1054:$F1063,2))-1,""),"")</f>
        <v/>
      </c>
    </row>
    <row r="1064" spans="1:7">
      <c r="B1064">
        <v>1890</v>
      </c>
      <c r="C1064">
        <v>1890</v>
      </c>
      <c r="D1064">
        <v>3</v>
      </c>
      <c r="E1064">
        <v>26253</v>
      </c>
      <c r="F1064" s="80">
        <v>44544</v>
      </c>
      <c r="G1064" t="str">
        <f>IFERROR(IF((F1064-F1063)&gt;1,(LARGE(F1064:$F1064,1)-LARGE(F$1054:$F1064,2))-1,""),"")</f>
        <v/>
      </c>
    </row>
    <row r="1065" spans="1:7">
      <c r="B1065">
        <v>1800</v>
      </c>
      <c r="C1065">
        <v>1800</v>
      </c>
      <c r="D1065">
        <v>1</v>
      </c>
      <c r="E1065">
        <v>2000</v>
      </c>
      <c r="F1065" s="80">
        <v>44545</v>
      </c>
      <c r="G1065" t="str">
        <f>IFERROR(IF((F1065-F1064)&gt;1,(LARGE(F1065:$F1065,1)-LARGE(F$1054:$F1065,2))-1,""),"")</f>
        <v/>
      </c>
    </row>
    <row r="1066" spans="1:7">
      <c r="B1066">
        <v>1800</v>
      </c>
      <c r="C1066">
        <v>1800</v>
      </c>
      <c r="D1066">
        <v>5</v>
      </c>
      <c r="E1066">
        <v>28340</v>
      </c>
      <c r="F1066" s="80">
        <v>44546</v>
      </c>
      <c r="G1066" t="str">
        <f>IFERROR(IF((F1066-F1065)&gt;1,(LARGE(F1066:$F1066,1)-LARGE(F$1054:$F1066,2))-1,""),"")</f>
        <v/>
      </c>
    </row>
    <row r="1067" spans="1:7">
      <c r="B1067">
        <v>1800</v>
      </c>
      <c r="C1067">
        <v>1800</v>
      </c>
      <c r="D1067">
        <v>2</v>
      </c>
      <c r="E1067">
        <v>4500</v>
      </c>
      <c r="F1067" s="80">
        <v>44548</v>
      </c>
      <c r="G1067">
        <f>IFERROR(IF((F1067-F1066)&gt;1,(LARGE(F1067:$F1067,1)-LARGE(F$1054:$F1067,2))-1,""),"")</f>
        <v>1</v>
      </c>
    </row>
    <row r="1068" spans="1:7">
      <c r="A1068" s="75">
        <f>VLOOKUP(TradeSheet!A73,TypeIDs!B:C,2,FALSE)</f>
        <v>27447</v>
      </c>
      <c r="B1068" t="s">
        <v>47021</v>
      </c>
      <c r="C1068" t="s">
        <v>47022</v>
      </c>
      <c r="D1068" t="s">
        <v>47023</v>
      </c>
      <c r="E1068" t="s">
        <v>47024</v>
      </c>
      <c r="F1068" t="s">
        <v>47035</v>
      </c>
      <c r="G1068" t="s">
        <v>47034</v>
      </c>
    </row>
    <row r="1069" spans="1:7">
      <c r="A1069" s="75" t="str">
        <f>CONCATENATE(SwaggerURL,input072)</f>
        <v>https://esi.evetech.net/latest/markets/10000021/history/?datasource=tranquility&amp;type_id=27447</v>
      </c>
      <c r="B1069">
        <v>1558</v>
      </c>
      <c r="C1069">
        <v>1558</v>
      </c>
      <c r="D1069">
        <v>1</v>
      </c>
      <c r="E1069">
        <v>600</v>
      </c>
      <c r="F1069" s="80">
        <v>44532</v>
      </c>
      <c r="G1069" t="str">
        <f>IFERROR(IF((F1069-F1068)&gt;1,(LARGE(F1069:$F1069,1)-LARGE(F$1069:$F1069,2))-1,""),"")</f>
        <v/>
      </c>
    </row>
    <row r="1070" spans="1:7">
      <c r="A1070" s="3" t="s">
        <v>47031</v>
      </c>
      <c r="B1070">
        <v>1558</v>
      </c>
      <c r="C1070">
        <v>1558</v>
      </c>
      <c r="D1070">
        <v>9</v>
      </c>
      <c r="E1070">
        <v>6400</v>
      </c>
      <c r="F1070" s="80">
        <v>44533</v>
      </c>
      <c r="G1070" t="str">
        <f>IFERROR(IF((F1070-F1069)&gt;1,(LARGE(F1070:$F1070,1)-LARGE(F$1069:$F1070,2))-1,""),"")</f>
        <v/>
      </c>
    </row>
    <row r="1071" spans="1:7">
      <c r="A1071" s="3" t="e">
        <f>AVERAGE(H1069:H1082)</f>
        <v>#DIV/0!</v>
      </c>
      <c r="B1071">
        <v>1558</v>
      </c>
      <c r="C1071">
        <v>1558</v>
      </c>
      <c r="D1071">
        <v>1</v>
      </c>
      <c r="E1071">
        <v>2000</v>
      </c>
      <c r="F1071" s="80">
        <v>44534</v>
      </c>
      <c r="G1071" t="str">
        <f>IFERROR(IF((F1071-F1070)&gt;1,(LARGE(F1071:$F1071,1)-LARGE(F$1069:$F1071,2))-1,""),"")</f>
        <v/>
      </c>
    </row>
    <row r="1072" spans="1:7">
      <c r="A1072" s="3">
        <f>AVERAGE(E1069:E1082)</f>
        <v>3054.4285714285716</v>
      </c>
      <c r="B1072">
        <v>1558</v>
      </c>
      <c r="C1072">
        <v>1558</v>
      </c>
      <c r="D1072">
        <v>1</v>
      </c>
      <c r="E1072">
        <v>1000</v>
      </c>
      <c r="F1072" s="80">
        <v>44535</v>
      </c>
      <c r="G1072" t="str">
        <f>IFERROR(IF((F1072-F1071)&gt;1,(LARGE(F1072:$F1072,1)-LARGE(F$1069:$F1072,2))-1,""),"")</f>
        <v/>
      </c>
    </row>
    <row r="1073" spans="1:7">
      <c r="A1073" s="14" t="s">
        <v>47032</v>
      </c>
      <c r="B1073">
        <v>1558</v>
      </c>
      <c r="C1073">
        <v>1558</v>
      </c>
      <c r="D1073">
        <v>1</v>
      </c>
      <c r="E1073">
        <v>500</v>
      </c>
      <c r="F1073" s="80">
        <v>44537</v>
      </c>
      <c r="G1073">
        <f>IFERROR(IF((F1073-F1072)&gt;1,(LARGE(F1073:$F1073,1)-LARGE(F$1069:$F1073,2))-1,""),"")</f>
        <v>1</v>
      </c>
    </row>
    <row r="1074" spans="1:7">
      <c r="A1074" s="14">
        <f>E1082</f>
        <v>600</v>
      </c>
      <c r="B1074">
        <v>1559</v>
      </c>
      <c r="C1074">
        <v>1559</v>
      </c>
      <c r="D1074">
        <v>5</v>
      </c>
      <c r="E1074">
        <v>3320</v>
      </c>
      <c r="F1074" s="80">
        <v>44538</v>
      </c>
      <c r="G1074" t="str">
        <f>IFERROR(IF((F1074-F1073)&gt;1,(LARGE(F1074:$F1074,1)-LARGE(F$1069:$F1074,2))-1,""),"")</f>
        <v/>
      </c>
    </row>
    <row r="1075" spans="1:7">
      <c r="B1075">
        <v>1559</v>
      </c>
      <c r="C1075">
        <v>1559</v>
      </c>
      <c r="D1075">
        <v>1</v>
      </c>
      <c r="E1075">
        <v>500</v>
      </c>
      <c r="F1075" s="80">
        <v>44539</v>
      </c>
      <c r="G1075" t="str">
        <f>IFERROR(IF((F1075-F1074)&gt;1,(LARGE(F1075:$F1075,1)-LARGE(F$1069:$F1075,2))-1,""),"")</f>
        <v/>
      </c>
    </row>
    <row r="1076" spans="1:7">
      <c r="B1076">
        <v>1559</v>
      </c>
      <c r="C1076">
        <v>1559</v>
      </c>
      <c r="D1076">
        <v>5</v>
      </c>
      <c r="E1076">
        <v>6244</v>
      </c>
      <c r="F1076" s="80">
        <v>44540</v>
      </c>
      <c r="G1076" t="str">
        <f>IFERROR(IF((F1076-F1075)&gt;1,(LARGE(F1076:$F1076,1)-LARGE(F$1069:$F1076,2))-1,""),"")</f>
        <v/>
      </c>
    </row>
    <row r="1077" spans="1:7">
      <c r="B1077">
        <v>1557</v>
      </c>
      <c r="C1077">
        <v>1557</v>
      </c>
      <c r="D1077">
        <v>4</v>
      </c>
      <c r="E1077">
        <v>5204</v>
      </c>
      <c r="F1077" s="80">
        <v>44541</v>
      </c>
      <c r="G1077" t="str">
        <f>IFERROR(IF((F1077-F1076)&gt;1,(LARGE(F1077:$F1077,1)-LARGE(F$1069:$F1077,2))-1,""),"")</f>
        <v/>
      </c>
    </row>
    <row r="1078" spans="1:7">
      <c r="B1078">
        <v>1557</v>
      </c>
      <c r="C1078">
        <v>1557</v>
      </c>
      <c r="D1078">
        <v>2</v>
      </c>
      <c r="E1078">
        <v>4244</v>
      </c>
      <c r="F1078" s="80">
        <v>44542</v>
      </c>
      <c r="G1078" t="str">
        <f>IFERROR(IF((F1078-F1077)&gt;1,(LARGE(F1078:$F1078,1)-LARGE(F$1069:$F1078,2))-1,""),"")</f>
        <v/>
      </c>
    </row>
    <row r="1079" spans="1:7">
      <c r="B1079">
        <v>1556</v>
      </c>
      <c r="C1079">
        <v>1556</v>
      </c>
      <c r="D1079">
        <v>1</v>
      </c>
      <c r="E1079">
        <v>850</v>
      </c>
      <c r="F1079" s="80">
        <v>44543</v>
      </c>
      <c r="G1079" t="str">
        <f>IFERROR(IF((F1079-F1078)&gt;1,(LARGE(F1079:$F1079,1)-LARGE(F$1069:$F1079,2))-1,""),"")</f>
        <v/>
      </c>
    </row>
    <row r="1080" spans="1:7">
      <c r="B1080">
        <v>1556</v>
      </c>
      <c r="C1080">
        <v>1556</v>
      </c>
      <c r="D1080">
        <v>3</v>
      </c>
      <c r="E1080">
        <v>10000</v>
      </c>
      <c r="F1080" s="80">
        <v>44544</v>
      </c>
      <c r="G1080" t="str">
        <f>IFERROR(IF((F1080-F1079)&gt;1,(LARGE(F1080:$F1080,1)-LARGE(F$1069:$F1080,2))-1,""),"")</f>
        <v/>
      </c>
    </row>
    <row r="1081" spans="1:7">
      <c r="B1081">
        <v>1557</v>
      </c>
      <c r="C1081">
        <v>1557</v>
      </c>
      <c r="D1081">
        <v>2</v>
      </c>
      <c r="E1081">
        <v>1300</v>
      </c>
      <c r="F1081" s="80">
        <v>44545</v>
      </c>
      <c r="G1081" t="str">
        <f>IFERROR(IF((F1081-F1080)&gt;1,(LARGE(F1081:$F1081,1)-LARGE(F$1069:$F1081,2))-1,""),"")</f>
        <v/>
      </c>
    </row>
    <row r="1082" spans="1:7">
      <c r="B1082">
        <v>1557</v>
      </c>
      <c r="C1082">
        <v>1557</v>
      </c>
      <c r="D1082">
        <v>1</v>
      </c>
      <c r="E1082">
        <v>600</v>
      </c>
      <c r="F1082" s="80">
        <v>44546</v>
      </c>
      <c r="G1082" t="str">
        <f>IFERROR(IF((F1082-F1081)&gt;1,(LARGE(F1082:$F1082,1)-LARGE(F$1069:$F1082,2))-1,""),"")</f>
        <v/>
      </c>
    </row>
    <row r="1083" spans="1:7">
      <c r="A1083" s="75">
        <f>VLOOKUP(TradeSheet!A74,TypeIDs!B:C,2,FALSE)</f>
        <v>27435</v>
      </c>
      <c r="B1083" t="s">
        <v>47021</v>
      </c>
      <c r="C1083" t="s">
        <v>47022</v>
      </c>
      <c r="D1083" t="s">
        <v>47023</v>
      </c>
      <c r="E1083" t="s">
        <v>47024</v>
      </c>
      <c r="F1083" t="s">
        <v>47035</v>
      </c>
      <c r="G1083" t="s">
        <v>47034</v>
      </c>
    </row>
    <row r="1084" spans="1:7">
      <c r="A1084" s="75" t="str">
        <f>CONCATENATE(SwaggerURL,input073)</f>
        <v>https://esi.evetech.net/latest/markets/10000021/history/?datasource=tranquility&amp;type_id=27435</v>
      </c>
      <c r="B1084">
        <v>1879</v>
      </c>
      <c r="C1084">
        <v>1879</v>
      </c>
      <c r="D1084">
        <v>3</v>
      </c>
      <c r="E1084">
        <v>720</v>
      </c>
      <c r="F1084" s="80">
        <v>44531</v>
      </c>
      <c r="G1084" t="str">
        <f>IFERROR(IF((F1084-F1083)&gt;1,(LARGE(F1084:$F1084,1)-LARGE(F$1084:$F1084,2))-1,""),"")</f>
        <v/>
      </c>
    </row>
    <row r="1085" spans="1:7">
      <c r="A1085" s="3" t="s">
        <v>47031</v>
      </c>
      <c r="B1085">
        <v>1879</v>
      </c>
      <c r="C1085">
        <v>1879</v>
      </c>
      <c r="D1085">
        <v>2</v>
      </c>
      <c r="E1085">
        <v>3684</v>
      </c>
      <c r="F1085" s="80">
        <v>44532</v>
      </c>
      <c r="G1085" t="str">
        <f>IFERROR(IF((F1085-F1084)&gt;1,(LARGE(F1085:$F1085,1)-LARGE(F$1084:$F1085,2))-1,""),"")</f>
        <v/>
      </c>
    </row>
    <row r="1086" spans="1:7">
      <c r="A1086" s="3" t="e">
        <f>AVERAGE(H1084:H1097)</f>
        <v>#DIV/0!</v>
      </c>
      <c r="B1086">
        <v>1879</v>
      </c>
      <c r="C1086">
        <v>1879</v>
      </c>
      <c r="D1086">
        <v>9</v>
      </c>
      <c r="E1086">
        <v>6100</v>
      </c>
      <c r="F1086" s="80">
        <v>44533</v>
      </c>
      <c r="G1086" t="str">
        <f>IFERROR(IF((F1086-F1085)&gt;1,(LARGE(F1086:$F1086,1)-LARGE(F$1084:$F1086,2))-1,""),"")</f>
        <v/>
      </c>
    </row>
    <row r="1087" spans="1:7">
      <c r="A1087" s="3">
        <f>AVERAGE(E1084:E1097)</f>
        <v>5525.4285714285716</v>
      </c>
      <c r="B1087">
        <v>1879</v>
      </c>
      <c r="C1087">
        <v>1879</v>
      </c>
      <c r="D1087">
        <v>3</v>
      </c>
      <c r="E1087">
        <v>6000</v>
      </c>
      <c r="F1087" s="80">
        <v>44534</v>
      </c>
      <c r="G1087" t="str">
        <f>IFERROR(IF((F1087-F1086)&gt;1,(LARGE(F1087:$F1087,1)-LARGE(F$1084:$F1087,2))-1,""),"")</f>
        <v/>
      </c>
    </row>
    <row r="1088" spans="1:7">
      <c r="A1088" s="14" t="s">
        <v>47032</v>
      </c>
      <c r="B1088">
        <v>1877</v>
      </c>
      <c r="C1088">
        <v>1877</v>
      </c>
      <c r="D1088">
        <v>2</v>
      </c>
      <c r="E1088">
        <v>3000</v>
      </c>
      <c r="F1088" s="80">
        <v>44535</v>
      </c>
      <c r="G1088" t="str">
        <f>IFERROR(IF((F1088-F1087)&gt;1,(LARGE(F1088:$F1088,1)-LARGE(F$1084:$F1088,2))-1,""),"")</f>
        <v/>
      </c>
    </row>
    <row r="1089" spans="1:7">
      <c r="A1089" s="14">
        <f>E1097</f>
        <v>1150</v>
      </c>
      <c r="B1089">
        <v>1877</v>
      </c>
      <c r="C1089">
        <v>1877</v>
      </c>
      <c r="D1089">
        <v>4</v>
      </c>
      <c r="E1089">
        <v>17096</v>
      </c>
      <c r="F1089" s="80">
        <v>44537</v>
      </c>
      <c r="G1089">
        <f>IFERROR(IF((F1089-F1088)&gt;1,(LARGE(F1089:$F1089,1)-LARGE(F$1084:$F1089,2))-1,""),"")</f>
        <v>1</v>
      </c>
    </row>
    <row r="1090" spans="1:7">
      <c r="B1090">
        <v>1877</v>
      </c>
      <c r="C1090">
        <v>1877</v>
      </c>
      <c r="D1090">
        <v>7</v>
      </c>
      <c r="E1090">
        <v>5570</v>
      </c>
      <c r="F1090" s="80">
        <v>44538</v>
      </c>
      <c r="G1090" t="str">
        <f>IFERROR(IF((F1090-F1089)&gt;1,(LARGE(F1090:$F1090,1)-LARGE(F$1084:$F1090,2))-1,""),"")</f>
        <v/>
      </c>
    </row>
    <row r="1091" spans="1:7">
      <c r="B1091">
        <v>1877</v>
      </c>
      <c r="C1091">
        <v>1877</v>
      </c>
      <c r="D1091">
        <v>2</v>
      </c>
      <c r="E1091">
        <v>1500</v>
      </c>
      <c r="F1091" s="80">
        <v>44539</v>
      </c>
      <c r="G1091" t="str">
        <f>IFERROR(IF((F1091-F1090)&gt;1,(LARGE(F1091:$F1091,1)-LARGE(F$1084:$F1091,2))-1,""),"")</f>
        <v/>
      </c>
    </row>
    <row r="1092" spans="1:7">
      <c r="B1092">
        <v>1878</v>
      </c>
      <c r="C1092">
        <v>1878</v>
      </c>
      <c r="D1092">
        <v>7</v>
      </c>
      <c r="E1092">
        <v>6730</v>
      </c>
      <c r="F1092" s="80">
        <v>44540</v>
      </c>
      <c r="G1092" t="str">
        <f>IFERROR(IF((F1092-F1091)&gt;1,(LARGE(F1092:$F1092,1)-LARGE(F$1084:$F1092,2))-1,""),"")</f>
        <v/>
      </c>
    </row>
    <row r="1093" spans="1:7">
      <c r="B1093">
        <v>1880</v>
      </c>
      <c r="C1093">
        <v>1880</v>
      </c>
      <c r="D1093">
        <v>7</v>
      </c>
      <c r="E1093">
        <v>14292</v>
      </c>
      <c r="F1093" s="80">
        <v>44541</v>
      </c>
      <c r="G1093" t="str">
        <f>IFERROR(IF((F1093-F1092)&gt;1,(LARGE(F1093:$F1093,1)-LARGE(F$1084:$F1093,2))-1,""),"")</f>
        <v/>
      </c>
    </row>
    <row r="1094" spans="1:7">
      <c r="B1094">
        <v>1890</v>
      </c>
      <c r="C1094">
        <v>1890</v>
      </c>
      <c r="D1094">
        <v>1</v>
      </c>
      <c r="E1094">
        <v>7414</v>
      </c>
      <c r="F1094" s="80">
        <v>44542</v>
      </c>
      <c r="G1094" t="str">
        <f>IFERROR(IF((F1094-F1093)&gt;1,(LARGE(F1094:$F1094,1)-LARGE(F$1084:$F1094,2))-1,""),"")</f>
        <v/>
      </c>
    </row>
    <row r="1095" spans="1:7">
      <c r="B1095">
        <v>2200</v>
      </c>
      <c r="C1095">
        <v>2200</v>
      </c>
      <c r="D1095">
        <v>3</v>
      </c>
      <c r="E1095">
        <v>3600</v>
      </c>
      <c r="F1095" s="80">
        <v>44546</v>
      </c>
      <c r="G1095">
        <f>IFERROR(IF((F1095-F1094)&gt;1,(LARGE(F1095:$F1095,1)-LARGE(F$1084:$F1095,2))-1,""),"")</f>
        <v>3</v>
      </c>
    </row>
    <row r="1096" spans="1:7">
      <c r="B1096">
        <v>2197</v>
      </c>
      <c r="C1096">
        <v>2197</v>
      </c>
      <c r="D1096">
        <v>1</v>
      </c>
      <c r="E1096">
        <v>500</v>
      </c>
      <c r="F1096" s="80">
        <v>44547</v>
      </c>
      <c r="G1096" t="str">
        <f>IFERROR(IF((F1096-F1095)&gt;1,(LARGE(F1096:$F1096,1)-LARGE(F$1084:$F1096,2))-1,""),"")</f>
        <v/>
      </c>
    </row>
    <row r="1097" spans="1:7">
      <c r="B1097">
        <v>2000</v>
      </c>
      <c r="C1097">
        <v>2000</v>
      </c>
      <c r="D1097">
        <v>1</v>
      </c>
      <c r="E1097">
        <v>1150</v>
      </c>
      <c r="F1097" s="80">
        <v>44548</v>
      </c>
      <c r="G1097" t="str">
        <f>IFERROR(IF((F1097-F1096)&gt;1,(LARGE(F1097:$F1097,1)-LARGE(F$1084:$F1097,2))-1,""),"")</f>
        <v/>
      </c>
    </row>
    <row r="1098" spans="1:7">
      <c r="A1098" s="75">
        <f>VLOOKUP(TradeSheet!A75,TypeIDs!B:C,2,FALSE)</f>
        <v>27453</v>
      </c>
      <c r="B1098" t="s">
        <v>47021</v>
      </c>
      <c r="C1098" t="s">
        <v>47022</v>
      </c>
      <c r="D1098" t="s">
        <v>47023</v>
      </c>
      <c r="E1098" t="s">
        <v>47024</v>
      </c>
      <c r="F1098" t="s">
        <v>47035</v>
      </c>
      <c r="G1098" t="s">
        <v>47034</v>
      </c>
    </row>
    <row r="1099" spans="1:7">
      <c r="A1099" s="75" t="str">
        <f>CONCATENATE(SwaggerURL,input074)</f>
        <v>https://esi.evetech.net/latest/markets/10000021/history/?datasource=tranquility&amp;type_id=27453</v>
      </c>
      <c r="B1099">
        <v>1299</v>
      </c>
      <c r="C1099">
        <v>1299</v>
      </c>
      <c r="D1099">
        <v>1</v>
      </c>
      <c r="E1099">
        <v>600</v>
      </c>
      <c r="F1099" s="80">
        <v>44532</v>
      </c>
      <c r="G1099" t="str">
        <f>IFERROR(IF((F1099-F1098)&gt;1,(LARGE(F1099:$F1099,1)-LARGE(F$1099:$F1099,2))-1,""),"")</f>
        <v/>
      </c>
    </row>
    <row r="1100" spans="1:7">
      <c r="A1100" s="3" t="s">
        <v>47031</v>
      </c>
      <c r="B1100">
        <v>1300</v>
      </c>
      <c r="C1100">
        <v>1300</v>
      </c>
      <c r="D1100">
        <v>11</v>
      </c>
      <c r="E1100">
        <v>7000</v>
      </c>
      <c r="F1100" s="80">
        <v>44533</v>
      </c>
      <c r="G1100" t="str">
        <f>IFERROR(IF((F1100-F1099)&gt;1,(LARGE(F1100:$F1100,1)-LARGE(F$1099:$F1100,2))-1,""),"")</f>
        <v/>
      </c>
    </row>
    <row r="1101" spans="1:7">
      <c r="A1101" s="3" t="e">
        <f>AVERAGE(H1099:H1112)</f>
        <v>#DIV/0!</v>
      </c>
      <c r="B1101">
        <v>1300</v>
      </c>
      <c r="C1101">
        <v>1300</v>
      </c>
      <c r="D1101">
        <v>1</v>
      </c>
      <c r="E1101">
        <v>2000</v>
      </c>
      <c r="F1101" s="80">
        <v>44534</v>
      </c>
      <c r="G1101" t="str">
        <f>IFERROR(IF((F1101-F1100)&gt;1,(LARGE(F1101:$F1101,1)-LARGE(F$1099:$F1101,2))-1,""),"")</f>
        <v/>
      </c>
    </row>
    <row r="1102" spans="1:7">
      <c r="A1102" s="3">
        <f>AVERAGE(E1099:E1112)</f>
        <v>2260</v>
      </c>
      <c r="B1102">
        <v>1300</v>
      </c>
      <c r="C1102">
        <v>1300</v>
      </c>
      <c r="D1102">
        <v>1</v>
      </c>
      <c r="E1102">
        <v>500</v>
      </c>
      <c r="F1102" s="80">
        <v>44537</v>
      </c>
      <c r="G1102">
        <f>IFERROR(IF((F1102-F1101)&gt;1,(LARGE(F1102:$F1102,1)-LARGE(F$1099:$F1102,2))-1,""),"")</f>
        <v>2</v>
      </c>
    </row>
    <row r="1103" spans="1:7">
      <c r="A1103" s="14" t="s">
        <v>47032</v>
      </c>
      <c r="B1103">
        <v>1300</v>
      </c>
      <c r="C1103">
        <v>1300</v>
      </c>
      <c r="D1103">
        <v>5</v>
      </c>
      <c r="E1103">
        <v>4600</v>
      </c>
      <c r="F1103" s="80">
        <v>44538</v>
      </c>
      <c r="G1103" t="str">
        <f>IFERROR(IF((F1103-F1102)&gt;1,(LARGE(F1103:$F1103,1)-LARGE(F$1099:$F1103,2))-1,""),"")</f>
        <v/>
      </c>
    </row>
    <row r="1104" spans="1:7">
      <c r="A1104" s="14">
        <f>E1112</f>
        <v>90</v>
      </c>
      <c r="B1104">
        <v>1300</v>
      </c>
      <c r="C1104">
        <v>1300</v>
      </c>
      <c r="D1104">
        <v>1</v>
      </c>
      <c r="E1104">
        <v>500</v>
      </c>
      <c r="F1104" s="80">
        <v>44539</v>
      </c>
      <c r="G1104" t="str">
        <f>IFERROR(IF((F1104-F1103)&gt;1,(LARGE(F1104:$F1104,1)-LARGE(F$1099:$F1104,2))-1,""),"")</f>
        <v/>
      </c>
    </row>
    <row r="1105" spans="1:7">
      <c r="B1105">
        <v>1410</v>
      </c>
      <c r="C1105">
        <v>1410</v>
      </c>
      <c r="D1105">
        <v>6</v>
      </c>
      <c r="E1105">
        <v>8150</v>
      </c>
      <c r="F1105" s="80">
        <v>44540</v>
      </c>
      <c r="G1105" t="str">
        <f>IFERROR(IF((F1105-F1104)&gt;1,(LARGE(F1105:$F1105,1)-LARGE(F$1099:$F1105,2))-1,""),"")</f>
        <v/>
      </c>
    </row>
    <row r="1106" spans="1:7">
      <c r="B1106">
        <v>1410</v>
      </c>
      <c r="C1106">
        <v>1410</v>
      </c>
      <c r="D1106">
        <v>3</v>
      </c>
      <c r="E1106">
        <v>2600</v>
      </c>
      <c r="F1106" s="80">
        <v>44541</v>
      </c>
      <c r="G1106" t="str">
        <f>IFERROR(IF((F1106-F1105)&gt;1,(LARGE(F1106:$F1106,1)-LARGE(F$1099:$F1106,2))-1,""),"")</f>
        <v/>
      </c>
    </row>
    <row r="1107" spans="1:7">
      <c r="B1107">
        <v>1373</v>
      </c>
      <c r="C1107">
        <v>1373</v>
      </c>
      <c r="D1107">
        <v>3</v>
      </c>
      <c r="E1107">
        <v>3000</v>
      </c>
      <c r="F1107" s="80">
        <v>44542</v>
      </c>
      <c r="G1107" t="str">
        <f>IFERROR(IF((F1107-F1106)&gt;1,(LARGE(F1107:$F1107,1)-LARGE(F$1099:$F1107,2))-1,""),"")</f>
        <v/>
      </c>
    </row>
    <row r="1108" spans="1:7">
      <c r="B1108">
        <v>1373</v>
      </c>
      <c r="C1108">
        <v>1373</v>
      </c>
      <c r="D1108">
        <v>1</v>
      </c>
      <c r="E1108">
        <v>1000</v>
      </c>
      <c r="F1108" s="80">
        <v>44543</v>
      </c>
      <c r="G1108" t="str">
        <f>IFERROR(IF((F1108-F1107)&gt;1,(LARGE(F1108:$F1108,1)-LARGE(F$1099:$F1108,2))-1,""),"")</f>
        <v/>
      </c>
    </row>
    <row r="1109" spans="1:7">
      <c r="B1109">
        <v>1373</v>
      </c>
      <c r="C1109">
        <v>1373</v>
      </c>
      <c r="D1109">
        <v>1</v>
      </c>
      <c r="E1109">
        <v>500</v>
      </c>
      <c r="F1109" s="80">
        <v>44545</v>
      </c>
      <c r="G1109">
        <f>IFERROR(IF((F1109-F1108)&gt;1,(LARGE(F1109:$F1109,1)-LARGE(F$1099:$F1109,2))-1,""),"")</f>
        <v>1</v>
      </c>
    </row>
    <row r="1110" spans="1:7">
      <c r="B1110">
        <v>1373</v>
      </c>
      <c r="C1110">
        <v>1373</v>
      </c>
      <c r="D1110">
        <v>1</v>
      </c>
      <c r="E1110">
        <v>600</v>
      </c>
      <c r="F1110" s="80">
        <v>44546</v>
      </c>
      <c r="G1110" t="str">
        <f>IFERROR(IF((F1110-F1109)&gt;1,(LARGE(F1110:$F1110,1)-LARGE(F$1099:$F1110,2))-1,""),"")</f>
        <v/>
      </c>
    </row>
    <row r="1111" spans="1:7">
      <c r="B1111">
        <v>1373</v>
      </c>
      <c r="C1111">
        <v>1373</v>
      </c>
      <c r="D1111">
        <v>1</v>
      </c>
      <c r="E1111">
        <v>500</v>
      </c>
      <c r="F1111" s="80">
        <v>44547</v>
      </c>
      <c r="G1111" t="str">
        <f>IFERROR(IF((F1111-F1110)&gt;1,(LARGE(F1111:$F1111,1)-LARGE(F$1099:$F1111,2))-1,""),"")</f>
        <v/>
      </c>
    </row>
    <row r="1112" spans="1:7">
      <c r="B1112">
        <v>1373</v>
      </c>
      <c r="C1112">
        <v>1373</v>
      </c>
      <c r="D1112">
        <v>1</v>
      </c>
      <c r="E1112">
        <v>90</v>
      </c>
      <c r="F1112" s="80">
        <v>44548</v>
      </c>
      <c r="G1112" t="str">
        <f>IFERROR(IF((F1112-F1111)&gt;1,(LARGE(F1112:$F1112,1)-LARGE(F$1099:$F1112,2))-1,""),"")</f>
        <v/>
      </c>
    </row>
    <row r="1113" spans="1:7">
      <c r="A1113" s="75">
        <f>VLOOKUP(TradeSheet!A76,TypeIDs!B:C,2,FALSE)</f>
        <v>27441</v>
      </c>
      <c r="B1113" t="s">
        <v>47021</v>
      </c>
      <c r="C1113" t="s">
        <v>47022</v>
      </c>
      <c r="D1113" t="s">
        <v>47023</v>
      </c>
      <c r="E1113" t="s">
        <v>47024</v>
      </c>
      <c r="F1113" t="s">
        <v>47035</v>
      </c>
      <c r="G1113" t="s">
        <v>47034</v>
      </c>
    </row>
    <row r="1114" spans="1:7">
      <c r="A1114" s="75" t="str">
        <f>CONCATENATE(SwaggerURL,input075)</f>
        <v>https://esi.evetech.net/latest/markets/10000021/history/?datasource=tranquility&amp;type_id=27441</v>
      </c>
      <c r="B1114">
        <v>1294</v>
      </c>
      <c r="C1114">
        <v>1294</v>
      </c>
      <c r="D1114">
        <v>1</v>
      </c>
      <c r="E1114">
        <v>1000</v>
      </c>
      <c r="F1114" s="80">
        <v>44534</v>
      </c>
      <c r="G1114" t="str">
        <f>IFERROR(IF((F1114-F1113)&gt;1,(LARGE(F1114:$F1114,1)-LARGE(F$1114:$F1114,2))-1,""),"")</f>
        <v/>
      </c>
    </row>
    <row r="1115" spans="1:7">
      <c r="A1115" s="3" t="s">
        <v>47031</v>
      </c>
      <c r="B1115">
        <v>1291</v>
      </c>
      <c r="C1115">
        <v>1291</v>
      </c>
      <c r="D1115">
        <v>4</v>
      </c>
      <c r="E1115">
        <v>5000</v>
      </c>
      <c r="F1115" s="80">
        <v>44535</v>
      </c>
      <c r="G1115" t="str">
        <f>IFERROR(IF((F1115-F1114)&gt;1,(LARGE(F1115:$F1115,1)-LARGE(F$1114:$F1115,2))-1,""),"")</f>
        <v/>
      </c>
    </row>
    <row r="1116" spans="1:7">
      <c r="A1116" s="3" t="e">
        <f>AVERAGE(H1114:H1127)</f>
        <v>#DIV/0!</v>
      </c>
      <c r="B1116">
        <v>1291</v>
      </c>
      <c r="C1116">
        <v>1291</v>
      </c>
      <c r="D1116">
        <v>3</v>
      </c>
      <c r="E1116">
        <v>2144</v>
      </c>
      <c r="F1116" s="80">
        <v>44537</v>
      </c>
      <c r="G1116">
        <f>IFERROR(IF((F1116-F1115)&gt;1,(LARGE(F1116:$F1116,1)-LARGE(F$1114:$F1116,2))-1,""),"")</f>
        <v>1</v>
      </c>
    </row>
    <row r="1117" spans="1:7">
      <c r="A1117" s="3">
        <f>AVERAGE(E1114:E1127)</f>
        <v>5870.5714285714284</v>
      </c>
      <c r="B1117">
        <v>1290</v>
      </c>
      <c r="C1117">
        <v>1290</v>
      </c>
      <c r="D1117">
        <v>8</v>
      </c>
      <c r="E1117">
        <v>12901</v>
      </c>
      <c r="F1117" s="80">
        <v>44538</v>
      </c>
      <c r="G1117" t="str">
        <f>IFERROR(IF((F1117-F1116)&gt;1,(LARGE(F1117:$F1117,1)-LARGE(F$1114:$F1117,2))-1,""),"")</f>
        <v/>
      </c>
    </row>
    <row r="1118" spans="1:7">
      <c r="A1118" s="14" t="s">
        <v>47032</v>
      </c>
      <c r="B1118">
        <v>1289</v>
      </c>
      <c r="C1118">
        <v>1289</v>
      </c>
      <c r="D1118">
        <v>5</v>
      </c>
      <c r="E1118">
        <v>4489</v>
      </c>
      <c r="F1118" s="80">
        <v>44539</v>
      </c>
      <c r="G1118" t="str">
        <f>IFERROR(IF((F1118-F1117)&gt;1,(LARGE(F1118:$F1118,1)-LARGE(F$1114:$F1118,2))-1,""),"")</f>
        <v/>
      </c>
    </row>
    <row r="1119" spans="1:7">
      <c r="A1119" s="14">
        <f>E1127</f>
        <v>2600</v>
      </c>
      <c r="B1119">
        <v>1289</v>
      </c>
      <c r="C1119">
        <v>1280</v>
      </c>
      <c r="D1119">
        <v>9</v>
      </c>
      <c r="E1119">
        <v>11590</v>
      </c>
      <c r="F1119" s="80">
        <v>44540</v>
      </c>
      <c r="G1119" t="str">
        <f>IFERROR(IF((F1119-F1118)&gt;1,(LARGE(F1119:$F1119,1)-LARGE(F$1114:$F1119,2))-1,""),"")</f>
        <v/>
      </c>
    </row>
    <row r="1120" spans="1:7">
      <c r="B1120">
        <v>1290</v>
      </c>
      <c r="C1120">
        <v>1290</v>
      </c>
      <c r="D1120">
        <v>4</v>
      </c>
      <c r="E1120">
        <v>1600</v>
      </c>
      <c r="F1120" s="80">
        <v>44541</v>
      </c>
      <c r="G1120" t="str">
        <f>IFERROR(IF((F1120-F1119)&gt;1,(LARGE(F1120:$F1120,1)-LARGE(F$1114:$F1120,2))-1,""),"")</f>
        <v/>
      </c>
    </row>
    <row r="1121" spans="1:7">
      <c r="B1121">
        <v>1290</v>
      </c>
      <c r="C1121">
        <v>1290</v>
      </c>
      <c r="D1121">
        <v>4</v>
      </c>
      <c r="E1121">
        <v>9400</v>
      </c>
      <c r="F1121" s="80">
        <v>44542</v>
      </c>
      <c r="G1121" t="str">
        <f>IFERROR(IF((F1121-F1120)&gt;1,(LARGE(F1121:$F1121,1)-LARGE(F$1114:$F1121,2))-1,""),"")</f>
        <v/>
      </c>
    </row>
    <row r="1122" spans="1:7">
      <c r="B1122">
        <v>1290</v>
      </c>
      <c r="C1122">
        <v>1290</v>
      </c>
      <c r="D1122">
        <v>3</v>
      </c>
      <c r="E1122">
        <v>10000</v>
      </c>
      <c r="F1122" s="80">
        <v>44543</v>
      </c>
      <c r="G1122" t="str">
        <f>IFERROR(IF((F1122-F1121)&gt;1,(LARGE(F1122:$F1122,1)-LARGE(F$1114:$F1122,2))-1,""),"")</f>
        <v/>
      </c>
    </row>
    <row r="1123" spans="1:7">
      <c r="B1123">
        <v>1300</v>
      </c>
      <c r="C1123">
        <v>1300</v>
      </c>
      <c r="D1123">
        <v>3</v>
      </c>
      <c r="E1123">
        <v>5664</v>
      </c>
      <c r="F1123" s="80">
        <v>44544</v>
      </c>
      <c r="G1123" t="str">
        <f>IFERROR(IF((F1123-F1122)&gt;1,(LARGE(F1123:$F1123,1)-LARGE(F$1114:$F1123,2))-1,""),"")</f>
        <v/>
      </c>
    </row>
    <row r="1124" spans="1:7">
      <c r="B1124">
        <v>1398</v>
      </c>
      <c r="C1124">
        <v>1398</v>
      </c>
      <c r="D1124">
        <v>4</v>
      </c>
      <c r="E1124">
        <v>13110</v>
      </c>
      <c r="F1124" s="80">
        <v>44545</v>
      </c>
      <c r="G1124" t="str">
        <f>IFERROR(IF((F1124-F1123)&gt;1,(LARGE(F1124:$F1124,1)-LARGE(F$1114:$F1124,2))-1,""),"")</f>
        <v/>
      </c>
    </row>
    <row r="1125" spans="1:7">
      <c r="B1125">
        <v>1398</v>
      </c>
      <c r="C1125">
        <v>1398</v>
      </c>
      <c r="D1125">
        <v>1</v>
      </c>
      <c r="E1125">
        <v>600</v>
      </c>
      <c r="F1125" s="80">
        <v>44546</v>
      </c>
      <c r="G1125" t="str">
        <f>IFERROR(IF((F1125-F1124)&gt;1,(LARGE(F1125:$F1125,1)-LARGE(F$1114:$F1125,2))-1,""),"")</f>
        <v/>
      </c>
    </row>
    <row r="1126" spans="1:7">
      <c r="B1126">
        <v>1398</v>
      </c>
      <c r="C1126">
        <v>1398</v>
      </c>
      <c r="D1126">
        <v>2</v>
      </c>
      <c r="E1126">
        <v>2090</v>
      </c>
      <c r="F1126" s="80">
        <v>44548</v>
      </c>
      <c r="G1126">
        <f>IFERROR(IF((F1126-F1125)&gt;1,(LARGE(F1126:$F1126,1)-LARGE(F$1114:$F1126,2))-1,""),"")</f>
        <v>1</v>
      </c>
    </row>
    <row r="1127" spans="1:7">
      <c r="B1127">
        <v>1398</v>
      </c>
      <c r="C1127">
        <v>1398</v>
      </c>
      <c r="D1127">
        <v>2</v>
      </c>
      <c r="E1127">
        <v>2600</v>
      </c>
      <c r="F1127" s="80">
        <v>44549</v>
      </c>
      <c r="G1127" t="str">
        <f>IFERROR(IF((F1127-F1126)&gt;1,(LARGE(F1127:$F1127,1)-LARGE(F$1114:$F1127,2))-1,""),"")</f>
        <v/>
      </c>
    </row>
    <row r="1128" spans="1:7">
      <c r="A1128" s="75">
        <f>VLOOKUP(TradeSheet!A77,TypeIDs!B:C,2,FALSE)</f>
        <v>207</v>
      </c>
      <c r="B1128" t="s">
        <v>47021</v>
      </c>
      <c r="C1128" t="s">
        <v>47022</v>
      </c>
      <c r="D1128" t="s">
        <v>47023</v>
      </c>
      <c r="E1128" t="s">
        <v>47024</v>
      </c>
      <c r="F1128" t="s">
        <v>47035</v>
      </c>
      <c r="G1128" t="s">
        <v>47034</v>
      </c>
    </row>
    <row r="1129" spans="1:7">
      <c r="A1129" s="75" t="str">
        <f>CONCATENATE(SwaggerURL,input076)</f>
        <v>https://esi.evetech.net/latest/markets/10000021/history/?datasource=tranquility&amp;type_id=207</v>
      </c>
      <c r="B1129">
        <v>340.2</v>
      </c>
      <c r="C1129">
        <v>340.2</v>
      </c>
      <c r="D1129">
        <v>2</v>
      </c>
      <c r="E1129">
        <v>7144</v>
      </c>
      <c r="F1129" s="80">
        <v>44520</v>
      </c>
      <c r="G1129" t="str">
        <f>IFERROR(IF((F1129-F1128)&gt;1,(LARGE(F1129:$F1129,1)-LARGE(F$1129:$F1129,2))-1,""),"")</f>
        <v/>
      </c>
    </row>
    <row r="1130" spans="1:7">
      <c r="A1130" s="3" t="s">
        <v>47031</v>
      </c>
      <c r="B1130">
        <v>340.2</v>
      </c>
      <c r="C1130">
        <v>340.2</v>
      </c>
      <c r="D1130">
        <v>1</v>
      </c>
      <c r="E1130">
        <v>1131</v>
      </c>
      <c r="F1130" s="80">
        <v>44521</v>
      </c>
      <c r="G1130" t="str">
        <f>IFERROR(IF((F1130-F1129)&gt;1,(LARGE(F1130:$F1130,1)-LARGE(F$1129:$F1130,2))-1,""),"")</f>
        <v/>
      </c>
    </row>
    <row r="1131" spans="1:7">
      <c r="A1131" s="3" t="e">
        <f>AVERAGE(H1129:H1142)</f>
        <v>#DIV/0!</v>
      </c>
      <c r="B1131">
        <v>399.9</v>
      </c>
      <c r="C1131">
        <v>399.9</v>
      </c>
      <c r="D1131">
        <v>1</v>
      </c>
      <c r="E1131">
        <v>20000</v>
      </c>
      <c r="F1131" s="80">
        <v>44522</v>
      </c>
      <c r="G1131" t="str">
        <f>IFERROR(IF((F1131-F1130)&gt;1,(LARGE(F1131:$F1131,1)-LARGE(F$1129:$F1131,2))-1,""),"")</f>
        <v/>
      </c>
    </row>
    <row r="1132" spans="1:7">
      <c r="A1132" s="3">
        <f>AVERAGE(E1129:E1142)</f>
        <v>12331.642857142857</v>
      </c>
      <c r="B1132">
        <v>327.3</v>
      </c>
      <c r="C1132">
        <v>327.3</v>
      </c>
      <c r="D1132">
        <v>2</v>
      </c>
      <c r="E1132">
        <v>20034</v>
      </c>
      <c r="F1132" s="80">
        <v>44524</v>
      </c>
      <c r="G1132">
        <f>IFERROR(IF((F1132-F1131)&gt;1,(LARGE(F1132:$F1132,1)-LARGE(F$1129:$F1132,2))-1,""),"")</f>
        <v>1</v>
      </c>
    </row>
    <row r="1133" spans="1:7">
      <c r="A1133" s="14" t="s">
        <v>47032</v>
      </c>
      <c r="B1133">
        <v>399.8</v>
      </c>
      <c r="C1133">
        <v>399.8</v>
      </c>
      <c r="D1133">
        <v>1</v>
      </c>
      <c r="E1133">
        <v>2759</v>
      </c>
      <c r="F1133" s="80">
        <v>44525</v>
      </c>
      <c r="G1133" t="str">
        <f>IFERROR(IF((F1133-F1132)&gt;1,(LARGE(F1133:$F1133,1)-LARGE(F$1129:$F1133,2))-1,""),"")</f>
        <v/>
      </c>
    </row>
    <row r="1134" spans="1:7">
      <c r="A1134" s="14">
        <f>E1142</f>
        <v>4975</v>
      </c>
      <c r="B1134">
        <v>399.8</v>
      </c>
      <c r="C1134">
        <v>399.8</v>
      </c>
      <c r="D1134">
        <v>4</v>
      </c>
      <c r="E1134">
        <v>25000</v>
      </c>
      <c r="F1134" s="80">
        <v>44527</v>
      </c>
      <c r="G1134">
        <f>IFERROR(IF((F1134-F1133)&gt;1,(LARGE(F1134:$F1134,1)-LARGE(F$1129:$F1134,2))-1,""),"")</f>
        <v>1</v>
      </c>
    </row>
    <row r="1135" spans="1:7">
      <c r="B1135">
        <v>399.8</v>
      </c>
      <c r="C1135">
        <v>399.8</v>
      </c>
      <c r="D1135">
        <v>3</v>
      </c>
      <c r="E1135">
        <v>5500</v>
      </c>
      <c r="F1135" s="80">
        <v>44528</v>
      </c>
      <c r="G1135" t="str">
        <f>IFERROR(IF((F1135-F1134)&gt;1,(LARGE(F1135:$F1135,1)-LARGE(F$1129:$F1135,2))-1,""),"")</f>
        <v/>
      </c>
    </row>
    <row r="1136" spans="1:7">
      <c r="B1136">
        <v>380.1</v>
      </c>
      <c r="C1136">
        <v>380.1</v>
      </c>
      <c r="D1136">
        <v>2</v>
      </c>
      <c r="E1136">
        <v>16000</v>
      </c>
      <c r="F1136" s="80">
        <v>44531</v>
      </c>
      <c r="G1136">
        <f>IFERROR(IF((F1136-F1135)&gt;1,(LARGE(F1136:$F1136,1)-LARGE(F$1129:$F1136,2))-1,""),"")</f>
        <v>2</v>
      </c>
    </row>
    <row r="1137" spans="1:7">
      <c r="B1137">
        <v>350</v>
      </c>
      <c r="C1137">
        <v>350</v>
      </c>
      <c r="D1137">
        <v>1</v>
      </c>
      <c r="E1137">
        <v>10000</v>
      </c>
      <c r="F1137" s="80">
        <v>44532</v>
      </c>
      <c r="G1137" t="str">
        <f>IFERROR(IF((F1137-F1136)&gt;1,(LARGE(F1137:$F1137,1)-LARGE(F$1129:$F1137,2))-1,""),"")</f>
        <v/>
      </c>
    </row>
    <row r="1138" spans="1:7">
      <c r="B1138">
        <v>380</v>
      </c>
      <c r="C1138">
        <v>380</v>
      </c>
      <c r="D1138">
        <v>1</v>
      </c>
      <c r="E1138">
        <v>30000</v>
      </c>
      <c r="F1138" s="80">
        <v>44533</v>
      </c>
      <c r="G1138" t="str">
        <f>IFERROR(IF((F1138-F1137)&gt;1,(LARGE(F1138:$F1138,1)-LARGE(F$1129:$F1138,2))-1,""),"")</f>
        <v/>
      </c>
    </row>
    <row r="1139" spans="1:7">
      <c r="B1139">
        <v>377</v>
      </c>
      <c r="C1139">
        <v>377</v>
      </c>
      <c r="D1139">
        <v>4</v>
      </c>
      <c r="E1139">
        <v>16354</v>
      </c>
      <c r="F1139" s="80">
        <v>44537</v>
      </c>
      <c r="G1139">
        <f>IFERROR(IF((F1139-F1138)&gt;1,(LARGE(F1139:$F1139,1)-LARGE(F$1129:$F1139,2))-1,""),"")</f>
        <v>3</v>
      </c>
    </row>
    <row r="1140" spans="1:7">
      <c r="B1140">
        <v>377</v>
      </c>
      <c r="C1140">
        <v>377</v>
      </c>
      <c r="D1140">
        <v>1</v>
      </c>
      <c r="E1140">
        <v>2000</v>
      </c>
      <c r="F1140" s="80">
        <v>44538</v>
      </c>
      <c r="G1140" t="str">
        <f>IFERROR(IF((F1140-F1139)&gt;1,(LARGE(F1140:$F1140,1)-LARGE(F$1129:$F1140,2))-1,""),"")</f>
        <v/>
      </c>
    </row>
    <row r="1141" spans="1:7">
      <c r="B1141">
        <v>377</v>
      </c>
      <c r="C1141">
        <v>377</v>
      </c>
      <c r="D1141">
        <v>1</v>
      </c>
      <c r="E1141">
        <v>11746</v>
      </c>
      <c r="F1141" s="80">
        <v>44540</v>
      </c>
      <c r="G1141">
        <f>IFERROR(IF((F1141-F1140)&gt;1,(LARGE(F1141:$F1141,1)-LARGE(F$1129:$F1141,2))-1,""),"")</f>
        <v>1</v>
      </c>
    </row>
    <row r="1142" spans="1:7">
      <c r="B1142">
        <v>370</v>
      </c>
      <c r="C1142">
        <v>370</v>
      </c>
      <c r="D1142">
        <v>2</v>
      </c>
      <c r="E1142">
        <v>4975</v>
      </c>
      <c r="F1142" s="80">
        <v>44546</v>
      </c>
      <c r="G1142">
        <f>IFERROR(IF((F1142-F1141)&gt;1,(LARGE(F1142:$F1142,1)-LARGE(F$1129:$F1142,2))-1,""),"")</f>
        <v>5</v>
      </c>
    </row>
    <row r="1143" spans="1:7">
      <c r="A1143" s="75">
        <f>VLOOKUP(TradeSheet!A78,TypeIDs!B:C,2,FALSE)</f>
        <v>24499</v>
      </c>
      <c r="B1143" t="s">
        <v>47021</v>
      </c>
      <c r="C1143" t="s">
        <v>47022</v>
      </c>
      <c r="D1143" t="s">
        <v>47023</v>
      </c>
      <c r="E1143" t="s">
        <v>47024</v>
      </c>
      <c r="F1143" t="s">
        <v>47035</v>
      </c>
      <c r="G1143" t="s">
        <v>47034</v>
      </c>
    </row>
    <row r="1144" spans="1:7">
      <c r="A1144" s="75" t="str">
        <f>CONCATENATE(SwaggerURL,input077)</f>
        <v>https://esi.evetech.net/latest/markets/10000021/history/?datasource=tranquility&amp;type_id=24499</v>
      </c>
      <c r="B1144">
        <v>194.9</v>
      </c>
      <c r="C1144">
        <v>194.9</v>
      </c>
      <c r="D1144">
        <v>6</v>
      </c>
      <c r="E1144">
        <v>102572</v>
      </c>
      <c r="F1144" s="80">
        <v>44534</v>
      </c>
      <c r="G1144" t="str">
        <f>IFERROR(IF((F1144-F1143)&gt;1,(LARGE(F1144:$F1144,1)-LARGE(F$1144:$F1144,2))-1,""),"")</f>
        <v/>
      </c>
    </row>
    <row r="1145" spans="1:7">
      <c r="A1145" s="3" t="s">
        <v>47031</v>
      </c>
      <c r="B1145">
        <v>194.7</v>
      </c>
      <c r="C1145">
        <v>194.7</v>
      </c>
      <c r="D1145">
        <v>1</v>
      </c>
      <c r="E1145">
        <v>1000</v>
      </c>
      <c r="F1145" s="80">
        <v>44535</v>
      </c>
      <c r="G1145" t="str">
        <f>IFERROR(IF((F1145-F1144)&gt;1,(LARGE(F1145:$F1145,1)-LARGE(F$1144:$F1145,2))-1,""),"")</f>
        <v/>
      </c>
    </row>
    <row r="1146" spans="1:7">
      <c r="A1146" s="3" t="e">
        <f>AVERAGE(H1144:H1157)</f>
        <v>#DIV/0!</v>
      </c>
      <c r="B1146">
        <v>194.65</v>
      </c>
      <c r="C1146">
        <v>194.6</v>
      </c>
      <c r="D1146">
        <v>2</v>
      </c>
      <c r="E1146">
        <v>1000</v>
      </c>
      <c r="F1146" s="80">
        <v>44536</v>
      </c>
      <c r="G1146" t="str">
        <f>IFERROR(IF((F1146-F1145)&gt;1,(LARGE(F1146:$F1146,1)-LARGE(F$1144:$F1146,2))-1,""),"")</f>
        <v/>
      </c>
    </row>
    <row r="1147" spans="1:7">
      <c r="A1147" s="3">
        <f>AVERAGE(E1144:E1157)</f>
        <v>12066.785714285714</v>
      </c>
      <c r="B1147">
        <v>194</v>
      </c>
      <c r="C1147">
        <v>194</v>
      </c>
      <c r="D1147">
        <v>6</v>
      </c>
      <c r="E1147">
        <v>4093</v>
      </c>
      <c r="F1147" s="80">
        <v>44537</v>
      </c>
      <c r="G1147" t="str">
        <f>IFERROR(IF((F1147-F1146)&gt;1,(LARGE(F1147:$F1147,1)-LARGE(F$1144:$F1147,2))-1,""),"")</f>
        <v/>
      </c>
    </row>
    <row r="1148" spans="1:7">
      <c r="A1148" s="14" t="s">
        <v>47032</v>
      </c>
      <c r="B1148">
        <v>189.8</v>
      </c>
      <c r="C1148">
        <v>189.8</v>
      </c>
      <c r="D1148">
        <v>2</v>
      </c>
      <c r="E1148">
        <v>1030</v>
      </c>
      <c r="F1148" s="80">
        <v>44538</v>
      </c>
      <c r="G1148" t="str">
        <f>IFERROR(IF((F1148-F1147)&gt;1,(LARGE(F1148:$F1148,1)-LARGE(F$1144:$F1148,2))-1,""),"")</f>
        <v/>
      </c>
    </row>
    <row r="1149" spans="1:7">
      <c r="A1149" s="14">
        <f>E1157</f>
        <v>1000</v>
      </c>
      <c r="B1149">
        <v>185</v>
      </c>
      <c r="C1149">
        <v>185</v>
      </c>
      <c r="D1149">
        <v>2</v>
      </c>
      <c r="E1149">
        <v>1748</v>
      </c>
      <c r="F1149" s="80">
        <v>44539</v>
      </c>
      <c r="G1149" t="str">
        <f>IFERROR(IF((F1149-F1148)&gt;1,(LARGE(F1149:$F1149,1)-LARGE(F$1144:$F1149,2))-1,""),"")</f>
        <v/>
      </c>
    </row>
    <row r="1150" spans="1:7">
      <c r="B1150">
        <v>185</v>
      </c>
      <c r="C1150">
        <v>185</v>
      </c>
      <c r="D1150">
        <v>2</v>
      </c>
      <c r="E1150">
        <v>2052</v>
      </c>
      <c r="F1150" s="80">
        <v>44540</v>
      </c>
      <c r="G1150" t="str">
        <f>IFERROR(IF((F1150-F1149)&gt;1,(LARGE(F1150:$F1150,1)-LARGE(F$1144:$F1150,2))-1,""),"")</f>
        <v/>
      </c>
    </row>
    <row r="1151" spans="1:7">
      <c r="B1151">
        <v>180</v>
      </c>
      <c r="C1151">
        <v>180</v>
      </c>
      <c r="D1151">
        <v>1</v>
      </c>
      <c r="E1151">
        <v>833</v>
      </c>
      <c r="F1151" s="80">
        <v>44541</v>
      </c>
      <c r="G1151" t="str">
        <f>IFERROR(IF((F1151-F1150)&gt;1,(LARGE(F1151:$F1151,1)-LARGE(F$1144:$F1151,2))-1,""),"")</f>
        <v/>
      </c>
    </row>
    <row r="1152" spans="1:7">
      <c r="B1152">
        <v>180</v>
      </c>
      <c r="C1152">
        <v>180</v>
      </c>
      <c r="D1152">
        <v>2</v>
      </c>
      <c r="E1152">
        <v>2200</v>
      </c>
      <c r="F1152" s="80">
        <v>44542</v>
      </c>
      <c r="G1152" t="str">
        <f>IFERROR(IF((F1152-F1151)&gt;1,(LARGE(F1152:$F1152,1)-LARGE(F$1144:$F1152,2))-1,""),"")</f>
        <v/>
      </c>
    </row>
    <row r="1153" spans="1:7">
      <c r="B1153">
        <v>180</v>
      </c>
      <c r="C1153">
        <v>180</v>
      </c>
      <c r="D1153">
        <v>1</v>
      </c>
      <c r="E1153">
        <v>500</v>
      </c>
      <c r="F1153" s="80">
        <v>44543</v>
      </c>
      <c r="G1153" t="str">
        <f>IFERROR(IF((F1153-F1152)&gt;1,(LARGE(F1153:$F1153,1)-LARGE(F$1144:$F1153,2))-1,""),"")</f>
        <v/>
      </c>
    </row>
    <row r="1154" spans="1:7">
      <c r="B1154">
        <v>189.9</v>
      </c>
      <c r="C1154">
        <v>185</v>
      </c>
      <c r="D1154">
        <v>5</v>
      </c>
      <c r="E1154">
        <v>8534</v>
      </c>
      <c r="F1154" s="80">
        <v>44544</v>
      </c>
      <c r="G1154" t="str">
        <f>IFERROR(IF((F1154-F1153)&gt;1,(LARGE(F1154:$F1154,1)-LARGE(F$1144:$F1154,2))-1,""),"")</f>
        <v/>
      </c>
    </row>
    <row r="1155" spans="1:7">
      <c r="B1155">
        <v>194.7</v>
      </c>
      <c r="C1155">
        <v>194.7</v>
      </c>
      <c r="D1155">
        <v>3</v>
      </c>
      <c r="E1155">
        <v>39573</v>
      </c>
      <c r="F1155" s="80">
        <v>44545</v>
      </c>
      <c r="G1155" t="str">
        <f>IFERROR(IF((F1155-F1154)&gt;1,(LARGE(F1155:$F1155,1)-LARGE(F$1144:$F1155,2))-1,""),"")</f>
        <v/>
      </c>
    </row>
    <row r="1156" spans="1:7">
      <c r="B1156">
        <v>190</v>
      </c>
      <c r="C1156">
        <v>190</v>
      </c>
      <c r="D1156">
        <v>3</v>
      </c>
      <c r="E1156">
        <v>2800</v>
      </c>
      <c r="F1156" s="80">
        <v>44546</v>
      </c>
      <c r="G1156" t="str">
        <f>IFERROR(IF((F1156-F1155)&gt;1,(LARGE(F1156:$F1156,1)-LARGE(F$1144:$F1156,2))-1,""),"")</f>
        <v/>
      </c>
    </row>
    <row r="1157" spans="1:7">
      <c r="B1157">
        <v>190</v>
      </c>
      <c r="C1157">
        <v>190</v>
      </c>
      <c r="D1157">
        <v>1</v>
      </c>
      <c r="E1157">
        <v>1000</v>
      </c>
      <c r="F1157" s="80">
        <v>44547</v>
      </c>
      <c r="G1157" t="str">
        <f>IFERROR(IF((F1157-F1156)&gt;1,(LARGE(F1157:$F1157,1)-LARGE(F$1144:$F1157,2))-1,""),"")</f>
        <v/>
      </c>
    </row>
    <row r="1158" spans="1:7">
      <c r="A1158" s="75">
        <f>VLOOKUP(TradeSheet!A79,TypeIDs!B:C,2,FALSE)</f>
        <v>2613</v>
      </c>
      <c r="B1158" t="s">
        <v>47021</v>
      </c>
      <c r="C1158" t="s">
        <v>47022</v>
      </c>
      <c r="D1158" t="s">
        <v>47023</v>
      </c>
      <c r="E1158" t="s">
        <v>47024</v>
      </c>
      <c r="F1158" t="s">
        <v>47035</v>
      </c>
      <c r="G1158" t="s">
        <v>47034</v>
      </c>
    </row>
    <row r="1159" spans="1:7">
      <c r="A1159" s="75" t="str">
        <f>CONCATENATE(SwaggerURL,input078)</f>
        <v>https://esi.evetech.net/latest/markets/10000021/history/?datasource=tranquility&amp;type_id=2613</v>
      </c>
      <c r="B1159">
        <v>134</v>
      </c>
      <c r="C1159">
        <v>134</v>
      </c>
      <c r="D1159">
        <v>2</v>
      </c>
      <c r="E1159">
        <v>1496</v>
      </c>
      <c r="F1159" s="80">
        <v>44535</v>
      </c>
      <c r="G1159" t="str">
        <f>IFERROR(IF((F1159-F1158)&gt;1,(LARGE(F1159:$F1159,1)-LARGE(F$1159:$F1159,2))-1,""),"")</f>
        <v/>
      </c>
    </row>
    <row r="1160" spans="1:7">
      <c r="A1160" s="3" t="s">
        <v>47031</v>
      </c>
      <c r="B1160">
        <v>135</v>
      </c>
      <c r="C1160">
        <v>135</v>
      </c>
      <c r="D1160">
        <v>3</v>
      </c>
      <c r="E1160">
        <v>1000</v>
      </c>
      <c r="F1160" s="80">
        <v>44536</v>
      </c>
      <c r="G1160" t="str">
        <f>IFERROR(IF((F1160-F1159)&gt;1,(LARGE(F1160:$F1160,1)-LARGE(F$1159:$F1160,2))-1,""),"")</f>
        <v/>
      </c>
    </row>
    <row r="1161" spans="1:7">
      <c r="A1161" s="3" t="e">
        <f>AVERAGE(H1159:H1172)</f>
        <v>#DIV/0!</v>
      </c>
      <c r="B1161">
        <v>130</v>
      </c>
      <c r="C1161">
        <v>130</v>
      </c>
      <c r="D1161">
        <v>1</v>
      </c>
      <c r="E1161">
        <v>255</v>
      </c>
      <c r="F1161" s="80">
        <v>44537</v>
      </c>
      <c r="G1161" t="str">
        <f>IFERROR(IF((F1161-F1160)&gt;1,(LARGE(F1161:$F1161,1)-LARGE(F$1159:$F1161,2))-1,""),"")</f>
        <v/>
      </c>
    </row>
    <row r="1162" spans="1:7">
      <c r="A1162" s="3">
        <f>AVERAGE(E1159:E1172)</f>
        <v>8735.5714285714294</v>
      </c>
      <c r="B1162">
        <v>130</v>
      </c>
      <c r="C1162">
        <v>130</v>
      </c>
      <c r="D1162">
        <v>3</v>
      </c>
      <c r="E1162">
        <v>2570</v>
      </c>
      <c r="F1162" s="80">
        <v>44538</v>
      </c>
      <c r="G1162" t="str">
        <f>IFERROR(IF((F1162-F1161)&gt;1,(LARGE(F1162:$F1162,1)-LARGE(F$1159:$F1162,2))-1,""),"")</f>
        <v/>
      </c>
    </row>
    <row r="1163" spans="1:7">
      <c r="A1163" s="14" t="s">
        <v>47032</v>
      </c>
      <c r="B1163">
        <v>125</v>
      </c>
      <c r="C1163">
        <v>125</v>
      </c>
      <c r="D1163">
        <v>4</v>
      </c>
      <c r="E1163">
        <v>4683</v>
      </c>
      <c r="F1163" s="80">
        <v>44539</v>
      </c>
      <c r="G1163" t="str">
        <f>IFERROR(IF((F1163-F1162)&gt;1,(LARGE(F1163:$F1163,1)-LARGE(F$1159:$F1163,2))-1,""),"")</f>
        <v/>
      </c>
    </row>
    <row r="1164" spans="1:7">
      <c r="A1164" s="14">
        <f>E1172</f>
        <v>14000</v>
      </c>
      <c r="B1164">
        <v>125</v>
      </c>
      <c r="C1164">
        <v>125</v>
      </c>
      <c r="D1164">
        <v>5</v>
      </c>
      <c r="E1164">
        <v>7324</v>
      </c>
      <c r="F1164" s="80">
        <v>44540</v>
      </c>
      <c r="G1164" t="str">
        <f>IFERROR(IF((F1164-F1163)&gt;1,(LARGE(F1164:$F1164,1)-LARGE(F$1159:$F1164,2))-1,""),"")</f>
        <v/>
      </c>
    </row>
    <row r="1165" spans="1:7">
      <c r="B1165">
        <v>129.9</v>
      </c>
      <c r="C1165">
        <v>129.9</v>
      </c>
      <c r="D1165">
        <v>1</v>
      </c>
      <c r="E1165">
        <v>1496</v>
      </c>
      <c r="F1165" s="80">
        <v>44541</v>
      </c>
      <c r="G1165" t="str">
        <f>IFERROR(IF((F1165-F1164)&gt;1,(LARGE(F1165:$F1165,1)-LARGE(F$1159:$F1165,2))-1,""),"")</f>
        <v/>
      </c>
    </row>
    <row r="1166" spans="1:7">
      <c r="B1166">
        <v>129.9</v>
      </c>
      <c r="C1166">
        <v>129.9</v>
      </c>
      <c r="D1166">
        <v>6</v>
      </c>
      <c r="E1166">
        <v>15300</v>
      </c>
      <c r="F1166" s="80">
        <v>44542</v>
      </c>
      <c r="G1166" t="str">
        <f>IFERROR(IF((F1166-F1165)&gt;1,(LARGE(F1166:$F1166,1)-LARGE(F$1159:$F1166,2))-1,""),"")</f>
        <v/>
      </c>
    </row>
    <row r="1167" spans="1:7">
      <c r="B1167">
        <v>135</v>
      </c>
      <c r="C1167">
        <v>135</v>
      </c>
      <c r="D1167">
        <v>2</v>
      </c>
      <c r="E1167">
        <v>15600</v>
      </c>
      <c r="F1167" s="80">
        <v>44543</v>
      </c>
      <c r="G1167" t="str">
        <f>IFERROR(IF((F1167-F1166)&gt;1,(LARGE(F1167:$F1167,1)-LARGE(F$1159:$F1167,2))-1,""),"")</f>
        <v/>
      </c>
    </row>
    <row r="1168" spans="1:7">
      <c r="B1168">
        <v>139.5</v>
      </c>
      <c r="C1168">
        <v>139.5</v>
      </c>
      <c r="D1168">
        <v>10</v>
      </c>
      <c r="E1168">
        <v>29624</v>
      </c>
      <c r="F1168" s="80">
        <v>44544</v>
      </c>
      <c r="G1168" t="str">
        <f>IFERROR(IF((F1168-F1167)&gt;1,(LARGE(F1168:$F1168,1)-LARGE(F$1159:$F1168,2))-1,""),"")</f>
        <v/>
      </c>
    </row>
    <row r="1169" spans="1:7">
      <c r="B1169">
        <v>139.5</v>
      </c>
      <c r="C1169">
        <v>139.5</v>
      </c>
      <c r="D1169">
        <v>2</v>
      </c>
      <c r="E1169">
        <v>12600</v>
      </c>
      <c r="F1169" s="80">
        <v>44545</v>
      </c>
      <c r="G1169" t="str">
        <f>IFERROR(IF((F1169-F1168)&gt;1,(LARGE(F1169:$F1169,1)-LARGE(F$1159:$F1169,2))-1,""),"")</f>
        <v/>
      </c>
    </row>
    <row r="1170" spans="1:7">
      <c r="B1170">
        <v>139.5</v>
      </c>
      <c r="C1170">
        <v>139.5</v>
      </c>
      <c r="D1170">
        <v>8</v>
      </c>
      <c r="E1170">
        <v>3762</v>
      </c>
      <c r="F1170" s="80">
        <v>44546</v>
      </c>
      <c r="G1170" t="str">
        <f>IFERROR(IF((F1170-F1169)&gt;1,(LARGE(F1170:$F1170,1)-LARGE(F$1159:$F1170,2))-1,""),"")</f>
        <v/>
      </c>
    </row>
    <row r="1171" spans="1:7">
      <c r="B1171">
        <v>139.5</v>
      </c>
      <c r="C1171">
        <v>139.5</v>
      </c>
      <c r="D1171">
        <v>2</v>
      </c>
      <c r="E1171">
        <v>12588</v>
      </c>
      <c r="F1171" s="80">
        <v>44547</v>
      </c>
      <c r="G1171" t="str">
        <f>IFERROR(IF((F1171-F1170)&gt;1,(LARGE(F1171:$F1171,1)-LARGE(F$1159:$F1171,2))-1,""),"")</f>
        <v/>
      </c>
    </row>
    <row r="1172" spans="1:7">
      <c r="B1172">
        <v>139.5</v>
      </c>
      <c r="C1172">
        <v>139.5</v>
      </c>
      <c r="D1172">
        <v>3</v>
      </c>
      <c r="E1172">
        <v>14000</v>
      </c>
      <c r="F1172" s="80">
        <v>44548</v>
      </c>
      <c r="G1172" t="str">
        <f>IFERROR(IF((F1172-F1171)&gt;1,(LARGE(F1172:$F1172,1)-LARGE(F$1159:$F1172,2))-1,""),"")</f>
        <v/>
      </c>
    </row>
    <row r="1173" spans="1:7">
      <c r="A1173" s="75">
        <f>VLOOKUP(TradeSheet!A80,TypeIDs!B:C,2,FALSE)</f>
        <v>24497</v>
      </c>
      <c r="B1173" t="s">
        <v>47021</v>
      </c>
      <c r="C1173" t="s">
        <v>47022</v>
      </c>
      <c r="D1173" t="s">
        <v>47023</v>
      </c>
      <c r="E1173" t="s">
        <v>47024</v>
      </c>
      <c r="F1173" t="s">
        <v>47035</v>
      </c>
      <c r="G1173" t="s">
        <v>47034</v>
      </c>
    </row>
    <row r="1174" spans="1:7">
      <c r="A1174" s="75" t="str">
        <f>CONCATENATE(SwaggerURL,input079)</f>
        <v>https://esi.evetech.net/latest/markets/10000021/history/?datasource=tranquility&amp;type_id=24497</v>
      </c>
      <c r="B1174">
        <v>127.9</v>
      </c>
      <c r="C1174">
        <v>127.9</v>
      </c>
      <c r="D1174">
        <v>1</v>
      </c>
      <c r="E1174">
        <v>2159</v>
      </c>
      <c r="F1174" s="80">
        <v>44532</v>
      </c>
      <c r="G1174" t="str">
        <f>IFERROR(IF((F1174-F1173)&gt;1,(LARGE(F1174:$F1174,1)-LARGE(F$1174:$F1174,2))-1,""),"")</f>
        <v/>
      </c>
    </row>
    <row r="1175" spans="1:7">
      <c r="A1175" s="3" t="s">
        <v>47031</v>
      </c>
      <c r="B1175">
        <v>127.9</v>
      </c>
      <c r="C1175">
        <v>127.9</v>
      </c>
      <c r="D1175">
        <v>1</v>
      </c>
      <c r="E1175">
        <v>1000</v>
      </c>
      <c r="F1175" s="80">
        <v>44533</v>
      </c>
      <c r="G1175" t="str">
        <f>IFERROR(IF((F1175-F1174)&gt;1,(LARGE(F1175:$F1175,1)-LARGE(F$1174:$F1175,2))-1,""),"")</f>
        <v/>
      </c>
    </row>
    <row r="1176" spans="1:7">
      <c r="A1176" s="3" t="e">
        <f>AVERAGE(H1174:H1187)</f>
        <v>#DIV/0!</v>
      </c>
      <c r="B1176">
        <v>127.9</v>
      </c>
      <c r="C1176">
        <v>127.9</v>
      </c>
      <c r="D1176">
        <v>4</v>
      </c>
      <c r="E1176">
        <v>2383</v>
      </c>
      <c r="F1176" s="80">
        <v>44534</v>
      </c>
      <c r="G1176" t="str">
        <f>IFERROR(IF((F1176-F1175)&gt;1,(LARGE(F1176:$F1176,1)-LARGE(F$1174:$F1176,2))-1,""),"")</f>
        <v/>
      </c>
    </row>
    <row r="1177" spans="1:7">
      <c r="A1177" s="3">
        <f>AVERAGE(E1174:E1187)</f>
        <v>3789.6428571428573</v>
      </c>
      <c r="B1177">
        <v>127.9</v>
      </c>
      <c r="C1177">
        <v>127.9</v>
      </c>
      <c r="D1177">
        <v>1</v>
      </c>
      <c r="E1177">
        <v>292</v>
      </c>
      <c r="F1177" s="80">
        <v>44535</v>
      </c>
      <c r="G1177" t="str">
        <f>IFERROR(IF((F1177-F1176)&gt;1,(LARGE(F1177:$F1177,1)-LARGE(F$1174:$F1177,2))-1,""),"")</f>
        <v/>
      </c>
    </row>
    <row r="1178" spans="1:7">
      <c r="A1178" s="14" t="s">
        <v>47032</v>
      </c>
      <c r="B1178">
        <v>127.9</v>
      </c>
      <c r="C1178">
        <v>127.9</v>
      </c>
      <c r="D1178">
        <v>1</v>
      </c>
      <c r="E1178">
        <v>500</v>
      </c>
      <c r="F1178" s="80">
        <v>44536</v>
      </c>
      <c r="G1178" t="str">
        <f>IFERROR(IF((F1178-F1177)&gt;1,(LARGE(F1178:$F1178,1)-LARGE(F$1174:$F1178,2))-1,""),"")</f>
        <v/>
      </c>
    </row>
    <row r="1179" spans="1:7">
      <c r="A1179" s="14">
        <f>E1187</f>
        <v>1419</v>
      </c>
      <c r="B1179">
        <v>127.5</v>
      </c>
      <c r="C1179">
        <v>127.5</v>
      </c>
      <c r="D1179">
        <v>2</v>
      </c>
      <c r="E1179">
        <v>1970</v>
      </c>
      <c r="F1179" s="80">
        <v>44537</v>
      </c>
      <c r="G1179" t="str">
        <f>IFERROR(IF((F1179-F1178)&gt;1,(LARGE(F1179:$F1179,1)-LARGE(F$1174:$F1179,2))-1,""),"")</f>
        <v/>
      </c>
    </row>
    <row r="1180" spans="1:7">
      <c r="B1180">
        <v>127.5</v>
      </c>
      <c r="C1180">
        <v>127.5</v>
      </c>
      <c r="D1180">
        <v>3</v>
      </c>
      <c r="E1180">
        <v>3293</v>
      </c>
      <c r="F1180" s="80">
        <v>44538</v>
      </c>
      <c r="G1180" t="str">
        <f>IFERROR(IF((F1180-F1179)&gt;1,(LARGE(F1180:$F1180,1)-LARGE(F$1174:$F1180,2))-1,""),"")</f>
        <v/>
      </c>
    </row>
    <row r="1181" spans="1:7">
      <c r="B1181">
        <v>127.5</v>
      </c>
      <c r="C1181">
        <v>127.5</v>
      </c>
      <c r="D1181">
        <v>5</v>
      </c>
      <c r="E1181">
        <v>32954</v>
      </c>
      <c r="F1181" s="80">
        <v>44539</v>
      </c>
      <c r="G1181" t="str">
        <f>IFERROR(IF((F1181-F1180)&gt;1,(LARGE(F1181:$F1181,1)-LARGE(F$1174:$F1181,2))-1,""),"")</f>
        <v/>
      </c>
    </row>
    <row r="1182" spans="1:7">
      <c r="B1182">
        <v>127.5</v>
      </c>
      <c r="C1182">
        <v>127.5</v>
      </c>
      <c r="D1182">
        <v>2</v>
      </c>
      <c r="E1182">
        <v>1240</v>
      </c>
      <c r="F1182" s="80">
        <v>44541</v>
      </c>
      <c r="G1182">
        <f>IFERROR(IF((F1182-F1181)&gt;1,(LARGE(F1182:$F1182,1)-LARGE(F$1174:$F1182,2))-1,""),"")</f>
        <v>1</v>
      </c>
    </row>
    <row r="1183" spans="1:7">
      <c r="B1183">
        <v>127.5</v>
      </c>
      <c r="C1183">
        <v>127.5</v>
      </c>
      <c r="D1183">
        <v>2</v>
      </c>
      <c r="E1183">
        <v>480</v>
      </c>
      <c r="F1183" s="80">
        <v>44544</v>
      </c>
      <c r="G1183">
        <f>IFERROR(IF((F1183-F1182)&gt;1,(LARGE(F1183:$F1183,1)-LARGE(F$1174:$F1183,2))-1,""),"")</f>
        <v>2</v>
      </c>
    </row>
    <row r="1184" spans="1:7">
      <c r="B1184">
        <v>127.5</v>
      </c>
      <c r="C1184">
        <v>127.5</v>
      </c>
      <c r="D1184">
        <v>1</v>
      </c>
      <c r="E1184">
        <v>600</v>
      </c>
      <c r="F1184" s="80">
        <v>44545</v>
      </c>
      <c r="G1184" t="str">
        <f>IFERROR(IF((F1184-F1183)&gt;1,(LARGE(F1184:$F1184,1)-LARGE(F$1174:$F1184,2))-1,""),"")</f>
        <v/>
      </c>
    </row>
    <row r="1185" spans="1:7">
      <c r="B1185">
        <v>127.5</v>
      </c>
      <c r="C1185">
        <v>127.5</v>
      </c>
      <c r="D1185">
        <v>4</v>
      </c>
      <c r="E1185">
        <v>2265</v>
      </c>
      <c r="F1185" s="80">
        <v>44546</v>
      </c>
      <c r="G1185" t="str">
        <f>IFERROR(IF((F1185-F1184)&gt;1,(LARGE(F1185:$F1185,1)-LARGE(F$1174:$F1185,2))-1,""),"")</f>
        <v/>
      </c>
    </row>
    <row r="1186" spans="1:7">
      <c r="B1186">
        <v>127.5</v>
      </c>
      <c r="C1186">
        <v>127.5</v>
      </c>
      <c r="D1186">
        <v>3</v>
      </c>
      <c r="E1186">
        <v>2500</v>
      </c>
      <c r="F1186" s="80">
        <v>44548</v>
      </c>
      <c r="G1186">
        <f>IFERROR(IF((F1186-F1185)&gt;1,(LARGE(F1186:$F1186,1)-LARGE(F$1174:$F1186,2))-1,""),"")</f>
        <v>1</v>
      </c>
    </row>
    <row r="1187" spans="1:7">
      <c r="B1187">
        <v>127.5</v>
      </c>
      <c r="C1187">
        <v>127.5</v>
      </c>
      <c r="D1187">
        <v>3</v>
      </c>
      <c r="E1187">
        <v>1419</v>
      </c>
      <c r="F1187" s="80">
        <v>44549</v>
      </c>
      <c r="G1187" t="str">
        <f>IFERROR(IF((F1187-F1186)&gt;1,(LARGE(F1187:$F1187,1)-LARGE(F$1174:$F1187,2))-1,""),"")</f>
        <v/>
      </c>
    </row>
    <row r="1188" spans="1:7">
      <c r="A1188" s="75">
        <f>VLOOKUP(TradeSheet!A81,TypeIDs!B:C,2,FALSE)</f>
        <v>24495</v>
      </c>
      <c r="B1188" t="s">
        <v>47021</v>
      </c>
      <c r="C1188" t="s">
        <v>47022</v>
      </c>
      <c r="D1188" t="s">
        <v>47023</v>
      </c>
      <c r="E1188" t="s">
        <v>47024</v>
      </c>
      <c r="F1188" t="s">
        <v>47035</v>
      </c>
      <c r="G1188" t="s">
        <v>47034</v>
      </c>
    </row>
    <row r="1189" spans="1:7">
      <c r="A1189" s="75" t="str">
        <f>CONCATENATE(SwaggerURL,input080)</f>
        <v>https://esi.evetech.net/latest/markets/10000021/history/?datasource=tranquility&amp;type_id=24495</v>
      </c>
      <c r="B1189">
        <v>74</v>
      </c>
      <c r="C1189">
        <v>74</v>
      </c>
      <c r="D1189">
        <v>2</v>
      </c>
      <c r="E1189">
        <v>1148</v>
      </c>
      <c r="F1189" s="80">
        <v>44535</v>
      </c>
      <c r="G1189" t="str">
        <f>IFERROR(IF((F1189-F1188)&gt;1,(LARGE(F1189:$F1189,1)-LARGE(F$1189:$F1189,2))-1,""),"")</f>
        <v/>
      </c>
    </row>
    <row r="1190" spans="1:7">
      <c r="A1190" s="3" t="s">
        <v>47031</v>
      </c>
      <c r="B1190">
        <v>74</v>
      </c>
      <c r="C1190">
        <v>74</v>
      </c>
      <c r="D1190">
        <v>5</v>
      </c>
      <c r="E1190">
        <v>21239</v>
      </c>
      <c r="F1190" s="80">
        <v>44536</v>
      </c>
      <c r="G1190" t="str">
        <f>IFERROR(IF((F1190-F1189)&gt;1,(LARGE(F1190:$F1190,1)-LARGE(F$1189:$F1190,2))-1,""),"")</f>
        <v/>
      </c>
    </row>
    <row r="1191" spans="1:7">
      <c r="A1191" s="3" t="e">
        <f>AVERAGE(H1189:H1202)</f>
        <v>#DIV/0!</v>
      </c>
      <c r="B1191">
        <v>74</v>
      </c>
      <c r="C1191">
        <v>74</v>
      </c>
      <c r="D1191">
        <v>4</v>
      </c>
      <c r="E1191">
        <v>2800</v>
      </c>
      <c r="F1191" s="80">
        <v>44537</v>
      </c>
      <c r="G1191" t="str">
        <f>IFERROR(IF((F1191-F1190)&gt;1,(LARGE(F1191:$F1191,1)-LARGE(F$1189:$F1191,2))-1,""),"")</f>
        <v/>
      </c>
    </row>
    <row r="1192" spans="1:7">
      <c r="A1192" s="3">
        <f>AVERAGE(E1189:E1202)</f>
        <v>6507.1428571428569</v>
      </c>
      <c r="B1192">
        <v>73.989999999999995</v>
      </c>
      <c r="C1192">
        <v>73.989999999999995</v>
      </c>
      <c r="D1192">
        <v>2</v>
      </c>
      <c r="E1192">
        <v>2530</v>
      </c>
      <c r="F1192" s="80">
        <v>44538</v>
      </c>
      <c r="G1192" t="str">
        <f>IFERROR(IF((F1192-F1191)&gt;1,(LARGE(F1192:$F1192,1)-LARGE(F$1189:$F1192,2))-1,""),"")</f>
        <v/>
      </c>
    </row>
    <row r="1193" spans="1:7">
      <c r="A1193" s="14" t="s">
        <v>47032</v>
      </c>
      <c r="B1193">
        <v>73.989999999999995</v>
      </c>
      <c r="C1193">
        <v>73.989999999999995</v>
      </c>
      <c r="D1193">
        <v>4</v>
      </c>
      <c r="E1193">
        <v>1606</v>
      </c>
      <c r="F1193" s="80">
        <v>44539</v>
      </c>
      <c r="G1193" t="str">
        <f>IFERROR(IF((F1193-F1192)&gt;1,(LARGE(F1193:$F1193,1)-LARGE(F$1189:$F1193,2))-1,""),"")</f>
        <v/>
      </c>
    </row>
    <row r="1194" spans="1:7">
      <c r="A1194" s="14">
        <f>E1202</f>
        <v>9300</v>
      </c>
      <c r="B1194">
        <v>73.989999999999995</v>
      </c>
      <c r="C1194">
        <v>73.989999999999995</v>
      </c>
      <c r="D1194">
        <v>1</v>
      </c>
      <c r="E1194">
        <v>540</v>
      </c>
      <c r="F1194" s="80">
        <v>44540</v>
      </c>
      <c r="G1194" t="str">
        <f>IFERROR(IF((F1194-F1193)&gt;1,(LARGE(F1194:$F1194,1)-LARGE(F$1189:$F1194,2))-1,""),"")</f>
        <v/>
      </c>
    </row>
    <row r="1195" spans="1:7">
      <c r="B1195">
        <v>73.989999999999995</v>
      </c>
      <c r="C1195">
        <v>73.989999999999995</v>
      </c>
      <c r="D1195">
        <v>2</v>
      </c>
      <c r="E1195">
        <v>1662</v>
      </c>
      <c r="F1195" s="80">
        <v>44541</v>
      </c>
      <c r="G1195" t="str">
        <f>IFERROR(IF((F1195-F1194)&gt;1,(LARGE(F1195:$F1195,1)-LARGE(F$1189:$F1195,2))-1,""),"")</f>
        <v/>
      </c>
    </row>
    <row r="1196" spans="1:7">
      <c r="B1196">
        <v>74</v>
      </c>
      <c r="C1196">
        <v>74</v>
      </c>
      <c r="D1196">
        <v>6</v>
      </c>
      <c r="E1196">
        <v>20697</v>
      </c>
      <c r="F1196" s="80">
        <v>44542</v>
      </c>
      <c r="G1196" t="str">
        <f>IFERROR(IF((F1196-F1195)&gt;1,(LARGE(F1196:$F1196,1)-LARGE(F$1189:$F1196,2))-1,""),"")</f>
        <v/>
      </c>
    </row>
    <row r="1197" spans="1:7">
      <c r="B1197">
        <v>74.27</v>
      </c>
      <c r="C1197">
        <v>74.27</v>
      </c>
      <c r="D1197">
        <v>2</v>
      </c>
      <c r="E1197">
        <v>2726</v>
      </c>
      <c r="F1197" s="80">
        <v>44543</v>
      </c>
      <c r="G1197" t="str">
        <f>IFERROR(IF((F1197-F1196)&gt;1,(LARGE(F1197:$F1197,1)-LARGE(F$1189:$F1197,2))-1,""),"")</f>
        <v/>
      </c>
    </row>
    <row r="1198" spans="1:7">
      <c r="B1198">
        <v>74.27</v>
      </c>
      <c r="C1198">
        <v>74.27</v>
      </c>
      <c r="D1198">
        <v>3</v>
      </c>
      <c r="E1198">
        <v>11436</v>
      </c>
      <c r="F1198" s="80">
        <v>44544</v>
      </c>
      <c r="G1198" t="str">
        <f>IFERROR(IF((F1198-F1197)&gt;1,(LARGE(F1198:$F1198,1)-LARGE(F$1189:$F1198,2))-1,""),"")</f>
        <v/>
      </c>
    </row>
    <row r="1199" spans="1:7">
      <c r="B1199">
        <v>74.27</v>
      </c>
      <c r="C1199">
        <v>74.27</v>
      </c>
      <c r="D1199">
        <v>3</v>
      </c>
      <c r="E1199">
        <v>7600</v>
      </c>
      <c r="F1199" s="80">
        <v>44545</v>
      </c>
      <c r="G1199" t="str">
        <f>IFERROR(IF((F1199-F1198)&gt;1,(LARGE(F1199:$F1199,1)-LARGE(F$1189:$F1199,2))-1,""),"")</f>
        <v/>
      </c>
    </row>
    <row r="1200" spans="1:7">
      <c r="B1200">
        <v>74.27</v>
      </c>
      <c r="C1200">
        <v>74.27</v>
      </c>
      <c r="D1200">
        <v>4</v>
      </c>
      <c r="E1200">
        <v>5159</v>
      </c>
      <c r="F1200" s="80">
        <v>44546</v>
      </c>
      <c r="G1200" t="str">
        <f>IFERROR(IF((F1200-F1199)&gt;1,(LARGE(F1200:$F1200,1)-LARGE(F$1189:$F1200,2))-1,""),"")</f>
        <v/>
      </c>
    </row>
    <row r="1201" spans="1:7">
      <c r="B1201">
        <v>74.27</v>
      </c>
      <c r="C1201">
        <v>74.27</v>
      </c>
      <c r="D1201">
        <v>2</v>
      </c>
      <c r="E1201">
        <v>2657</v>
      </c>
      <c r="F1201" s="80">
        <v>44547</v>
      </c>
      <c r="G1201" t="str">
        <f>IFERROR(IF((F1201-F1200)&gt;1,(LARGE(F1201:$F1201,1)-LARGE(F$1189:$F1201,2))-1,""),"")</f>
        <v/>
      </c>
    </row>
    <row r="1202" spans="1:7">
      <c r="B1202">
        <v>74.27</v>
      </c>
      <c r="C1202">
        <v>74.27</v>
      </c>
      <c r="D1202">
        <v>3</v>
      </c>
      <c r="E1202">
        <v>9300</v>
      </c>
      <c r="F1202" s="80">
        <v>44548</v>
      </c>
      <c r="G1202" t="str">
        <f>IFERROR(IF((F1202-F1201)&gt;1,(LARGE(F1202:$F1202,1)-LARGE(F$1189:$F1202,2))-1,""),"")</f>
        <v/>
      </c>
    </row>
    <row r="1203" spans="1:7">
      <c r="A1203" s="75">
        <f>VLOOKUP(TradeSheet!A82,TypeIDs!B:C,2,FALSE)</f>
        <v>27371</v>
      </c>
      <c r="B1203" t="s">
        <v>47021</v>
      </c>
      <c r="C1203" t="s">
        <v>47022</v>
      </c>
      <c r="D1203" t="s">
        <v>47023</v>
      </c>
      <c r="E1203" t="s">
        <v>47024</v>
      </c>
      <c r="F1203" t="s">
        <v>47035</v>
      </c>
      <c r="G1203" t="s">
        <v>47034</v>
      </c>
    </row>
    <row r="1204" spans="1:7">
      <c r="A1204" s="75" t="str">
        <f>CONCATENATE(SwaggerURL,input081)</f>
        <v>https://esi.evetech.net/latest/markets/10000021/history/?datasource=tranquility&amp;type_id=27371</v>
      </c>
      <c r="B1204">
        <v>1082</v>
      </c>
      <c r="C1204">
        <v>1082</v>
      </c>
      <c r="D1204">
        <v>2</v>
      </c>
      <c r="E1204">
        <v>2000</v>
      </c>
      <c r="F1204" s="80">
        <v>44535</v>
      </c>
      <c r="G1204" t="str">
        <f>IFERROR(IF((F1204-F1203)&gt;1,(LARGE(F1204:$F1204,1)-LARGE(F$1204:$F1204,2))-1,""),"")</f>
        <v/>
      </c>
    </row>
    <row r="1205" spans="1:7">
      <c r="A1205" s="3" t="s">
        <v>47031</v>
      </c>
      <c r="B1205">
        <v>1082</v>
      </c>
      <c r="C1205">
        <v>1082</v>
      </c>
      <c r="D1205">
        <v>3</v>
      </c>
      <c r="E1205">
        <v>31000</v>
      </c>
      <c r="F1205" s="80">
        <v>44536</v>
      </c>
      <c r="G1205" t="str">
        <f>IFERROR(IF((F1205-F1204)&gt;1,(LARGE(F1205:$F1205,1)-LARGE(F$1204:$F1205,2))-1,""),"")</f>
        <v/>
      </c>
    </row>
    <row r="1206" spans="1:7">
      <c r="A1206" s="3" t="e">
        <f>AVERAGE(H1204:H1217)</f>
        <v>#DIV/0!</v>
      </c>
      <c r="B1206">
        <v>1081</v>
      </c>
      <c r="C1206">
        <v>1081</v>
      </c>
      <c r="D1206">
        <v>6</v>
      </c>
      <c r="E1206">
        <v>4712</v>
      </c>
      <c r="F1206" s="80">
        <v>44537</v>
      </c>
      <c r="G1206" t="str">
        <f>IFERROR(IF((F1206-F1205)&gt;1,(LARGE(F1206:$F1206,1)-LARGE(F$1204:$F1206,2))-1,""),"")</f>
        <v/>
      </c>
    </row>
    <row r="1207" spans="1:7">
      <c r="A1207" s="3">
        <f>AVERAGE(E1204:E1217)</f>
        <v>6683.4285714285716</v>
      </c>
      <c r="B1207">
        <v>1082</v>
      </c>
      <c r="C1207">
        <v>1082</v>
      </c>
      <c r="D1207">
        <v>2</v>
      </c>
      <c r="E1207">
        <v>1277</v>
      </c>
      <c r="F1207" s="80">
        <v>44538</v>
      </c>
      <c r="G1207" t="str">
        <f>IFERROR(IF((F1207-F1206)&gt;1,(LARGE(F1207:$F1207,1)-LARGE(F$1204:$F1207,2))-1,""),"")</f>
        <v/>
      </c>
    </row>
    <row r="1208" spans="1:7">
      <c r="A1208" s="14" t="s">
        <v>47032</v>
      </c>
      <c r="B1208">
        <v>1082</v>
      </c>
      <c r="C1208">
        <v>1082</v>
      </c>
      <c r="D1208">
        <v>6</v>
      </c>
      <c r="E1208">
        <v>6864</v>
      </c>
      <c r="F1208" s="80">
        <v>44539</v>
      </c>
      <c r="G1208" t="str">
        <f>IFERROR(IF((F1208-F1207)&gt;1,(LARGE(F1208:$F1208,1)-LARGE(F$1204:$F1208,2))-1,""),"")</f>
        <v/>
      </c>
    </row>
    <row r="1209" spans="1:7">
      <c r="A1209" s="14">
        <f>E1217</f>
        <v>1560</v>
      </c>
      <c r="B1209">
        <v>1082</v>
      </c>
      <c r="C1209">
        <v>1082</v>
      </c>
      <c r="D1209">
        <v>1</v>
      </c>
      <c r="E1209">
        <v>1000</v>
      </c>
      <c r="F1209" s="80">
        <v>44540</v>
      </c>
      <c r="G1209" t="str">
        <f>IFERROR(IF((F1209-F1208)&gt;1,(LARGE(F1209:$F1209,1)-LARGE(F$1204:$F1209,2))-1,""),"")</f>
        <v/>
      </c>
    </row>
    <row r="1210" spans="1:7">
      <c r="B1210">
        <v>1093.5</v>
      </c>
      <c r="C1210">
        <v>1082</v>
      </c>
      <c r="D1210">
        <v>2</v>
      </c>
      <c r="E1210">
        <v>2000</v>
      </c>
      <c r="F1210" s="80">
        <v>44541</v>
      </c>
      <c r="G1210" t="str">
        <f>IFERROR(IF((F1210-F1209)&gt;1,(LARGE(F1210:$F1210,1)-LARGE(F$1204:$F1210,2))-1,""),"")</f>
        <v/>
      </c>
    </row>
    <row r="1211" spans="1:7">
      <c r="B1211">
        <v>1105</v>
      </c>
      <c r="C1211">
        <v>1105</v>
      </c>
      <c r="D1211">
        <v>1</v>
      </c>
      <c r="E1211">
        <v>1000</v>
      </c>
      <c r="F1211" s="80">
        <v>44542</v>
      </c>
      <c r="G1211" t="str">
        <f>IFERROR(IF((F1211-F1210)&gt;1,(LARGE(F1211:$F1211,1)-LARGE(F$1204:$F1211,2))-1,""),"")</f>
        <v/>
      </c>
    </row>
    <row r="1212" spans="1:7">
      <c r="B1212">
        <v>1105</v>
      </c>
      <c r="C1212">
        <v>1105</v>
      </c>
      <c r="D1212">
        <v>1</v>
      </c>
      <c r="E1212">
        <v>1000</v>
      </c>
      <c r="F1212" s="80">
        <v>44543</v>
      </c>
      <c r="G1212" t="str">
        <f>IFERROR(IF((F1212-F1211)&gt;1,(LARGE(F1212:$F1212,1)-LARGE(F$1204:$F1212,2))-1,""),"")</f>
        <v/>
      </c>
    </row>
    <row r="1213" spans="1:7">
      <c r="B1213">
        <v>1105</v>
      </c>
      <c r="C1213">
        <v>1105</v>
      </c>
      <c r="D1213">
        <v>3</v>
      </c>
      <c r="E1213">
        <v>1130</v>
      </c>
      <c r="F1213" s="80">
        <v>44544</v>
      </c>
      <c r="G1213" t="str">
        <f>IFERROR(IF((F1213-F1212)&gt;1,(LARGE(F1213:$F1213,1)-LARGE(F$1204:$F1213,2))-1,""),"")</f>
        <v/>
      </c>
    </row>
    <row r="1214" spans="1:7">
      <c r="B1214">
        <v>1105</v>
      </c>
      <c r="C1214">
        <v>1105</v>
      </c>
      <c r="D1214">
        <v>4</v>
      </c>
      <c r="E1214">
        <v>20055</v>
      </c>
      <c r="F1214" s="80">
        <v>44545</v>
      </c>
      <c r="G1214" t="str">
        <f>IFERROR(IF((F1214-F1213)&gt;1,(LARGE(F1214:$F1214,1)-LARGE(F$1204:$F1214,2))-1,""),"")</f>
        <v/>
      </c>
    </row>
    <row r="1215" spans="1:7">
      <c r="B1215">
        <v>1105</v>
      </c>
      <c r="C1215">
        <v>1105</v>
      </c>
      <c r="D1215">
        <v>4</v>
      </c>
      <c r="E1215">
        <v>4970</v>
      </c>
      <c r="F1215" s="80">
        <v>44546</v>
      </c>
      <c r="G1215" t="str">
        <f>IFERROR(IF((F1215-F1214)&gt;1,(LARGE(F1215:$F1215,1)-LARGE(F$1204:$F1215,2))-1,""),"")</f>
        <v/>
      </c>
    </row>
    <row r="1216" spans="1:7">
      <c r="B1216">
        <v>1105</v>
      </c>
      <c r="C1216">
        <v>1105</v>
      </c>
      <c r="D1216">
        <v>4</v>
      </c>
      <c r="E1216">
        <v>15000</v>
      </c>
      <c r="F1216" s="80">
        <v>44547</v>
      </c>
      <c r="G1216" t="str">
        <f>IFERROR(IF((F1216-F1215)&gt;1,(LARGE(F1216:$F1216,1)-LARGE(F$1204:$F1216,2))-1,""),"")</f>
        <v/>
      </c>
    </row>
    <row r="1217" spans="1:7">
      <c r="B1217">
        <v>1105</v>
      </c>
      <c r="C1217">
        <v>1105</v>
      </c>
      <c r="D1217">
        <v>1</v>
      </c>
      <c r="E1217">
        <v>1560</v>
      </c>
      <c r="F1217" s="80">
        <v>44548</v>
      </c>
      <c r="G1217" t="str">
        <f>IFERROR(IF((F1217-F1216)&gt;1,(LARGE(F1217:$F1217,1)-LARGE(F$1204:$F1217,2))-1,""),"")</f>
        <v/>
      </c>
    </row>
    <row r="1218" spans="1:7">
      <c r="A1218" s="75">
        <f>VLOOKUP(TradeSheet!A83,TypeIDs!B:C,2,FALSE)</f>
        <v>27387</v>
      </c>
      <c r="B1218" t="s">
        <v>47021</v>
      </c>
      <c r="C1218" t="s">
        <v>47022</v>
      </c>
      <c r="D1218" t="s">
        <v>47023</v>
      </c>
      <c r="E1218" t="s">
        <v>47024</v>
      </c>
      <c r="F1218" t="s">
        <v>47035</v>
      </c>
      <c r="G1218" t="s">
        <v>47034</v>
      </c>
    </row>
    <row r="1219" spans="1:7">
      <c r="A1219" s="75" t="str">
        <f>CONCATENATE(SwaggerURL,input082)</f>
        <v>https://esi.evetech.net/latest/markets/10000021/history/?datasource=tranquility&amp;type_id=27387</v>
      </c>
      <c r="B1219">
        <v>1094</v>
      </c>
      <c r="C1219">
        <v>1094</v>
      </c>
      <c r="D1219">
        <v>2</v>
      </c>
      <c r="E1219">
        <v>5000</v>
      </c>
      <c r="F1219" s="80">
        <v>44535</v>
      </c>
      <c r="G1219" t="str">
        <f>IFERROR(IF((F1219-F1218)&gt;1,(LARGE(F1219:$F1219,1)-LARGE(F$1219:$F1219,2))-1,""),"")</f>
        <v/>
      </c>
    </row>
    <row r="1220" spans="1:7">
      <c r="A1220" s="3" t="s">
        <v>47031</v>
      </c>
      <c r="B1220">
        <v>1094</v>
      </c>
      <c r="C1220">
        <v>1094</v>
      </c>
      <c r="D1220">
        <v>1</v>
      </c>
      <c r="E1220">
        <v>500</v>
      </c>
      <c r="F1220" s="80">
        <v>44536</v>
      </c>
      <c r="G1220" t="str">
        <f>IFERROR(IF((F1220-F1219)&gt;1,(LARGE(F1220:$F1220,1)-LARGE(F$1219:$F1220,2))-1,""),"")</f>
        <v/>
      </c>
    </row>
    <row r="1221" spans="1:7">
      <c r="A1221" s="3" t="e">
        <f>AVERAGE(H1219:H1232)</f>
        <v>#DIV/0!</v>
      </c>
      <c r="B1221">
        <v>1094</v>
      </c>
      <c r="C1221">
        <v>1094</v>
      </c>
      <c r="D1221">
        <v>7</v>
      </c>
      <c r="E1221">
        <v>5096</v>
      </c>
      <c r="F1221" s="80">
        <v>44537</v>
      </c>
      <c r="G1221" t="str">
        <f>IFERROR(IF((F1221-F1220)&gt;1,(LARGE(F1221:$F1221,1)-LARGE(F$1219:$F1221,2))-1,""),"")</f>
        <v/>
      </c>
    </row>
    <row r="1222" spans="1:7">
      <c r="A1222" s="3">
        <f>AVERAGE(E1219:E1232)</f>
        <v>4476.9285714285716</v>
      </c>
      <c r="B1222">
        <v>1094</v>
      </c>
      <c r="C1222">
        <v>1094</v>
      </c>
      <c r="D1222">
        <v>5</v>
      </c>
      <c r="E1222">
        <v>5556</v>
      </c>
      <c r="F1222" s="80">
        <v>44538</v>
      </c>
      <c r="G1222" t="str">
        <f>IFERROR(IF((F1222-F1221)&gt;1,(LARGE(F1222:$F1222,1)-LARGE(F$1219:$F1222,2))-1,""),"")</f>
        <v/>
      </c>
    </row>
    <row r="1223" spans="1:7">
      <c r="A1223" s="14" t="s">
        <v>47032</v>
      </c>
      <c r="B1223">
        <v>1093</v>
      </c>
      <c r="C1223">
        <v>1093</v>
      </c>
      <c r="D1223">
        <v>4</v>
      </c>
      <c r="E1223">
        <v>3937</v>
      </c>
      <c r="F1223" s="80">
        <v>44539</v>
      </c>
      <c r="G1223" t="str">
        <f>IFERROR(IF((F1223-F1222)&gt;1,(LARGE(F1223:$F1223,1)-LARGE(F$1219:$F1223,2))-1,""),"")</f>
        <v/>
      </c>
    </row>
    <row r="1224" spans="1:7">
      <c r="A1224" s="14">
        <f>E1232</f>
        <v>7540</v>
      </c>
      <c r="B1224">
        <v>1094</v>
      </c>
      <c r="C1224">
        <v>1094</v>
      </c>
      <c r="D1224">
        <v>4</v>
      </c>
      <c r="E1224">
        <v>4101</v>
      </c>
      <c r="F1224" s="80">
        <v>44540</v>
      </c>
      <c r="G1224" t="str">
        <f>IFERROR(IF((F1224-F1223)&gt;1,(LARGE(F1224:$F1224,1)-LARGE(F$1219:$F1224,2))-1,""),"")</f>
        <v/>
      </c>
    </row>
    <row r="1225" spans="1:7">
      <c r="B1225">
        <v>1093.5</v>
      </c>
      <c r="C1225">
        <v>1093</v>
      </c>
      <c r="D1225">
        <v>2</v>
      </c>
      <c r="E1225">
        <v>2000</v>
      </c>
      <c r="F1225" s="80">
        <v>44541</v>
      </c>
      <c r="G1225" t="str">
        <f>IFERROR(IF((F1225-F1224)&gt;1,(LARGE(F1225:$F1225,1)-LARGE(F$1219:$F1225,2))-1,""),"")</f>
        <v/>
      </c>
    </row>
    <row r="1226" spans="1:7">
      <c r="B1226">
        <v>1093</v>
      </c>
      <c r="C1226">
        <v>1093</v>
      </c>
      <c r="D1226">
        <v>1</v>
      </c>
      <c r="E1226">
        <v>1160</v>
      </c>
      <c r="F1226" s="80">
        <v>44542</v>
      </c>
      <c r="G1226" t="str">
        <f>IFERROR(IF((F1226-F1225)&gt;1,(LARGE(F1226:$F1226,1)-LARGE(F$1219:$F1226,2))-1,""),"")</f>
        <v/>
      </c>
    </row>
    <row r="1227" spans="1:7">
      <c r="B1227">
        <v>1093</v>
      </c>
      <c r="C1227">
        <v>1093</v>
      </c>
      <c r="D1227">
        <v>1</v>
      </c>
      <c r="E1227">
        <v>1000</v>
      </c>
      <c r="F1227" s="80">
        <v>44543</v>
      </c>
      <c r="G1227" t="str">
        <f>IFERROR(IF((F1227-F1226)&gt;1,(LARGE(F1227:$F1227,1)-LARGE(F$1219:$F1227,2))-1,""),"")</f>
        <v/>
      </c>
    </row>
    <row r="1228" spans="1:7">
      <c r="B1228">
        <v>1094</v>
      </c>
      <c r="C1228">
        <v>1094</v>
      </c>
      <c r="D1228">
        <v>8</v>
      </c>
      <c r="E1228">
        <v>4153</v>
      </c>
      <c r="F1228" s="80">
        <v>44544</v>
      </c>
      <c r="G1228" t="str">
        <f>IFERROR(IF((F1228-F1227)&gt;1,(LARGE(F1228:$F1228,1)-LARGE(F$1219:$F1228,2))-1,""),"")</f>
        <v/>
      </c>
    </row>
    <row r="1229" spans="1:7">
      <c r="B1229">
        <v>1095</v>
      </c>
      <c r="C1229">
        <v>1095</v>
      </c>
      <c r="D1229">
        <v>3</v>
      </c>
      <c r="E1229">
        <v>13000</v>
      </c>
      <c r="F1229" s="80">
        <v>44545</v>
      </c>
      <c r="G1229" t="str">
        <f>IFERROR(IF((F1229-F1228)&gt;1,(LARGE(F1229:$F1229,1)-LARGE(F$1219:$F1229,2))-1,""),"")</f>
        <v/>
      </c>
    </row>
    <row r="1230" spans="1:7">
      <c r="B1230">
        <v>1095</v>
      </c>
      <c r="C1230">
        <v>1095</v>
      </c>
      <c r="D1230">
        <v>7</v>
      </c>
      <c r="E1230">
        <v>8134</v>
      </c>
      <c r="F1230" s="80">
        <v>44546</v>
      </c>
      <c r="G1230" t="str">
        <f>IFERROR(IF((F1230-F1229)&gt;1,(LARGE(F1230:$F1230,1)-LARGE(F$1219:$F1230,2))-1,""),"")</f>
        <v/>
      </c>
    </row>
    <row r="1231" spans="1:7">
      <c r="B1231">
        <v>1095</v>
      </c>
      <c r="C1231">
        <v>1095</v>
      </c>
      <c r="D1231">
        <v>1</v>
      </c>
      <c r="E1231">
        <v>1500</v>
      </c>
      <c r="F1231" s="80">
        <v>44547</v>
      </c>
      <c r="G1231" t="str">
        <f>IFERROR(IF((F1231-F1230)&gt;1,(LARGE(F1231:$F1231,1)-LARGE(F$1219:$F1231,2))-1,""),"")</f>
        <v/>
      </c>
    </row>
    <row r="1232" spans="1:7">
      <c r="B1232">
        <v>1090</v>
      </c>
      <c r="C1232">
        <v>1090</v>
      </c>
      <c r="D1232">
        <v>6</v>
      </c>
      <c r="E1232">
        <v>7540</v>
      </c>
      <c r="F1232" s="80">
        <v>44548</v>
      </c>
      <c r="G1232" t="str">
        <f>IFERROR(IF((F1232-F1231)&gt;1,(LARGE(F1232:$F1232,1)-LARGE(F$1219:$F1232,2))-1,""),"")</f>
        <v/>
      </c>
    </row>
    <row r="1233" spans="1:7">
      <c r="A1233" s="75">
        <f>VLOOKUP(TradeSheet!A84,TypeIDs!B:C,2,FALSE)</f>
        <v>27381</v>
      </c>
      <c r="B1233" t="s">
        <v>47021</v>
      </c>
      <c r="C1233" t="s">
        <v>47022</v>
      </c>
      <c r="D1233" t="s">
        <v>47023</v>
      </c>
      <c r="E1233" t="s">
        <v>47024</v>
      </c>
      <c r="F1233" t="s">
        <v>47035</v>
      </c>
      <c r="G1233" t="s">
        <v>47034</v>
      </c>
    </row>
    <row r="1234" spans="1:7">
      <c r="A1234" s="75" t="str">
        <f>CONCATENATE(SwaggerURL,input083)</f>
        <v>https://esi.evetech.net/latest/markets/10000021/history/?datasource=tranquility&amp;type_id=27381</v>
      </c>
      <c r="B1234">
        <v>1047</v>
      </c>
      <c r="C1234">
        <v>1047</v>
      </c>
      <c r="D1234">
        <v>2</v>
      </c>
      <c r="E1234">
        <v>1385</v>
      </c>
      <c r="F1234" s="80">
        <v>44531</v>
      </c>
      <c r="G1234" t="str">
        <f>IFERROR(IF((F1234-F1233)&gt;1,(LARGE(F1234:$F1234,1)-LARGE(F$1234:$F1234,2))-1,""),"")</f>
        <v/>
      </c>
    </row>
    <row r="1235" spans="1:7">
      <c r="A1235" s="3" t="s">
        <v>47031</v>
      </c>
      <c r="B1235">
        <v>1046</v>
      </c>
      <c r="C1235">
        <v>1046</v>
      </c>
      <c r="D1235">
        <v>1</v>
      </c>
      <c r="E1235">
        <v>600</v>
      </c>
      <c r="F1235" s="80">
        <v>44532</v>
      </c>
      <c r="G1235" t="str">
        <f>IFERROR(IF((F1235-F1234)&gt;1,(LARGE(F1235:$F1235,1)-LARGE(F$1234:$F1235,2))-1,""),"")</f>
        <v/>
      </c>
    </row>
    <row r="1236" spans="1:7">
      <c r="A1236" s="3" t="e">
        <f>AVERAGE(H1234:H1247)</f>
        <v>#DIV/0!</v>
      </c>
      <c r="B1236">
        <v>1046</v>
      </c>
      <c r="C1236">
        <v>1046</v>
      </c>
      <c r="D1236">
        <v>1</v>
      </c>
      <c r="E1236">
        <v>1265</v>
      </c>
      <c r="F1236" s="80">
        <v>44533</v>
      </c>
      <c r="G1236" t="str">
        <f>IFERROR(IF((F1236-F1235)&gt;1,(LARGE(F1236:$F1236,1)-LARGE(F$1234:$F1236,2))-1,""),"")</f>
        <v/>
      </c>
    </row>
    <row r="1237" spans="1:7">
      <c r="A1237" s="3">
        <f>AVERAGE(E1234:E1247)</f>
        <v>1905</v>
      </c>
      <c r="B1237">
        <v>1048</v>
      </c>
      <c r="C1237">
        <v>1048</v>
      </c>
      <c r="D1237">
        <v>7</v>
      </c>
      <c r="E1237">
        <v>9517</v>
      </c>
      <c r="F1237" s="80">
        <v>44534</v>
      </c>
      <c r="G1237" t="str">
        <f>IFERROR(IF((F1237-F1236)&gt;1,(LARGE(F1237:$F1237,1)-LARGE(F$1234:$F1237,2))-1,""),"")</f>
        <v/>
      </c>
    </row>
    <row r="1238" spans="1:7">
      <c r="A1238" s="14" t="s">
        <v>47032</v>
      </c>
      <c r="B1238">
        <v>1047</v>
      </c>
      <c r="C1238">
        <v>1047</v>
      </c>
      <c r="D1238">
        <v>1</v>
      </c>
      <c r="E1238">
        <v>1000</v>
      </c>
      <c r="F1238" s="80">
        <v>44535</v>
      </c>
      <c r="G1238" t="str">
        <f>IFERROR(IF((F1238-F1237)&gt;1,(LARGE(F1238:$F1238,1)-LARGE(F$1234:$F1238,2))-1,""),"")</f>
        <v/>
      </c>
    </row>
    <row r="1239" spans="1:7">
      <c r="A1239" s="14">
        <f>E1247</f>
        <v>4800</v>
      </c>
      <c r="B1239">
        <v>1047</v>
      </c>
      <c r="C1239">
        <v>1047</v>
      </c>
      <c r="D1239">
        <v>1</v>
      </c>
      <c r="E1239">
        <v>500</v>
      </c>
      <c r="F1239" s="80">
        <v>44536</v>
      </c>
      <c r="G1239" t="str">
        <f>IFERROR(IF((F1239-F1238)&gt;1,(LARGE(F1239:$F1239,1)-LARGE(F$1234:$F1239,2))-1,""),"")</f>
        <v/>
      </c>
    </row>
    <row r="1240" spans="1:7">
      <c r="B1240">
        <v>1045</v>
      </c>
      <c r="C1240">
        <v>1045</v>
      </c>
      <c r="D1240">
        <v>1</v>
      </c>
      <c r="E1240">
        <v>783</v>
      </c>
      <c r="F1240" s="80">
        <v>44538</v>
      </c>
      <c r="G1240">
        <f>IFERROR(IF((F1240-F1239)&gt;1,(LARGE(F1240:$F1240,1)-LARGE(F$1234:$F1240,2))-1,""),"")</f>
        <v>1</v>
      </c>
    </row>
    <row r="1241" spans="1:7">
      <c r="B1241">
        <v>1044</v>
      </c>
      <c r="C1241">
        <v>1044</v>
      </c>
      <c r="D1241">
        <v>1</v>
      </c>
      <c r="E1241">
        <v>1000</v>
      </c>
      <c r="F1241" s="80">
        <v>44540</v>
      </c>
      <c r="G1241">
        <f>IFERROR(IF((F1241-F1240)&gt;1,(LARGE(F1241:$F1241,1)-LARGE(F$1234:$F1241,2))-1,""),"")</f>
        <v>1</v>
      </c>
    </row>
    <row r="1242" spans="1:7">
      <c r="B1242">
        <v>1044</v>
      </c>
      <c r="C1242">
        <v>1044</v>
      </c>
      <c r="D1242">
        <v>1</v>
      </c>
      <c r="E1242">
        <v>1000</v>
      </c>
      <c r="F1242" s="80">
        <v>44541</v>
      </c>
      <c r="G1242" t="str">
        <f>IFERROR(IF((F1242-F1241)&gt;1,(LARGE(F1242:$F1242,1)-LARGE(F$1234:$F1242,2))-1,""),"")</f>
        <v/>
      </c>
    </row>
    <row r="1243" spans="1:7">
      <c r="B1243">
        <v>1042</v>
      </c>
      <c r="C1243">
        <v>1042</v>
      </c>
      <c r="D1243">
        <v>1</v>
      </c>
      <c r="E1243">
        <v>1240</v>
      </c>
      <c r="F1243" s="80">
        <v>44542</v>
      </c>
      <c r="G1243" t="str">
        <f>IFERROR(IF((F1243-F1242)&gt;1,(LARGE(F1243:$F1243,1)-LARGE(F$1234:$F1243,2))-1,""),"")</f>
        <v/>
      </c>
    </row>
    <row r="1244" spans="1:7">
      <c r="B1244">
        <v>1042</v>
      </c>
      <c r="C1244">
        <v>1042</v>
      </c>
      <c r="D1244">
        <v>1</v>
      </c>
      <c r="E1244">
        <v>120</v>
      </c>
      <c r="F1244" s="80">
        <v>44544</v>
      </c>
      <c r="G1244">
        <f>IFERROR(IF((F1244-F1243)&gt;1,(LARGE(F1244:$F1244,1)-LARGE(F$1234:$F1244,2))-1,""),"")</f>
        <v>1</v>
      </c>
    </row>
    <row r="1245" spans="1:7">
      <c r="B1245">
        <v>1042</v>
      </c>
      <c r="C1245">
        <v>1042</v>
      </c>
      <c r="D1245">
        <v>2</v>
      </c>
      <c r="E1245">
        <v>1060</v>
      </c>
      <c r="F1245" s="80">
        <v>44545</v>
      </c>
      <c r="G1245" t="str">
        <f>IFERROR(IF((F1245-F1244)&gt;1,(LARGE(F1245:$F1245,1)-LARGE(F$1234:$F1245,2))-1,""),"")</f>
        <v/>
      </c>
    </row>
    <row r="1246" spans="1:7">
      <c r="B1246">
        <v>1045</v>
      </c>
      <c r="C1246">
        <v>1043.5</v>
      </c>
      <c r="D1246">
        <v>6</v>
      </c>
      <c r="E1246">
        <v>2400</v>
      </c>
      <c r="F1246" s="80">
        <v>44546</v>
      </c>
      <c r="G1246" t="str">
        <f>IFERROR(IF((F1246-F1245)&gt;1,(LARGE(F1246:$F1246,1)-LARGE(F$1234:$F1246,2))-1,""),"")</f>
        <v/>
      </c>
    </row>
    <row r="1247" spans="1:7">
      <c r="B1247">
        <v>1048</v>
      </c>
      <c r="C1247">
        <v>1048</v>
      </c>
      <c r="D1247">
        <v>4</v>
      </c>
      <c r="E1247">
        <v>4800</v>
      </c>
      <c r="F1247" s="80">
        <v>44548</v>
      </c>
      <c r="G1247">
        <f>IFERROR(IF((F1247-F1246)&gt;1,(LARGE(F1247:$F1247,1)-LARGE(F$1234:$F1247,2))-1,""),"")</f>
        <v>1</v>
      </c>
    </row>
    <row r="1248" spans="1:7">
      <c r="A1248" s="75">
        <f>VLOOKUP(TradeSheet!A85,TypeIDs!B:C,2,FALSE)</f>
        <v>27361</v>
      </c>
      <c r="B1248" t="s">
        <v>47021</v>
      </c>
      <c r="C1248" t="s">
        <v>47022</v>
      </c>
      <c r="D1248" t="s">
        <v>47023</v>
      </c>
      <c r="E1248" t="s">
        <v>47024</v>
      </c>
      <c r="F1248" t="s">
        <v>47035</v>
      </c>
      <c r="G1248" t="s">
        <v>47034</v>
      </c>
    </row>
    <row r="1249" spans="1:7">
      <c r="A1249" s="75" t="str">
        <f>CONCATENATE(SwaggerURL,input084)</f>
        <v>https://esi.evetech.net/latest/markets/10000021/history/?datasource=tranquility&amp;type_id=27361</v>
      </c>
      <c r="B1249">
        <v>1027</v>
      </c>
      <c r="C1249">
        <v>1027</v>
      </c>
      <c r="D1249">
        <v>3</v>
      </c>
      <c r="E1249">
        <v>3000</v>
      </c>
      <c r="F1249" s="80">
        <v>44535</v>
      </c>
      <c r="G1249" t="str">
        <f>IFERROR(IF((F1249-F1248)&gt;1,(LARGE(F1249:$F1249,1)-LARGE(F$1249:$F1249,2))-1,""),"")</f>
        <v/>
      </c>
    </row>
    <row r="1250" spans="1:7">
      <c r="A1250" s="3" t="s">
        <v>47031</v>
      </c>
      <c r="B1250">
        <v>1027</v>
      </c>
      <c r="C1250">
        <v>1027</v>
      </c>
      <c r="D1250">
        <v>1</v>
      </c>
      <c r="E1250">
        <v>500</v>
      </c>
      <c r="F1250" s="80">
        <v>44536</v>
      </c>
      <c r="G1250" t="str">
        <f>IFERROR(IF((F1250-F1249)&gt;1,(LARGE(F1250:$F1250,1)-LARGE(F$1249:$F1250,2))-1,""),"")</f>
        <v/>
      </c>
    </row>
    <row r="1251" spans="1:7">
      <c r="A1251" s="3" t="e">
        <f>AVERAGE(H1249:H1262)</f>
        <v>#DIV/0!</v>
      </c>
      <c r="B1251">
        <v>1026</v>
      </c>
      <c r="C1251">
        <v>1026</v>
      </c>
      <c r="D1251">
        <v>3</v>
      </c>
      <c r="E1251">
        <v>4630</v>
      </c>
      <c r="F1251" s="80">
        <v>44537</v>
      </c>
      <c r="G1251" t="str">
        <f>IFERROR(IF((F1251-F1250)&gt;1,(LARGE(F1251:$F1251,1)-LARGE(F$1249:$F1251,2))-1,""),"")</f>
        <v/>
      </c>
    </row>
    <row r="1252" spans="1:7">
      <c r="A1252" s="3">
        <f>AVERAGE(E1249:E1262)</f>
        <v>3148.3571428571427</v>
      </c>
      <c r="B1252">
        <v>1005</v>
      </c>
      <c r="C1252">
        <v>1005</v>
      </c>
      <c r="D1252">
        <v>2</v>
      </c>
      <c r="E1252">
        <v>2295</v>
      </c>
      <c r="F1252" s="80">
        <v>44538</v>
      </c>
      <c r="G1252" t="str">
        <f>IFERROR(IF((F1252-F1251)&gt;1,(LARGE(F1252:$F1252,1)-LARGE(F$1249:$F1252,2))-1,""),"")</f>
        <v/>
      </c>
    </row>
    <row r="1253" spans="1:7">
      <c r="A1253" s="14" t="s">
        <v>47032</v>
      </c>
      <c r="B1253">
        <v>1007</v>
      </c>
      <c r="C1253">
        <v>1003</v>
      </c>
      <c r="D1253">
        <v>10</v>
      </c>
      <c r="E1253">
        <v>4527</v>
      </c>
      <c r="F1253" s="80">
        <v>44539</v>
      </c>
      <c r="G1253" t="str">
        <f>IFERROR(IF((F1253-F1252)&gt;1,(LARGE(F1253:$F1253,1)-LARGE(F$1249:$F1253,2))-1,""),"")</f>
        <v/>
      </c>
    </row>
    <row r="1254" spans="1:7">
      <c r="A1254" s="14">
        <f>E1262</f>
        <v>1500</v>
      </c>
      <c r="B1254">
        <v>1027</v>
      </c>
      <c r="C1254">
        <v>1027</v>
      </c>
      <c r="D1254">
        <v>1</v>
      </c>
      <c r="E1254">
        <v>1000</v>
      </c>
      <c r="F1254" s="80">
        <v>44540</v>
      </c>
      <c r="G1254" t="str">
        <f>IFERROR(IF((F1254-F1253)&gt;1,(LARGE(F1254:$F1254,1)-LARGE(F$1249:$F1254,2))-1,""),"")</f>
        <v/>
      </c>
    </row>
    <row r="1255" spans="1:7">
      <c r="B1255">
        <v>1027</v>
      </c>
      <c r="C1255">
        <v>1027</v>
      </c>
      <c r="D1255">
        <v>3</v>
      </c>
      <c r="E1255">
        <v>3850</v>
      </c>
      <c r="F1255" s="80">
        <v>44541</v>
      </c>
      <c r="G1255" t="str">
        <f>IFERROR(IF((F1255-F1254)&gt;1,(LARGE(F1255:$F1255,1)-LARGE(F$1249:$F1255,2))-1,""),"")</f>
        <v/>
      </c>
    </row>
    <row r="1256" spans="1:7">
      <c r="B1256">
        <v>1028</v>
      </c>
      <c r="C1256">
        <v>1028</v>
      </c>
      <c r="D1256">
        <v>2</v>
      </c>
      <c r="E1256">
        <v>1315</v>
      </c>
      <c r="F1256" s="80">
        <v>44542</v>
      </c>
      <c r="G1256" t="str">
        <f>IFERROR(IF((F1256-F1255)&gt;1,(LARGE(F1256:$F1256,1)-LARGE(F$1249:$F1256,2))-1,""),"")</f>
        <v/>
      </c>
    </row>
    <row r="1257" spans="1:7">
      <c r="B1257">
        <v>1028</v>
      </c>
      <c r="C1257">
        <v>1028</v>
      </c>
      <c r="D1257">
        <v>1</v>
      </c>
      <c r="E1257">
        <v>1484</v>
      </c>
      <c r="F1257" s="80">
        <v>44543</v>
      </c>
      <c r="G1257" t="str">
        <f>IFERROR(IF((F1257-F1256)&gt;1,(LARGE(F1257:$F1257,1)-LARGE(F$1249:$F1257,2))-1,""),"")</f>
        <v/>
      </c>
    </row>
    <row r="1258" spans="1:7">
      <c r="B1258">
        <v>1028</v>
      </c>
      <c r="C1258">
        <v>1028</v>
      </c>
      <c r="D1258">
        <v>5</v>
      </c>
      <c r="E1258">
        <v>1616</v>
      </c>
      <c r="F1258" s="80">
        <v>44544</v>
      </c>
      <c r="G1258" t="str">
        <f>IFERROR(IF((F1258-F1257)&gt;1,(LARGE(F1258:$F1258,1)-LARGE(F$1249:$F1258,2))-1,""),"")</f>
        <v/>
      </c>
    </row>
    <row r="1259" spans="1:7">
      <c r="B1259">
        <v>1028</v>
      </c>
      <c r="C1259">
        <v>1028</v>
      </c>
      <c r="D1259">
        <v>4</v>
      </c>
      <c r="E1259">
        <v>10760</v>
      </c>
      <c r="F1259" s="80">
        <v>44545</v>
      </c>
      <c r="G1259" t="str">
        <f>IFERROR(IF((F1259-F1258)&gt;1,(LARGE(F1259:$F1259,1)-LARGE(F$1249:$F1259,2))-1,""),"")</f>
        <v/>
      </c>
    </row>
    <row r="1260" spans="1:7">
      <c r="B1260">
        <v>1028</v>
      </c>
      <c r="C1260">
        <v>1028</v>
      </c>
      <c r="D1260">
        <v>4</v>
      </c>
      <c r="E1260">
        <v>4100</v>
      </c>
      <c r="F1260" s="80">
        <v>44546</v>
      </c>
      <c r="G1260" t="str">
        <f>IFERROR(IF((F1260-F1259)&gt;1,(LARGE(F1260:$F1260,1)-LARGE(F$1249:$F1260,2))-1,""),"")</f>
        <v/>
      </c>
    </row>
    <row r="1261" spans="1:7">
      <c r="B1261">
        <v>1028</v>
      </c>
      <c r="C1261">
        <v>1028</v>
      </c>
      <c r="D1261">
        <v>2</v>
      </c>
      <c r="E1261">
        <v>3500</v>
      </c>
      <c r="F1261" s="80">
        <v>44547</v>
      </c>
      <c r="G1261" t="str">
        <f>IFERROR(IF((F1261-F1260)&gt;1,(LARGE(F1261:$F1261,1)-LARGE(F$1249:$F1261,2))-1,""),"")</f>
        <v/>
      </c>
    </row>
    <row r="1262" spans="1:7">
      <c r="B1262">
        <v>1028</v>
      </c>
      <c r="C1262">
        <v>1028</v>
      </c>
      <c r="D1262">
        <v>1</v>
      </c>
      <c r="E1262">
        <v>1500</v>
      </c>
      <c r="F1262" s="80">
        <v>44548</v>
      </c>
      <c r="G1262" t="str">
        <f>IFERROR(IF((F1262-F1261)&gt;1,(LARGE(F1262:$F1262,1)-LARGE(F$1249:$F1262,2))-1,""),"")</f>
        <v/>
      </c>
    </row>
    <row r="1263" spans="1:7">
      <c r="A1263" s="75">
        <f>VLOOKUP(TradeSheet!A86,TypeIDs!B:C,2,FALSE)</f>
        <v>2817</v>
      </c>
      <c r="B1263" t="s">
        <v>47021</v>
      </c>
      <c r="C1263" t="s">
        <v>47022</v>
      </c>
      <c r="D1263" t="s">
        <v>47023</v>
      </c>
      <c r="E1263" t="s">
        <v>47024</v>
      </c>
      <c r="F1263" t="s">
        <v>47035</v>
      </c>
      <c r="G1263" t="s">
        <v>47034</v>
      </c>
    </row>
    <row r="1264" spans="1:7">
      <c r="A1264" s="75" t="str">
        <f>CONCATENATE(SwaggerURL,input085)</f>
        <v>https://esi.evetech.net/latest/markets/10000021/history/?datasource=tranquility&amp;type_id=2817</v>
      </c>
      <c r="B1264">
        <v>60</v>
      </c>
      <c r="C1264">
        <v>60</v>
      </c>
      <c r="D1264">
        <v>1</v>
      </c>
      <c r="E1264">
        <v>1000</v>
      </c>
      <c r="F1264" s="80">
        <v>44517</v>
      </c>
      <c r="G1264" t="str">
        <f>IFERROR(IF((F1264-F1263)&gt;1,(LARGE(F1264:$F1264,1)-LARGE(F$1264:$F1264,2))-1,""),"")</f>
        <v/>
      </c>
    </row>
    <row r="1265" spans="1:7">
      <c r="A1265" s="3" t="s">
        <v>47031</v>
      </c>
      <c r="B1265">
        <v>60</v>
      </c>
      <c r="C1265">
        <v>60</v>
      </c>
      <c r="D1265">
        <v>1</v>
      </c>
      <c r="E1265">
        <v>200</v>
      </c>
      <c r="F1265" s="80">
        <v>44519</v>
      </c>
      <c r="G1265">
        <f>IFERROR(IF((F1265-F1264)&gt;1,(LARGE(F1265:$F1265,1)-LARGE(F$1264:$F1265,2))-1,""),"")</f>
        <v>1</v>
      </c>
    </row>
    <row r="1266" spans="1:7">
      <c r="A1266" s="3" t="e">
        <f>AVERAGE(H1264:H1277)</f>
        <v>#DIV/0!</v>
      </c>
      <c r="B1266">
        <v>60</v>
      </c>
      <c r="C1266">
        <v>60</v>
      </c>
      <c r="D1266">
        <v>1</v>
      </c>
      <c r="E1266">
        <v>2000</v>
      </c>
      <c r="F1266" s="80">
        <v>44520</v>
      </c>
      <c r="G1266" t="str">
        <f>IFERROR(IF((F1266-F1265)&gt;1,(LARGE(F1266:$F1266,1)-LARGE(F$1264:$F1266,2))-1,""),"")</f>
        <v/>
      </c>
    </row>
    <row r="1267" spans="1:7">
      <c r="A1267" s="3">
        <f>AVERAGE(E1264:E1277)</f>
        <v>287445.35714285716</v>
      </c>
      <c r="B1267">
        <v>60</v>
      </c>
      <c r="C1267">
        <v>60</v>
      </c>
      <c r="D1267">
        <v>1</v>
      </c>
      <c r="E1267">
        <v>1100</v>
      </c>
      <c r="F1267" s="80">
        <v>44521</v>
      </c>
      <c r="G1267" t="str">
        <f>IFERROR(IF((F1267-F1266)&gt;1,(LARGE(F1267:$F1267,1)-LARGE(F$1264:$F1267,2))-1,""),"")</f>
        <v/>
      </c>
    </row>
    <row r="1268" spans="1:7">
      <c r="A1268" s="14" t="s">
        <v>47032</v>
      </c>
      <c r="B1268">
        <v>60</v>
      </c>
      <c r="C1268">
        <v>60</v>
      </c>
      <c r="D1268">
        <v>3</v>
      </c>
      <c r="E1268">
        <v>1901</v>
      </c>
      <c r="F1268" s="80">
        <v>44522</v>
      </c>
      <c r="G1268" t="str">
        <f>IFERROR(IF((F1268-F1267)&gt;1,(LARGE(F1268:$F1268,1)-LARGE(F$1264:$F1268,2))-1,""),"")</f>
        <v/>
      </c>
    </row>
    <row r="1269" spans="1:7">
      <c r="A1269" s="14">
        <f>E1277</f>
        <v>2350</v>
      </c>
      <c r="B1269">
        <v>60</v>
      </c>
      <c r="C1269">
        <v>60</v>
      </c>
      <c r="D1269">
        <v>1</v>
      </c>
      <c r="E1269">
        <v>2000</v>
      </c>
      <c r="F1269" s="80">
        <v>44523</v>
      </c>
      <c r="G1269" t="str">
        <f>IFERROR(IF((F1269-F1268)&gt;1,(LARGE(F1269:$F1269,1)-LARGE(F$1264:$F1269,2))-1,""),"")</f>
        <v/>
      </c>
    </row>
    <row r="1270" spans="1:7">
      <c r="B1270">
        <v>60</v>
      </c>
      <c r="C1270">
        <v>60</v>
      </c>
      <c r="D1270">
        <v>2</v>
      </c>
      <c r="E1270">
        <v>3000</v>
      </c>
      <c r="F1270" s="80">
        <v>44524</v>
      </c>
      <c r="G1270" t="str">
        <f>IFERROR(IF((F1270-F1269)&gt;1,(LARGE(F1270:$F1270,1)-LARGE(F$1264:$F1270,2))-1,""),"")</f>
        <v/>
      </c>
    </row>
    <row r="1271" spans="1:7">
      <c r="B1271">
        <v>60</v>
      </c>
      <c r="C1271">
        <v>60</v>
      </c>
      <c r="D1271">
        <v>1</v>
      </c>
      <c r="E1271">
        <v>600</v>
      </c>
      <c r="F1271" s="80">
        <v>44527</v>
      </c>
      <c r="G1271">
        <f>IFERROR(IF((F1271-F1270)&gt;1,(LARGE(F1271:$F1271,1)-LARGE(F$1264:$F1271,2))-1,""),"")</f>
        <v>2</v>
      </c>
    </row>
    <row r="1272" spans="1:7">
      <c r="B1272">
        <v>60</v>
      </c>
      <c r="C1272">
        <v>60</v>
      </c>
      <c r="D1272">
        <v>1</v>
      </c>
      <c r="E1272">
        <v>500</v>
      </c>
      <c r="F1272" s="80">
        <v>44533</v>
      </c>
      <c r="G1272">
        <f>IFERROR(IF((F1272-F1271)&gt;1,(LARGE(F1272:$F1272,1)-LARGE(F$1264:$F1272,2))-1,""),"")</f>
        <v>5</v>
      </c>
    </row>
    <row r="1273" spans="1:7">
      <c r="B1273">
        <v>60</v>
      </c>
      <c r="C1273">
        <v>60</v>
      </c>
      <c r="D1273">
        <v>1</v>
      </c>
      <c r="E1273">
        <v>693966</v>
      </c>
      <c r="F1273" s="80">
        <v>44534</v>
      </c>
      <c r="G1273" t="str">
        <f>IFERROR(IF((F1273-F1272)&gt;1,(LARGE(F1273:$F1273,1)-LARGE(F$1264:$F1273,2))-1,""),"")</f>
        <v/>
      </c>
    </row>
    <row r="1274" spans="1:7">
      <c r="B1274">
        <v>60</v>
      </c>
      <c r="C1274">
        <v>60</v>
      </c>
      <c r="D1274">
        <v>1</v>
      </c>
      <c r="E1274">
        <v>500</v>
      </c>
      <c r="F1274" s="80">
        <v>44535</v>
      </c>
      <c r="G1274" t="str">
        <f>IFERROR(IF((F1274-F1273)&gt;1,(LARGE(F1274:$F1274,1)-LARGE(F$1264:$F1274,2))-1,""),"")</f>
        <v/>
      </c>
    </row>
    <row r="1275" spans="1:7">
      <c r="B1275">
        <v>60</v>
      </c>
      <c r="C1275">
        <v>60</v>
      </c>
      <c r="D1275">
        <v>2</v>
      </c>
      <c r="E1275">
        <v>3314455</v>
      </c>
      <c r="F1275" s="80">
        <v>44538</v>
      </c>
      <c r="G1275">
        <f>IFERROR(IF((F1275-F1274)&gt;1,(LARGE(F1275:$F1275,1)-LARGE(F$1264:$F1275,2))-1,""),"")</f>
        <v>2</v>
      </c>
    </row>
    <row r="1276" spans="1:7">
      <c r="B1276">
        <v>300</v>
      </c>
      <c r="C1276">
        <v>300</v>
      </c>
      <c r="D1276">
        <v>1</v>
      </c>
      <c r="E1276">
        <v>663</v>
      </c>
      <c r="F1276" s="80">
        <v>44546</v>
      </c>
      <c r="G1276">
        <f>IFERROR(IF((F1276-F1275)&gt;1,(LARGE(F1276:$F1276,1)-LARGE(F$1264:$F1276,2))-1,""),"")</f>
        <v>7</v>
      </c>
    </row>
    <row r="1277" spans="1:7">
      <c r="B1277">
        <v>400</v>
      </c>
      <c r="C1277">
        <v>400</v>
      </c>
      <c r="D1277">
        <v>2</v>
      </c>
      <c r="E1277">
        <v>2350</v>
      </c>
      <c r="F1277" s="80">
        <v>44547</v>
      </c>
      <c r="G1277" t="str">
        <f>IFERROR(IF((F1277-F1276)&gt;1,(LARGE(F1277:$F1277,1)-LARGE(F$1264:$F1277,2))-1,""),"")</f>
        <v/>
      </c>
    </row>
    <row r="1278" spans="1:7">
      <c r="A1278" s="75">
        <f>VLOOKUP(TradeSheet!A87,TypeIDs!B:C,2,FALSE)</f>
        <v>24473</v>
      </c>
      <c r="B1278" t="s">
        <v>47021</v>
      </c>
      <c r="C1278" t="s">
        <v>47022</v>
      </c>
      <c r="D1278" t="s">
        <v>47023</v>
      </c>
      <c r="E1278" t="s">
        <v>47024</v>
      </c>
      <c r="F1278" t="s">
        <v>47035</v>
      </c>
      <c r="G1278" t="s">
        <v>47034</v>
      </c>
    </row>
    <row r="1279" spans="1:7">
      <c r="A1279" s="75" t="str">
        <f>CONCATENATE(SwaggerURL,input086)</f>
        <v>https://esi.evetech.net/latest/markets/10000021/history/?datasource=tranquility&amp;type_id=24473</v>
      </c>
      <c r="B1279">
        <v>110</v>
      </c>
      <c r="C1279">
        <v>110</v>
      </c>
      <c r="D1279">
        <v>3</v>
      </c>
      <c r="E1279">
        <v>1000</v>
      </c>
      <c r="F1279" s="80">
        <v>44520</v>
      </c>
      <c r="G1279" t="str">
        <f>IFERROR(IF((F1279-F1278)&gt;1,(LARGE(F1279:$F1279,1)-LARGE(F$1279:$F1279,2))-1,""),"")</f>
        <v/>
      </c>
    </row>
    <row r="1280" spans="1:7">
      <c r="A1280" s="3" t="s">
        <v>47031</v>
      </c>
      <c r="B1280">
        <v>110</v>
      </c>
      <c r="C1280">
        <v>110</v>
      </c>
      <c r="D1280">
        <v>1</v>
      </c>
      <c r="E1280">
        <v>1199</v>
      </c>
      <c r="F1280" s="80">
        <v>44521</v>
      </c>
      <c r="G1280" t="str">
        <f>IFERROR(IF((F1280-F1279)&gt;1,(LARGE(F1280:$F1280,1)-LARGE(F$1279:$F1280,2))-1,""),"")</f>
        <v/>
      </c>
    </row>
    <row r="1281" spans="1:7">
      <c r="A1281" s="3" t="e">
        <f>AVERAGE(H1279:H1292)</f>
        <v>#DIV/0!</v>
      </c>
      <c r="B1281">
        <v>110</v>
      </c>
      <c r="C1281">
        <v>110</v>
      </c>
      <c r="D1281">
        <v>3</v>
      </c>
      <c r="E1281">
        <v>2500</v>
      </c>
      <c r="F1281" s="80">
        <v>44522</v>
      </c>
      <c r="G1281" t="str">
        <f>IFERROR(IF((F1281-F1280)&gt;1,(LARGE(F1281:$F1281,1)-LARGE(F$1279:$F1281,2))-1,""),"")</f>
        <v/>
      </c>
    </row>
    <row r="1282" spans="1:7">
      <c r="A1282" s="3">
        <f>AVERAGE(E1279:E1292)</f>
        <v>1594.7142857142858</v>
      </c>
      <c r="B1282">
        <v>107.9</v>
      </c>
      <c r="C1282">
        <v>107.9</v>
      </c>
      <c r="D1282">
        <v>1</v>
      </c>
      <c r="E1282">
        <v>2000</v>
      </c>
      <c r="F1282" s="80">
        <v>44523</v>
      </c>
      <c r="G1282" t="str">
        <f>IFERROR(IF((F1282-F1281)&gt;1,(LARGE(F1282:$F1282,1)-LARGE(F$1279:$F1282,2))-1,""),"")</f>
        <v/>
      </c>
    </row>
    <row r="1283" spans="1:7">
      <c r="A1283" s="14" t="s">
        <v>47032</v>
      </c>
      <c r="B1283">
        <v>110</v>
      </c>
      <c r="C1283">
        <v>110</v>
      </c>
      <c r="D1283">
        <v>3</v>
      </c>
      <c r="E1283">
        <v>3150</v>
      </c>
      <c r="F1283" s="80">
        <v>44524</v>
      </c>
      <c r="G1283" t="str">
        <f>IFERROR(IF((F1283-F1282)&gt;1,(LARGE(F1283:$F1283,1)-LARGE(F$1279:$F1283,2))-1,""),"")</f>
        <v/>
      </c>
    </row>
    <row r="1284" spans="1:7">
      <c r="A1284" s="14">
        <f>E1292</f>
        <v>500</v>
      </c>
      <c r="B1284">
        <v>110.1</v>
      </c>
      <c r="C1284">
        <v>110.1</v>
      </c>
      <c r="D1284">
        <v>1</v>
      </c>
      <c r="E1284">
        <v>5000</v>
      </c>
      <c r="F1284" s="80">
        <v>44532</v>
      </c>
      <c r="G1284">
        <f>IFERROR(IF((F1284-F1283)&gt;1,(LARGE(F1284:$F1284,1)-LARGE(F$1279:$F1284,2))-1,""),"")</f>
        <v>7</v>
      </c>
    </row>
    <row r="1285" spans="1:7">
      <c r="B1285">
        <v>110.1</v>
      </c>
      <c r="C1285">
        <v>110.1</v>
      </c>
      <c r="D1285">
        <v>2</v>
      </c>
      <c r="E1285">
        <v>2000</v>
      </c>
      <c r="F1285" s="80">
        <v>44533</v>
      </c>
      <c r="G1285" t="str">
        <f>IFERROR(IF((F1285-F1284)&gt;1,(LARGE(F1285:$F1285,1)-LARGE(F$1279:$F1285,2))-1,""),"")</f>
        <v/>
      </c>
    </row>
    <row r="1286" spans="1:7">
      <c r="B1286">
        <v>110.1</v>
      </c>
      <c r="C1286">
        <v>110.1</v>
      </c>
      <c r="D1286">
        <v>1</v>
      </c>
      <c r="E1286">
        <v>600</v>
      </c>
      <c r="F1286" s="80">
        <v>44534</v>
      </c>
      <c r="G1286" t="str">
        <f>IFERROR(IF((F1286-F1285)&gt;1,(LARGE(F1286:$F1286,1)-LARGE(F$1279:$F1286,2))-1,""),"")</f>
        <v/>
      </c>
    </row>
    <row r="1287" spans="1:7">
      <c r="B1287">
        <v>110.1</v>
      </c>
      <c r="C1287">
        <v>110.1</v>
      </c>
      <c r="D1287">
        <v>1</v>
      </c>
      <c r="E1287">
        <v>400</v>
      </c>
      <c r="F1287" s="80">
        <v>44535</v>
      </c>
      <c r="G1287" t="str">
        <f>IFERROR(IF((F1287-F1286)&gt;1,(LARGE(F1287:$F1287,1)-LARGE(F$1279:$F1287,2))-1,""),"")</f>
        <v/>
      </c>
    </row>
    <row r="1288" spans="1:7">
      <c r="B1288">
        <v>110</v>
      </c>
      <c r="C1288">
        <v>110</v>
      </c>
      <c r="D1288">
        <v>2</v>
      </c>
      <c r="E1288">
        <v>2000</v>
      </c>
      <c r="F1288" s="80">
        <v>44539</v>
      </c>
      <c r="G1288">
        <f>IFERROR(IF((F1288-F1287)&gt;1,(LARGE(F1288:$F1288,1)-LARGE(F$1279:$F1288,2))-1,""),"")</f>
        <v>3</v>
      </c>
    </row>
    <row r="1289" spans="1:7">
      <c r="B1289">
        <v>110.1</v>
      </c>
      <c r="C1289">
        <v>110.1</v>
      </c>
      <c r="D1289">
        <v>1</v>
      </c>
      <c r="E1289">
        <v>1000</v>
      </c>
      <c r="F1289" s="80">
        <v>44540</v>
      </c>
      <c r="G1289" t="str">
        <f>IFERROR(IF((F1289-F1288)&gt;1,(LARGE(F1289:$F1289,1)-LARGE(F$1279:$F1289,2))-1,""),"")</f>
        <v/>
      </c>
    </row>
    <row r="1290" spans="1:7">
      <c r="B1290">
        <v>110.1</v>
      </c>
      <c r="C1290">
        <v>110.1</v>
      </c>
      <c r="D1290">
        <v>2</v>
      </c>
      <c r="E1290">
        <v>650</v>
      </c>
      <c r="F1290" s="80">
        <v>44542</v>
      </c>
      <c r="G1290">
        <f>IFERROR(IF((F1290-F1289)&gt;1,(LARGE(F1290:$F1290,1)-LARGE(F$1279:$F1290,2))-1,""),"")</f>
        <v>1</v>
      </c>
    </row>
    <row r="1291" spans="1:7">
      <c r="B1291">
        <v>110.1</v>
      </c>
      <c r="C1291">
        <v>110.1</v>
      </c>
      <c r="D1291">
        <v>1</v>
      </c>
      <c r="E1291">
        <v>327</v>
      </c>
      <c r="F1291" s="80">
        <v>44543</v>
      </c>
      <c r="G1291" t="str">
        <f>IFERROR(IF((F1291-F1290)&gt;1,(LARGE(F1291:$F1291,1)-LARGE(F$1279:$F1291,2))-1,""),"")</f>
        <v/>
      </c>
    </row>
    <row r="1292" spans="1:7">
      <c r="B1292">
        <v>600</v>
      </c>
      <c r="C1292">
        <v>600</v>
      </c>
      <c r="D1292">
        <v>2</v>
      </c>
      <c r="E1292">
        <v>500</v>
      </c>
      <c r="F1292" s="80">
        <v>44548</v>
      </c>
      <c r="G1292">
        <f>IFERROR(IF((F1292-F1291)&gt;1,(LARGE(F1292:$F1292,1)-LARGE(F$1279:$F1292,2))-1,""),"")</f>
        <v>4</v>
      </c>
    </row>
    <row r="1293" spans="1:7">
      <c r="A1293" s="75">
        <f>VLOOKUP(TradeSheet!A88,TypeIDs!B:C,2,FALSE)</f>
        <v>24471</v>
      </c>
      <c r="B1293" t="s">
        <v>47021</v>
      </c>
      <c r="C1293" t="s">
        <v>47022</v>
      </c>
      <c r="D1293" t="s">
        <v>47023</v>
      </c>
      <c r="E1293" t="s">
        <v>47024</v>
      </c>
      <c r="F1293" t="s">
        <v>47035</v>
      </c>
      <c r="G1293" t="s">
        <v>47034</v>
      </c>
    </row>
    <row r="1294" spans="1:7">
      <c r="A1294" s="75" t="str">
        <f>CONCATENATE(SwaggerURL,input087)</f>
        <v>https://esi.evetech.net/latest/markets/10000021/history/?datasource=tranquility&amp;type_id=24471</v>
      </c>
      <c r="B1294">
        <v>119.4</v>
      </c>
      <c r="C1294">
        <v>119.4</v>
      </c>
      <c r="D1294">
        <v>1</v>
      </c>
      <c r="E1294">
        <v>2000</v>
      </c>
      <c r="F1294" s="80">
        <v>44523</v>
      </c>
      <c r="G1294" t="str">
        <f>IFERROR(IF((F1294-F1293)&gt;1,(LARGE(F1294:$F1294,1)-LARGE(F$1294:$F1294,2))-1,""),"")</f>
        <v/>
      </c>
    </row>
    <row r="1295" spans="1:7">
      <c r="A1295" s="3" t="s">
        <v>47031</v>
      </c>
      <c r="B1295">
        <v>119.4</v>
      </c>
      <c r="C1295">
        <v>119.4</v>
      </c>
      <c r="D1295">
        <v>1</v>
      </c>
      <c r="E1295">
        <v>2000</v>
      </c>
      <c r="F1295" s="80">
        <v>44524</v>
      </c>
      <c r="G1295" t="str">
        <f>IFERROR(IF((F1295-F1294)&gt;1,(LARGE(F1295:$F1295,1)-LARGE(F$1294:$F1295,2))-1,""),"")</f>
        <v/>
      </c>
    </row>
    <row r="1296" spans="1:7">
      <c r="A1296" s="3" t="e">
        <f>AVERAGE(H1294:H1307)</f>
        <v>#DIV/0!</v>
      </c>
      <c r="B1296">
        <v>119.4</v>
      </c>
      <c r="C1296">
        <v>119.4</v>
      </c>
      <c r="D1296">
        <v>1</v>
      </c>
      <c r="E1296">
        <v>2050</v>
      </c>
      <c r="F1296" s="80">
        <v>44527</v>
      </c>
      <c r="G1296">
        <f>IFERROR(IF((F1296-F1295)&gt;1,(LARGE(F1296:$F1296,1)-LARGE(F$1294:$F1296,2))-1,""),"")</f>
        <v>2</v>
      </c>
    </row>
    <row r="1297" spans="1:7">
      <c r="A1297" s="3">
        <f>AVERAGE(E1294:E1307)</f>
        <v>2367.8571428571427</v>
      </c>
      <c r="B1297">
        <v>119.4</v>
      </c>
      <c r="C1297">
        <v>119.4</v>
      </c>
      <c r="D1297">
        <v>1</v>
      </c>
      <c r="E1297">
        <v>600</v>
      </c>
      <c r="F1297" s="80">
        <v>44529</v>
      </c>
      <c r="G1297">
        <f>IFERROR(IF((F1297-F1296)&gt;1,(LARGE(F1297:$F1297,1)-LARGE(F$1294:$F1297,2))-1,""),"")</f>
        <v>1</v>
      </c>
    </row>
    <row r="1298" spans="1:7">
      <c r="A1298" s="14" t="s">
        <v>47032</v>
      </c>
      <c r="B1298">
        <v>119.3</v>
      </c>
      <c r="C1298">
        <v>119.3</v>
      </c>
      <c r="D1298">
        <v>1</v>
      </c>
      <c r="E1298">
        <v>5000</v>
      </c>
      <c r="F1298" s="80">
        <v>44532</v>
      </c>
      <c r="G1298">
        <f>IFERROR(IF((F1298-F1297)&gt;1,(LARGE(F1298:$F1298,1)-LARGE(F$1294:$F1298,2))-1,""),"")</f>
        <v>2</v>
      </c>
    </row>
    <row r="1299" spans="1:7">
      <c r="A1299" s="14">
        <f>E1307</f>
        <v>300</v>
      </c>
      <c r="B1299">
        <v>119.3</v>
      </c>
      <c r="C1299">
        <v>119.3</v>
      </c>
      <c r="D1299">
        <v>1</v>
      </c>
      <c r="E1299">
        <v>500</v>
      </c>
      <c r="F1299" s="80">
        <v>44533</v>
      </c>
      <c r="G1299" t="str">
        <f>IFERROR(IF((F1299-F1298)&gt;1,(LARGE(F1299:$F1299,1)-LARGE(F$1294:$F1299,2))-1,""),"")</f>
        <v/>
      </c>
    </row>
    <row r="1300" spans="1:7">
      <c r="B1300">
        <v>119.3</v>
      </c>
      <c r="C1300">
        <v>119.3</v>
      </c>
      <c r="D1300">
        <v>1</v>
      </c>
      <c r="E1300">
        <v>3200</v>
      </c>
      <c r="F1300" s="80">
        <v>44534</v>
      </c>
      <c r="G1300" t="str">
        <f>IFERROR(IF((F1300-F1299)&gt;1,(LARGE(F1300:$F1300,1)-LARGE(F$1294:$F1300,2))-1,""),"")</f>
        <v/>
      </c>
    </row>
    <row r="1301" spans="1:7">
      <c r="B1301">
        <v>119.2</v>
      </c>
      <c r="C1301">
        <v>119.2</v>
      </c>
      <c r="D1301">
        <v>3</v>
      </c>
      <c r="E1301">
        <v>1300</v>
      </c>
      <c r="F1301" s="80">
        <v>44539</v>
      </c>
      <c r="G1301">
        <f>IFERROR(IF((F1301-F1300)&gt;1,(LARGE(F1301:$F1301,1)-LARGE(F$1294:$F1301,2))-1,""),"")</f>
        <v>4</v>
      </c>
    </row>
    <row r="1302" spans="1:7">
      <c r="B1302">
        <v>119.4</v>
      </c>
      <c r="C1302">
        <v>119.4</v>
      </c>
      <c r="D1302">
        <v>1</v>
      </c>
      <c r="E1302">
        <v>1650</v>
      </c>
      <c r="F1302" s="80">
        <v>44540</v>
      </c>
      <c r="G1302" t="str">
        <f>IFERROR(IF((F1302-F1301)&gt;1,(LARGE(F1302:$F1302,1)-LARGE(F$1294:$F1302,2))-1,""),"")</f>
        <v/>
      </c>
    </row>
    <row r="1303" spans="1:7">
      <c r="B1303">
        <v>119.4</v>
      </c>
      <c r="C1303">
        <v>119.4</v>
      </c>
      <c r="D1303">
        <v>2</v>
      </c>
      <c r="E1303">
        <v>650</v>
      </c>
      <c r="F1303" s="80">
        <v>44542</v>
      </c>
      <c r="G1303">
        <f>IFERROR(IF((F1303-F1302)&gt;1,(LARGE(F1303:$F1303,1)-LARGE(F$1294:$F1303,2))-1,""),"")</f>
        <v>1</v>
      </c>
    </row>
    <row r="1304" spans="1:7">
      <c r="B1304">
        <v>119.4</v>
      </c>
      <c r="C1304">
        <v>119.4</v>
      </c>
      <c r="D1304">
        <v>2</v>
      </c>
      <c r="E1304">
        <v>3550</v>
      </c>
      <c r="F1304" s="80">
        <v>44544</v>
      </c>
      <c r="G1304">
        <f>IFERROR(IF((F1304-F1303)&gt;1,(LARGE(F1304:$F1304,1)-LARGE(F$1294:$F1304,2))-1,""),"")</f>
        <v>1</v>
      </c>
    </row>
    <row r="1305" spans="1:7">
      <c r="B1305">
        <v>119.5</v>
      </c>
      <c r="C1305">
        <v>119.5</v>
      </c>
      <c r="D1305">
        <v>2</v>
      </c>
      <c r="E1305">
        <v>1300</v>
      </c>
      <c r="F1305" s="80">
        <v>44545</v>
      </c>
      <c r="G1305" t="str">
        <f>IFERROR(IF((F1305-F1304)&gt;1,(LARGE(F1305:$F1305,1)-LARGE(F$1294:$F1305,2))-1,""),"")</f>
        <v/>
      </c>
    </row>
    <row r="1306" spans="1:7">
      <c r="B1306">
        <v>119.5</v>
      </c>
      <c r="C1306">
        <v>119.5</v>
      </c>
      <c r="D1306">
        <v>4</v>
      </c>
      <c r="E1306">
        <v>9050</v>
      </c>
      <c r="F1306" s="80">
        <v>44546</v>
      </c>
      <c r="G1306" t="str">
        <f>IFERROR(IF((F1306-F1305)&gt;1,(LARGE(F1306:$F1306,1)-LARGE(F$1294:$F1306,2))-1,""),"")</f>
        <v/>
      </c>
    </row>
    <row r="1307" spans="1:7">
      <c r="B1307">
        <v>119.6</v>
      </c>
      <c r="C1307">
        <v>119.6</v>
      </c>
      <c r="D1307">
        <v>1</v>
      </c>
      <c r="E1307">
        <v>300</v>
      </c>
      <c r="F1307" s="80">
        <v>44548</v>
      </c>
      <c r="G1307">
        <f>IFERROR(IF((F1307-F1306)&gt;1,(LARGE(F1307:$F1307,1)-LARGE(F$1294:$F1307,2))-1,""),"")</f>
        <v>1</v>
      </c>
    </row>
    <row r="1308" spans="1:7">
      <c r="A1308" s="75">
        <f>VLOOKUP(TradeSheet!A89,TypeIDs!B:C,2,FALSE)</f>
        <v>27321</v>
      </c>
      <c r="B1308" t="s">
        <v>47021</v>
      </c>
      <c r="C1308" t="s">
        <v>47022</v>
      </c>
      <c r="D1308" t="s">
        <v>47023</v>
      </c>
      <c r="E1308" t="s">
        <v>47024</v>
      </c>
      <c r="F1308" t="s">
        <v>47035</v>
      </c>
      <c r="G1308" t="s">
        <v>47034</v>
      </c>
    </row>
    <row r="1309" spans="1:7">
      <c r="A1309" s="75" t="str">
        <f>CONCATENATE(SwaggerURL,input088)</f>
        <v>https://esi.evetech.net/latest/markets/10000021/history/?datasource=tranquility&amp;type_id=27321</v>
      </c>
      <c r="B1309">
        <v>880</v>
      </c>
      <c r="C1309">
        <v>880</v>
      </c>
      <c r="D1309">
        <v>2</v>
      </c>
      <c r="E1309">
        <v>700</v>
      </c>
      <c r="F1309" s="80">
        <v>44520</v>
      </c>
      <c r="G1309" t="str">
        <f>IFERROR(IF((F1309-F1308)&gt;1,(LARGE(F1309:$F1309,1)-LARGE(F$1309:$F1309,2))-1,""),"")</f>
        <v/>
      </c>
    </row>
    <row r="1310" spans="1:7">
      <c r="A1310" s="3" t="s">
        <v>47031</v>
      </c>
      <c r="B1310">
        <v>880</v>
      </c>
      <c r="C1310">
        <v>880</v>
      </c>
      <c r="D1310">
        <v>9</v>
      </c>
      <c r="E1310">
        <v>4124</v>
      </c>
      <c r="F1310" s="80">
        <v>44521</v>
      </c>
      <c r="G1310" t="str">
        <f>IFERROR(IF((F1310-F1309)&gt;1,(LARGE(F1310:$F1310,1)-LARGE(F$1309:$F1310,2))-1,""),"")</f>
        <v/>
      </c>
    </row>
    <row r="1311" spans="1:7">
      <c r="A1311" s="3" t="e">
        <f>AVERAGE(H1309:H1322)</f>
        <v>#DIV/0!</v>
      </c>
      <c r="B1311">
        <v>880</v>
      </c>
      <c r="C1311">
        <v>880</v>
      </c>
      <c r="D1311">
        <v>6</v>
      </c>
      <c r="E1311">
        <v>4173</v>
      </c>
      <c r="F1311" s="80">
        <v>44526</v>
      </c>
      <c r="G1311">
        <f>IFERROR(IF((F1311-F1310)&gt;1,(LARGE(F1311:$F1311,1)-LARGE(F$1309:$F1311,2))-1,""),"")</f>
        <v>4</v>
      </c>
    </row>
    <row r="1312" spans="1:7">
      <c r="A1312" s="3">
        <f>AVERAGE(E1309:E1322)</f>
        <v>1881.5</v>
      </c>
      <c r="B1312">
        <v>880</v>
      </c>
      <c r="C1312">
        <v>880</v>
      </c>
      <c r="D1312">
        <v>7</v>
      </c>
      <c r="E1312">
        <v>4947</v>
      </c>
      <c r="F1312" s="80">
        <v>44527</v>
      </c>
      <c r="G1312" t="str">
        <f>IFERROR(IF((F1312-F1311)&gt;1,(LARGE(F1312:$F1312,1)-LARGE(F$1309:$F1312,2))-1,""),"")</f>
        <v/>
      </c>
    </row>
    <row r="1313" spans="1:7">
      <c r="A1313" s="14" t="s">
        <v>47032</v>
      </c>
      <c r="B1313">
        <v>880</v>
      </c>
      <c r="C1313">
        <v>880</v>
      </c>
      <c r="D1313">
        <v>1</v>
      </c>
      <c r="E1313">
        <v>270</v>
      </c>
      <c r="F1313" s="80">
        <v>44531</v>
      </c>
      <c r="G1313">
        <f>IFERROR(IF((F1313-F1312)&gt;1,(LARGE(F1313:$F1313,1)-LARGE(F$1309:$F1313,2))-1,""),"")</f>
        <v>3</v>
      </c>
    </row>
    <row r="1314" spans="1:7">
      <c r="A1314" s="14">
        <f>E1322</f>
        <v>2400</v>
      </c>
      <c r="B1314">
        <v>778</v>
      </c>
      <c r="C1314">
        <v>778</v>
      </c>
      <c r="D1314">
        <v>2</v>
      </c>
      <c r="E1314">
        <v>2464</v>
      </c>
      <c r="F1314" s="80">
        <v>44532</v>
      </c>
      <c r="G1314" t="str">
        <f>IFERROR(IF((F1314-F1313)&gt;1,(LARGE(F1314:$F1314,1)-LARGE(F$1309:$F1314,2))-1,""),"")</f>
        <v/>
      </c>
    </row>
    <row r="1315" spans="1:7">
      <c r="B1315">
        <v>778</v>
      </c>
      <c r="C1315">
        <v>778</v>
      </c>
      <c r="D1315">
        <v>1</v>
      </c>
      <c r="E1315">
        <v>700</v>
      </c>
      <c r="F1315" s="80">
        <v>44534</v>
      </c>
      <c r="G1315">
        <f>IFERROR(IF((F1315-F1314)&gt;1,(LARGE(F1315:$F1315,1)-LARGE(F$1309:$F1315,2))-1,""),"")</f>
        <v>1</v>
      </c>
    </row>
    <row r="1316" spans="1:7">
      <c r="B1316">
        <v>778</v>
      </c>
      <c r="C1316">
        <v>778</v>
      </c>
      <c r="D1316">
        <v>2</v>
      </c>
      <c r="E1316">
        <v>1050</v>
      </c>
      <c r="F1316" s="80">
        <v>44535</v>
      </c>
      <c r="G1316" t="str">
        <f>IFERROR(IF((F1316-F1315)&gt;1,(LARGE(F1316:$F1316,1)-LARGE(F$1309:$F1316,2))-1,""),"")</f>
        <v/>
      </c>
    </row>
    <row r="1317" spans="1:7">
      <c r="B1317">
        <v>778</v>
      </c>
      <c r="C1317">
        <v>778</v>
      </c>
      <c r="D1317">
        <v>1</v>
      </c>
      <c r="E1317">
        <v>1563</v>
      </c>
      <c r="F1317" s="80">
        <v>44538</v>
      </c>
      <c r="G1317">
        <f>IFERROR(IF((F1317-F1316)&gt;1,(LARGE(F1317:$F1317,1)-LARGE(F$1309:$F1317,2))-1,""),"")</f>
        <v>2</v>
      </c>
    </row>
    <row r="1318" spans="1:7">
      <c r="B1318">
        <v>778</v>
      </c>
      <c r="C1318">
        <v>778</v>
      </c>
      <c r="D1318">
        <v>1</v>
      </c>
      <c r="E1318">
        <v>1000</v>
      </c>
      <c r="F1318" s="80">
        <v>44540</v>
      </c>
      <c r="G1318">
        <f>IFERROR(IF((F1318-F1317)&gt;1,(LARGE(F1318:$F1318,1)-LARGE(F$1309:$F1318,2))-1,""),"")</f>
        <v>1</v>
      </c>
    </row>
    <row r="1319" spans="1:7">
      <c r="B1319">
        <v>778</v>
      </c>
      <c r="C1319">
        <v>778</v>
      </c>
      <c r="D1319">
        <v>1</v>
      </c>
      <c r="E1319">
        <v>250</v>
      </c>
      <c r="F1319" s="80">
        <v>44541</v>
      </c>
      <c r="G1319" t="str">
        <f>IFERROR(IF((F1319-F1318)&gt;1,(LARGE(F1319:$F1319,1)-LARGE(F$1309:$F1319,2))-1,""),"")</f>
        <v/>
      </c>
    </row>
    <row r="1320" spans="1:7">
      <c r="B1320">
        <v>778</v>
      </c>
      <c r="C1320">
        <v>778</v>
      </c>
      <c r="D1320">
        <v>3</v>
      </c>
      <c r="E1320">
        <v>1700</v>
      </c>
      <c r="F1320" s="80">
        <v>44545</v>
      </c>
      <c r="G1320">
        <f>IFERROR(IF((F1320-F1319)&gt;1,(LARGE(F1320:$F1320,1)-LARGE(F$1309:$F1320,2))-1,""),"")</f>
        <v>3</v>
      </c>
    </row>
    <row r="1321" spans="1:7">
      <c r="B1321">
        <v>778</v>
      </c>
      <c r="C1321">
        <v>778</v>
      </c>
      <c r="D1321">
        <v>1</v>
      </c>
      <c r="E1321">
        <v>1000</v>
      </c>
      <c r="F1321" s="80">
        <v>44547</v>
      </c>
      <c r="G1321">
        <f>IFERROR(IF((F1321-F1320)&gt;1,(LARGE(F1321:$F1321,1)-LARGE(F$1309:$F1321,2))-1,""),"")</f>
        <v>1</v>
      </c>
    </row>
    <row r="1322" spans="1:7">
      <c r="B1322">
        <v>778</v>
      </c>
      <c r="C1322">
        <v>778</v>
      </c>
      <c r="D1322">
        <v>4</v>
      </c>
      <c r="E1322">
        <v>2400</v>
      </c>
      <c r="F1322" s="80">
        <v>44548</v>
      </c>
      <c r="G1322" t="str">
        <f>IFERROR(IF((F1322-F1321)&gt;1,(LARGE(F1322:$F1322,1)-LARGE(F$1309:$F1322,2))-1,""),"")</f>
        <v/>
      </c>
    </row>
    <row r="1323" spans="1:7">
      <c r="A1323" s="75">
        <f>VLOOKUP(TradeSheet!A90,TypeIDs!B:C,2,FALSE)</f>
        <v>27327</v>
      </c>
      <c r="B1323" t="s">
        <v>47021</v>
      </c>
      <c r="C1323" t="s">
        <v>47022</v>
      </c>
      <c r="D1323" t="s">
        <v>47023</v>
      </c>
      <c r="E1323" t="s">
        <v>47024</v>
      </c>
      <c r="F1323" t="s">
        <v>47035</v>
      </c>
      <c r="G1323" t="s">
        <v>47034</v>
      </c>
    </row>
    <row r="1324" spans="1:7">
      <c r="A1324" s="75" t="str">
        <f>CONCATENATE(SwaggerURL,input089)</f>
        <v>https://esi.evetech.net/latest/markets/10000021/history/?datasource=tranquility&amp;type_id=27327</v>
      </c>
      <c r="B1324">
        <v>699.9</v>
      </c>
      <c r="C1324">
        <v>699.9</v>
      </c>
      <c r="D1324">
        <v>5</v>
      </c>
      <c r="E1324">
        <v>3000</v>
      </c>
      <c r="F1324" s="80">
        <v>44526</v>
      </c>
      <c r="G1324" t="str">
        <f>IFERROR(IF((F1324-F1323)&gt;1,(LARGE(F1324:$F1324,1)-LARGE(F$1324:$F1324,2))-1,""),"")</f>
        <v/>
      </c>
    </row>
    <row r="1325" spans="1:7">
      <c r="A1325" s="3" t="s">
        <v>47031</v>
      </c>
      <c r="B1325">
        <v>699.9</v>
      </c>
      <c r="C1325">
        <v>699.9</v>
      </c>
      <c r="D1325">
        <v>6</v>
      </c>
      <c r="E1325">
        <v>3291</v>
      </c>
      <c r="F1325" s="80">
        <v>44527</v>
      </c>
      <c r="G1325" t="str">
        <f>IFERROR(IF((F1325-F1324)&gt;1,(LARGE(F1325:$F1325,1)-LARGE(F$1324:$F1325,2))-1,""),"")</f>
        <v/>
      </c>
    </row>
    <row r="1326" spans="1:7">
      <c r="A1326" s="3" t="e">
        <f>AVERAGE(H1324:H1337)</f>
        <v>#DIV/0!</v>
      </c>
      <c r="B1326">
        <v>699.9</v>
      </c>
      <c r="C1326">
        <v>699.9</v>
      </c>
      <c r="D1326">
        <v>3</v>
      </c>
      <c r="E1326">
        <v>845</v>
      </c>
      <c r="F1326" s="80">
        <v>44528</v>
      </c>
      <c r="G1326" t="str">
        <f>IFERROR(IF((F1326-F1325)&gt;1,(LARGE(F1326:$F1326,1)-LARGE(F$1324:$F1326,2))-1,""),"")</f>
        <v/>
      </c>
    </row>
    <row r="1327" spans="1:7">
      <c r="A1327" s="3">
        <f>AVERAGE(E1324:E1337)</f>
        <v>1571.7142857142858</v>
      </c>
      <c r="B1327">
        <v>699.9</v>
      </c>
      <c r="C1327">
        <v>699.9</v>
      </c>
      <c r="D1327">
        <v>1</v>
      </c>
      <c r="E1327">
        <v>225</v>
      </c>
      <c r="F1327" s="80">
        <v>44529</v>
      </c>
      <c r="G1327" t="str">
        <f>IFERROR(IF((F1327-F1326)&gt;1,(LARGE(F1327:$F1327,1)-LARGE(F$1324:$F1327,2))-1,""),"")</f>
        <v/>
      </c>
    </row>
    <row r="1328" spans="1:7">
      <c r="A1328" s="14" t="s">
        <v>47032</v>
      </c>
      <c r="B1328">
        <v>699.9</v>
      </c>
      <c r="C1328">
        <v>699.9</v>
      </c>
      <c r="D1328">
        <v>1</v>
      </c>
      <c r="E1328">
        <v>270</v>
      </c>
      <c r="F1328" s="80">
        <v>44531</v>
      </c>
      <c r="G1328">
        <f>IFERROR(IF((F1328-F1327)&gt;1,(LARGE(F1328:$F1328,1)-LARGE(F$1324:$F1328,2))-1,""),"")</f>
        <v>1</v>
      </c>
    </row>
    <row r="1329" spans="1:7">
      <c r="A1329" s="14">
        <f>E1337</f>
        <v>500</v>
      </c>
      <c r="B1329">
        <v>699.9</v>
      </c>
      <c r="C1329">
        <v>699.9</v>
      </c>
      <c r="D1329">
        <v>2</v>
      </c>
      <c r="E1329">
        <v>1000</v>
      </c>
      <c r="F1329" s="80">
        <v>44532</v>
      </c>
      <c r="G1329" t="str">
        <f>IFERROR(IF((F1329-F1328)&gt;1,(LARGE(F1329:$F1329,1)-LARGE(F$1324:$F1329,2))-1,""),"")</f>
        <v/>
      </c>
    </row>
    <row r="1330" spans="1:7">
      <c r="B1330">
        <v>699.9</v>
      </c>
      <c r="C1330">
        <v>699.9</v>
      </c>
      <c r="D1330">
        <v>1</v>
      </c>
      <c r="E1330">
        <v>700</v>
      </c>
      <c r="F1330" s="80">
        <v>44534</v>
      </c>
      <c r="G1330">
        <f>IFERROR(IF((F1330-F1329)&gt;1,(LARGE(F1330:$F1330,1)-LARGE(F$1324:$F1330,2))-1,""),"")</f>
        <v>1</v>
      </c>
    </row>
    <row r="1331" spans="1:7">
      <c r="B1331">
        <v>699.9</v>
      </c>
      <c r="C1331">
        <v>699.9</v>
      </c>
      <c r="D1331">
        <v>2</v>
      </c>
      <c r="E1331">
        <v>3700</v>
      </c>
      <c r="F1331" s="80">
        <v>44535</v>
      </c>
      <c r="G1331" t="str">
        <f>IFERROR(IF((F1331-F1330)&gt;1,(LARGE(F1331:$F1331,1)-LARGE(F$1324:$F1331,2))-1,""),"")</f>
        <v/>
      </c>
    </row>
    <row r="1332" spans="1:7">
      <c r="B1332">
        <v>699.9</v>
      </c>
      <c r="C1332">
        <v>699.9</v>
      </c>
      <c r="D1332">
        <v>2</v>
      </c>
      <c r="E1332">
        <v>265</v>
      </c>
      <c r="F1332" s="80">
        <v>44539</v>
      </c>
      <c r="G1332">
        <f>IFERROR(IF((F1332-F1331)&gt;1,(LARGE(F1332:$F1332,1)-LARGE(F$1324:$F1332,2))-1,""),"")</f>
        <v>3</v>
      </c>
    </row>
    <row r="1333" spans="1:7">
      <c r="B1333">
        <v>699.9</v>
      </c>
      <c r="C1333">
        <v>699.9</v>
      </c>
      <c r="D1333">
        <v>1</v>
      </c>
      <c r="E1333">
        <v>1000</v>
      </c>
      <c r="F1333" s="80">
        <v>44540</v>
      </c>
      <c r="G1333" t="str">
        <f>IFERROR(IF((F1333-F1332)&gt;1,(LARGE(F1333:$F1333,1)-LARGE(F$1324:$F1333,2))-1,""),"")</f>
        <v/>
      </c>
    </row>
    <row r="1334" spans="1:7">
      <c r="B1334">
        <v>699.9</v>
      </c>
      <c r="C1334">
        <v>699.9</v>
      </c>
      <c r="D1334">
        <v>2</v>
      </c>
      <c r="E1334">
        <v>750</v>
      </c>
      <c r="F1334" s="80">
        <v>44541</v>
      </c>
      <c r="G1334" t="str">
        <f>IFERROR(IF((F1334-F1333)&gt;1,(LARGE(F1334:$F1334,1)-LARGE(F$1324:$F1334,2))-1,""),"")</f>
        <v/>
      </c>
    </row>
    <row r="1335" spans="1:7">
      <c r="B1335">
        <v>699.9</v>
      </c>
      <c r="C1335">
        <v>699.9</v>
      </c>
      <c r="D1335">
        <v>4</v>
      </c>
      <c r="E1335">
        <v>2045</v>
      </c>
      <c r="F1335" s="80">
        <v>44545</v>
      </c>
      <c r="G1335">
        <f>IFERROR(IF((F1335-F1334)&gt;1,(LARGE(F1335:$F1335,1)-LARGE(F$1324:$F1335,2))-1,""),"")</f>
        <v>3</v>
      </c>
    </row>
    <row r="1336" spans="1:7">
      <c r="B1336">
        <v>699.9</v>
      </c>
      <c r="C1336">
        <v>699.9</v>
      </c>
      <c r="D1336">
        <v>6</v>
      </c>
      <c r="E1336">
        <v>4413</v>
      </c>
      <c r="F1336" s="80">
        <v>44548</v>
      </c>
      <c r="G1336">
        <f>IFERROR(IF((F1336-F1335)&gt;1,(LARGE(F1336:$F1336,1)-LARGE(F$1324:$F1336,2))-1,""),"")</f>
        <v>2</v>
      </c>
    </row>
    <row r="1337" spans="1:7">
      <c r="B1337">
        <v>699</v>
      </c>
      <c r="C1337">
        <v>699</v>
      </c>
      <c r="D1337">
        <v>1</v>
      </c>
      <c r="E1337">
        <v>500</v>
      </c>
      <c r="F1337" s="80">
        <v>44549</v>
      </c>
      <c r="G1337" t="str">
        <f>IFERROR(IF((F1337-F1336)&gt;1,(LARGE(F1337:$F1337,1)-LARGE(F$1324:$F1337,2))-1,""),"")</f>
        <v/>
      </c>
    </row>
    <row r="1338" spans="1:7">
      <c r="A1338" s="75">
        <f>VLOOKUP(TradeSheet!A91,TypeIDs!B:C,2,FALSE)</f>
        <v>24523</v>
      </c>
      <c r="B1338" t="s">
        <v>47021</v>
      </c>
      <c r="C1338" t="s">
        <v>47022</v>
      </c>
      <c r="D1338" t="s">
        <v>47023</v>
      </c>
      <c r="E1338" t="s">
        <v>47024</v>
      </c>
      <c r="F1338" t="s">
        <v>47035</v>
      </c>
      <c r="G1338" t="s">
        <v>47034</v>
      </c>
    </row>
    <row r="1339" spans="1:7">
      <c r="A1339" s="75" t="str">
        <f>CONCATENATE(SwaggerURL,input090)</f>
        <v>https://esi.evetech.net/latest/markets/10000021/history/?datasource=tranquility&amp;type_id=24523</v>
      </c>
      <c r="B1339">
        <v>2849</v>
      </c>
      <c r="C1339">
        <v>2849</v>
      </c>
      <c r="D1339">
        <v>9</v>
      </c>
      <c r="E1339">
        <v>33100</v>
      </c>
      <c r="F1339" s="80">
        <v>44535</v>
      </c>
      <c r="G1339" t="str">
        <f>IFERROR(IF((F1339-F1338)&gt;1,(LARGE(F1339:$F1339,1)-LARGE(F$1339:$F1339,2))-1,""),"")</f>
        <v/>
      </c>
    </row>
    <row r="1340" spans="1:7">
      <c r="A1340" s="3" t="s">
        <v>47031</v>
      </c>
      <c r="B1340">
        <v>2850</v>
      </c>
      <c r="C1340">
        <v>2850</v>
      </c>
      <c r="D1340">
        <v>6</v>
      </c>
      <c r="E1340">
        <v>14275</v>
      </c>
      <c r="F1340" s="80">
        <v>44536</v>
      </c>
      <c r="G1340" t="str">
        <f>IFERROR(IF((F1340-F1339)&gt;1,(LARGE(F1340:$F1340,1)-LARGE(F$1339:$F1340,2))-1,""),"")</f>
        <v/>
      </c>
    </row>
    <row r="1341" spans="1:7">
      <c r="A1341" s="3" t="e">
        <f>AVERAGE(H1339:H1352)</f>
        <v>#DIV/0!</v>
      </c>
      <c r="B1341">
        <v>2740</v>
      </c>
      <c r="C1341">
        <v>2740</v>
      </c>
      <c r="D1341">
        <v>2</v>
      </c>
      <c r="E1341">
        <v>13000</v>
      </c>
      <c r="F1341" s="80">
        <v>44537</v>
      </c>
      <c r="G1341" t="str">
        <f>IFERROR(IF((F1341-F1340)&gt;1,(LARGE(F1341:$F1341,1)-LARGE(F$1339:$F1341,2))-1,""),"")</f>
        <v/>
      </c>
    </row>
    <row r="1342" spans="1:7">
      <c r="A1342" s="3">
        <f>AVERAGE(E1339:E1352)</f>
        <v>13801.357142857143</v>
      </c>
      <c r="B1342">
        <v>2700</v>
      </c>
      <c r="C1342">
        <v>2700</v>
      </c>
      <c r="D1342">
        <v>3</v>
      </c>
      <c r="E1342">
        <v>1500</v>
      </c>
      <c r="F1342" s="80">
        <v>44538</v>
      </c>
      <c r="G1342" t="str">
        <f>IFERROR(IF((F1342-F1341)&gt;1,(LARGE(F1342:$F1342,1)-LARGE(F$1339:$F1342,2))-1,""),"")</f>
        <v/>
      </c>
    </row>
    <row r="1343" spans="1:7">
      <c r="A1343" s="14" t="s">
        <v>47032</v>
      </c>
      <c r="B1343">
        <v>2650</v>
      </c>
      <c r="C1343">
        <v>2650</v>
      </c>
      <c r="D1343">
        <v>3</v>
      </c>
      <c r="E1343">
        <v>4230</v>
      </c>
      <c r="F1343" s="80">
        <v>44539</v>
      </c>
      <c r="G1343" t="str">
        <f>IFERROR(IF((F1343-F1342)&gt;1,(LARGE(F1343:$F1343,1)-LARGE(F$1339:$F1343,2))-1,""),"")</f>
        <v/>
      </c>
    </row>
    <row r="1344" spans="1:7">
      <c r="A1344" s="14">
        <f>E1352</f>
        <v>5766</v>
      </c>
      <c r="B1344">
        <v>2600</v>
      </c>
      <c r="C1344">
        <v>2600</v>
      </c>
      <c r="D1344">
        <v>1</v>
      </c>
      <c r="E1344">
        <v>1000</v>
      </c>
      <c r="F1344" s="80">
        <v>44540</v>
      </c>
      <c r="G1344" t="str">
        <f>IFERROR(IF((F1344-F1343)&gt;1,(LARGE(F1344:$F1344,1)-LARGE(F$1339:$F1344,2))-1,""),"")</f>
        <v/>
      </c>
    </row>
    <row r="1345" spans="1:7">
      <c r="B1345">
        <v>2596</v>
      </c>
      <c r="C1345">
        <v>2595</v>
      </c>
      <c r="D1345">
        <v>8</v>
      </c>
      <c r="E1345">
        <v>39000</v>
      </c>
      <c r="F1345" s="80">
        <v>44541</v>
      </c>
      <c r="G1345" t="str">
        <f>IFERROR(IF((F1345-F1344)&gt;1,(LARGE(F1345:$F1345,1)-LARGE(F$1339:$F1345,2))-1,""),"")</f>
        <v/>
      </c>
    </row>
    <row r="1346" spans="1:7">
      <c r="B1346">
        <v>2595</v>
      </c>
      <c r="C1346">
        <v>2595</v>
      </c>
      <c r="D1346">
        <v>2</v>
      </c>
      <c r="E1346">
        <v>10000</v>
      </c>
      <c r="F1346" s="80">
        <v>44542</v>
      </c>
      <c r="G1346" t="str">
        <f>IFERROR(IF((F1346-F1345)&gt;1,(LARGE(F1346:$F1346,1)-LARGE(F$1339:$F1346,2))-1,""),"")</f>
        <v/>
      </c>
    </row>
    <row r="1347" spans="1:7">
      <c r="B1347">
        <v>2589</v>
      </c>
      <c r="C1347">
        <v>2589</v>
      </c>
      <c r="D1347">
        <v>5</v>
      </c>
      <c r="E1347">
        <v>49388</v>
      </c>
      <c r="F1347" s="80">
        <v>44543</v>
      </c>
      <c r="G1347" t="str">
        <f>IFERROR(IF((F1347-F1346)&gt;1,(LARGE(F1347:$F1347,1)-LARGE(F$1339:$F1347,2))-1,""),"")</f>
        <v/>
      </c>
    </row>
    <row r="1348" spans="1:7">
      <c r="B1348">
        <v>2596</v>
      </c>
      <c r="C1348">
        <v>2596</v>
      </c>
      <c r="D1348">
        <v>2</v>
      </c>
      <c r="E1348">
        <v>2660</v>
      </c>
      <c r="F1348" s="80">
        <v>44544</v>
      </c>
      <c r="G1348" t="str">
        <f>IFERROR(IF((F1348-F1347)&gt;1,(LARGE(F1348:$F1348,1)-LARGE(F$1339:$F1348,2))-1,""),"")</f>
        <v/>
      </c>
    </row>
    <row r="1349" spans="1:7">
      <c r="B1349">
        <v>2590</v>
      </c>
      <c r="C1349">
        <v>2590</v>
      </c>
      <c r="D1349">
        <v>1</v>
      </c>
      <c r="E1349">
        <v>500</v>
      </c>
      <c r="F1349" s="80">
        <v>44545</v>
      </c>
      <c r="G1349" t="str">
        <f>IFERROR(IF((F1349-F1348)&gt;1,(LARGE(F1349:$F1349,1)-LARGE(F$1339:$F1349,2))-1,""),"")</f>
        <v/>
      </c>
    </row>
    <row r="1350" spans="1:7">
      <c r="B1350">
        <v>2596</v>
      </c>
      <c r="C1350">
        <v>2596</v>
      </c>
      <c r="D1350">
        <v>3</v>
      </c>
      <c r="E1350">
        <v>18000</v>
      </c>
      <c r="F1350" s="80">
        <v>44546</v>
      </c>
      <c r="G1350" t="str">
        <f>IFERROR(IF((F1350-F1349)&gt;1,(LARGE(F1350:$F1350,1)-LARGE(F$1339:$F1350,2))-1,""),"")</f>
        <v/>
      </c>
    </row>
    <row r="1351" spans="1:7">
      <c r="B1351">
        <v>2550</v>
      </c>
      <c r="C1351">
        <v>2550</v>
      </c>
      <c r="D1351">
        <v>1</v>
      </c>
      <c r="E1351">
        <v>800</v>
      </c>
      <c r="F1351" s="80">
        <v>44547</v>
      </c>
      <c r="G1351" t="str">
        <f>IFERROR(IF((F1351-F1350)&gt;1,(LARGE(F1351:$F1351,1)-LARGE(F$1339:$F1351,2))-1,""),"")</f>
        <v/>
      </c>
    </row>
    <row r="1352" spans="1:7">
      <c r="B1352">
        <v>2550</v>
      </c>
      <c r="C1352">
        <v>2550</v>
      </c>
      <c r="D1352">
        <v>7</v>
      </c>
      <c r="E1352">
        <v>5766</v>
      </c>
      <c r="F1352" s="80">
        <v>44548</v>
      </c>
      <c r="G1352" t="str">
        <f>IFERROR(IF((F1352-F1351)&gt;1,(LARGE(F1352:$F1352,1)-LARGE(F$1339:$F1352,2))-1,""),"")</f>
        <v/>
      </c>
    </row>
    <row r="1353" spans="1:7">
      <c r="A1353" s="75">
        <f>VLOOKUP(TradeSheet!A92,TypeIDs!B:C,2,FALSE)</f>
        <v>24519</v>
      </c>
      <c r="B1353" t="s">
        <v>47021</v>
      </c>
      <c r="C1353" t="s">
        <v>47022</v>
      </c>
      <c r="D1353" t="s">
        <v>47023</v>
      </c>
      <c r="E1353" t="s">
        <v>47024</v>
      </c>
      <c r="F1353" t="s">
        <v>47035</v>
      </c>
      <c r="G1353" t="s">
        <v>47034</v>
      </c>
    </row>
    <row r="1354" spans="1:7">
      <c r="A1354" s="75" t="str">
        <f>CONCATENATE(SwaggerURL,input091)</f>
        <v>https://esi.evetech.net/latest/markets/10000021/history/?datasource=tranquility&amp;type_id=24519</v>
      </c>
      <c r="B1354">
        <v>3040</v>
      </c>
      <c r="C1354">
        <v>3040</v>
      </c>
      <c r="D1354">
        <v>4</v>
      </c>
      <c r="E1354">
        <v>2760</v>
      </c>
      <c r="F1354" s="80">
        <v>44513</v>
      </c>
      <c r="G1354" t="str">
        <f>IFERROR(IF((F1354-F1353)&gt;1,(LARGE(F1354:$F1354,1)-LARGE(F$1354:$F1354,2))-1,""),"")</f>
        <v/>
      </c>
    </row>
    <row r="1355" spans="1:7">
      <c r="A1355" s="3" t="s">
        <v>47031</v>
      </c>
      <c r="B1355">
        <v>3040</v>
      </c>
      <c r="C1355">
        <v>3040</v>
      </c>
      <c r="D1355">
        <v>1</v>
      </c>
      <c r="E1355">
        <v>2000</v>
      </c>
      <c r="F1355" s="80">
        <v>44517</v>
      </c>
      <c r="G1355">
        <f>IFERROR(IF((F1355-F1354)&gt;1,(LARGE(F1355:$F1355,1)-LARGE(F$1354:$F1355,2))-1,""),"")</f>
        <v>3</v>
      </c>
    </row>
    <row r="1356" spans="1:7">
      <c r="A1356" s="3" t="e">
        <f>AVERAGE(H1354:H1367)</f>
        <v>#DIV/0!</v>
      </c>
      <c r="B1356">
        <v>3040</v>
      </c>
      <c r="C1356">
        <v>3040</v>
      </c>
      <c r="D1356">
        <v>1</v>
      </c>
      <c r="E1356">
        <v>1000</v>
      </c>
      <c r="F1356" s="80">
        <v>44519</v>
      </c>
      <c r="G1356">
        <f>IFERROR(IF((F1356-F1355)&gt;1,(LARGE(F1356:$F1356,1)-LARGE(F$1354:$F1356,2))-1,""),"")</f>
        <v>1</v>
      </c>
    </row>
    <row r="1357" spans="1:7">
      <c r="A1357" s="3">
        <f>AVERAGE(E1354:E1367)</f>
        <v>3821.1428571428573</v>
      </c>
      <c r="B1357">
        <v>3000</v>
      </c>
      <c r="C1357">
        <v>3000</v>
      </c>
      <c r="D1357">
        <v>2</v>
      </c>
      <c r="E1357">
        <v>12400</v>
      </c>
      <c r="F1357" s="80">
        <v>44520</v>
      </c>
      <c r="G1357" t="str">
        <f>IFERROR(IF((F1357-F1356)&gt;1,(LARGE(F1357:$F1357,1)-LARGE(F$1354:$F1357,2))-1,""),"")</f>
        <v/>
      </c>
    </row>
    <row r="1358" spans="1:7">
      <c r="A1358" s="14" t="s">
        <v>47032</v>
      </c>
      <c r="B1358">
        <v>3025</v>
      </c>
      <c r="C1358">
        <v>3025</v>
      </c>
      <c r="D1358">
        <v>5</v>
      </c>
      <c r="E1358">
        <v>6555</v>
      </c>
      <c r="F1358" s="80">
        <v>44524</v>
      </c>
      <c r="G1358">
        <f>IFERROR(IF((F1358-F1357)&gt;1,(LARGE(F1358:$F1358,1)-LARGE(F$1354:$F1358,2))-1,""),"")</f>
        <v>3</v>
      </c>
    </row>
    <row r="1359" spans="1:7">
      <c r="A1359" s="14">
        <f>E1367</f>
        <v>13955</v>
      </c>
      <c r="B1359">
        <v>3025</v>
      </c>
      <c r="C1359">
        <v>3025</v>
      </c>
      <c r="D1359">
        <v>1</v>
      </c>
      <c r="E1359">
        <v>400</v>
      </c>
      <c r="F1359" s="80">
        <v>44527</v>
      </c>
      <c r="G1359">
        <f>IFERROR(IF((F1359-F1358)&gt;1,(LARGE(F1359:$F1359,1)-LARGE(F$1354:$F1359,2))-1,""),"")</f>
        <v>2</v>
      </c>
    </row>
    <row r="1360" spans="1:7">
      <c r="B1360">
        <v>2900</v>
      </c>
      <c r="C1360">
        <v>2900</v>
      </c>
      <c r="D1360">
        <v>2</v>
      </c>
      <c r="E1360">
        <v>2500</v>
      </c>
      <c r="F1360" s="80">
        <v>44531</v>
      </c>
      <c r="G1360">
        <f>IFERROR(IF((F1360-F1359)&gt;1,(LARGE(F1360:$F1360,1)-LARGE(F$1354:$F1360,2))-1,""),"")</f>
        <v>3</v>
      </c>
    </row>
    <row r="1361" spans="1:7">
      <c r="B1361">
        <v>2949</v>
      </c>
      <c r="C1361">
        <v>2949</v>
      </c>
      <c r="D1361">
        <v>8</v>
      </c>
      <c r="E1361">
        <v>5526</v>
      </c>
      <c r="F1361" s="80">
        <v>44534</v>
      </c>
      <c r="G1361">
        <f>IFERROR(IF((F1361-F1360)&gt;1,(LARGE(F1361:$F1361,1)-LARGE(F$1354:$F1361,2))-1,""),"")</f>
        <v>2</v>
      </c>
    </row>
    <row r="1362" spans="1:7">
      <c r="B1362">
        <v>2900</v>
      </c>
      <c r="C1362">
        <v>2900</v>
      </c>
      <c r="D1362">
        <v>2</v>
      </c>
      <c r="E1362">
        <v>1500</v>
      </c>
      <c r="F1362" s="80">
        <v>44535</v>
      </c>
      <c r="G1362" t="str">
        <f>IFERROR(IF((F1362-F1361)&gt;1,(LARGE(F1362:$F1362,1)-LARGE(F$1354:$F1362,2))-1,""),"")</f>
        <v/>
      </c>
    </row>
    <row r="1363" spans="1:7">
      <c r="B1363">
        <v>3040</v>
      </c>
      <c r="C1363">
        <v>3040</v>
      </c>
      <c r="D1363">
        <v>3</v>
      </c>
      <c r="E1363">
        <v>780</v>
      </c>
      <c r="F1363" s="80">
        <v>44536</v>
      </c>
      <c r="G1363" t="str">
        <f>IFERROR(IF((F1363-F1362)&gt;1,(LARGE(F1363:$F1363,1)-LARGE(F$1354:$F1363,2))-1,""),"")</f>
        <v/>
      </c>
    </row>
    <row r="1364" spans="1:7">
      <c r="B1364">
        <v>2550</v>
      </c>
      <c r="C1364">
        <v>2550</v>
      </c>
      <c r="D1364">
        <v>1</v>
      </c>
      <c r="E1364">
        <v>500</v>
      </c>
      <c r="F1364" s="80">
        <v>44545</v>
      </c>
      <c r="G1364">
        <f>IFERROR(IF((F1364-F1363)&gt;1,(LARGE(F1364:$F1364,1)-LARGE(F$1354:$F1364,2))-1,""),"")</f>
        <v>8</v>
      </c>
    </row>
    <row r="1365" spans="1:7">
      <c r="B1365">
        <v>2550</v>
      </c>
      <c r="C1365">
        <v>2550</v>
      </c>
      <c r="D1365">
        <v>1</v>
      </c>
      <c r="E1365">
        <v>800</v>
      </c>
      <c r="F1365" s="80">
        <v>44547</v>
      </c>
      <c r="G1365">
        <f>IFERROR(IF((F1365-F1364)&gt;1,(LARGE(F1365:$F1365,1)-LARGE(F$1354:$F1365,2))-1,""),"")</f>
        <v>1</v>
      </c>
    </row>
    <row r="1366" spans="1:7">
      <c r="B1366">
        <v>2550</v>
      </c>
      <c r="C1366">
        <v>2550</v>
      </c>
      <c r="D1366">
        <v>4</v>
      </c>
      <c r="E1366">
        <v>2820</v>
      </c>
      <c r="F1366" s="80">
        <v>44548</v>
      </c>
      <c r="G1366" t="str">
        <f>IFERROR(IF((F1366-F1365)&gt;1,(LARGE(F1366:$F1366,1)-LARGE(F$1354:$F1366,2))-1,""),"")</f>
        <v/>
      </c>
    </row>
    <row r="1367" spans="1:7">
      <c r="B1367">
        <v>3025</v>
      </c>
      <c r="C1367">
        <v>3025</v>
      </c>
      <c r="D1367">
        <v>6</v>
      </c>
      <c r="E1367">
        <v>13955</v>
      </c>
      <c r="F1367" s="80">
        <v>44549</v>
      </c>
      <c r="G1367" t="str">
        <f>IFERROR(IF((F1367-F1366)&gt;1,(LARGE(F1367:$F1367,1)-LARGE(F$1354:$F1367,2))-1,""),"")</f>
        <v/>
      </c>
    </row>
    <row r="1368" spans="1:7">
      <c r="A1368" s="75">
        <f>VLOOKUP(TradeSheet!A93,TypeIDs!B:C,2,FALSE)</f>
        <v>24527</v>
      </c>
      <c r="B1368" t="s">
        <v>47021</v>
      </c>
      <c r="C1368" t="s">
        <v>47022</v>
      </c>
      <c r="D1368" t="s">
        <v>47023</v>
      </c>
      <c r="E1368" t="s">
        <v>47024</v>
      </c>
      <c r="F1368" t="s">
        <v>47035</v>
      </c>
      <c r="G1368" t="s">
        <v>47034</v>
      </c>
    </row>
    <row r="1369" spans="1:7">
      <c r="A1369" s="75" t="str">
        <f>CONCATENATE(SwaggerURL,input092)</f>
        <v>https://esi.evetech.net/latest/markets/10000021/history/?datasource=tranquility&amp;type_id=24527</v>
      </c>
      <c r="B1369">
        <v>2399</v>
      </c>
      <c r="C1369">
        <v>2399</v>
      </c>
      <c r="D1369">
        <v>4</v>
      </c>
      <c r="E1369">
        <v>6686</v>
      </c>
      <c r="F1369" s="80">
        <v>44520</v>
      </c>
      <c r="G1369" t="str">
        <f>IFERROR(IF((F1369-F1368)&gt;1,(LARGE(F1369:$F1369,1)-LARGE(F$1369:$F1369,2))-1,""),"")</f>
        <v/>
      </c>
    </row>
    <row r="1370" spans="1:7">
      <c r="A1370" s="3" t="s">
        <v>47031</v>
      </c>
      <c r="B1370">
        <v>2399</v>
      </c>
      <c r="C1370">
        <v>2399</v>
      </c>
      <c r="D1370">
        <v>2</v>
      </c>
      <c r="E1370">
        <v>10079</v>
      </c>
      <c r="F1370" s="80">
        <v>44522</v>
      </c>
      <c r="G1370">
        <f>IFERROR(IF((F1370-F1369)&gt;1,(LARGE(F1370:$F1370,1)-LARGE(F$1369:$F1370,2))-1,""),"")</f>
        <v>1</v>
      </c>
    </row>
    <row r="1371" spans="1:7">
      <c r="A1371" s="3" t="e">
        <f>AVERAGE(H1369:H1382)</f>
        <v>#DIV/0!</v>
      </c>
      <c r="B1371">
        <v>2400</v>
      </c>
      <c r="C1371">
        <v>2400</v>
      </c>
      <c r="D1371">
        <v>1</v>
      </c>
      <c r="E1371">
        <v>1111</v>
      </c>
      <c r="F1371" s="80">
        <v>44524</v>
      </c>
      <c r="G1371">
        <f>IFERROR(IF((F1371-F1370)&gt;1,(LARGE(F1371:$F1371,1)-LARGE(F$1369:$F1371,2))-1,""),"")</f>
        <v>1</v>
      </c>
    </row>
    <row r="1372" spans="1:7">
      <c r="A1372" s="3">
        <f>AVERAGE(E1369:E1382)</f>
        <v>10320.142857142857</v>
      </c>
      <c r="B1372">
        <v>2400</v>
      </c>
      <c r="C1372">
        <v>2400</v>
      </c>
      <c r="D1372">
        <v>1</v>
      </c>
      <c r="E1372">
        <v>12000</v>
      </c>
      <c r="F1372" s="80">
        <v>44530</v>
      </c>
      <c r="G1372">
        <f>IFERROR(IF((F1372-F1371)&gt;1,(LARGE(F1372:$F1372,1)-LARGE(F$1369:$F1372,2))-1,""),"")</f>
        <v>5</v>
      </c>
    </row>
    <row r="1373" spans="1:7">
      <c r="A1373" s="14" t="s">
        <v>47032</v>
      </c>
      <c r="B1373">
        <v>2400</v>
      </c>
      <c r="C1373">
        <v>2400</v>
      </c>
      <c r="D1373">
        <v>1</v>
      </c>
      <c r="E1373">
        <v>5000</v>
      </c>
      <c r="F1373" s="80">
        <v>44532</v>
      </c>
      <c r="G1373">
        <f>IFERROR(IF((F1373-F1372)&gt;1,(LARGE(F1373:$F1373,1)-LARGE(F$1369:$F1373,2))-1,""),"")</f>
        <v>1</v>
      </c>
    </row>
    <row r="1374" spans="1:7">
      <c r="A1374" s="14">
        <f>E1382</f>
        <v>10971</v>
      </c>
      <c r="B1374">
        <v>2400</v>
      </c>
      <c r="C1374">
        <v>2400</v>
      </c>
      <c r="D1374">
        <v>4</v>
      </c>
      <c r="E1374">
        <v>16800</v>
      </c>
      <c r="F1374" s="80">
        <v>44535</v>
      </c>
      <c r="G1374">
        <f>IFERROR(IF((F1374-F1373)&gt;1,(LARGE(F1374:$F1374,1)-LARGE(F$1369:$F1374,2))-1,""),"")</f>
        <v>2</v>
      </c>
    </row>
    <row r="1375" spans="1:7">
      <c r="B1375">
        <v>2400</v>
      </c>
      <c r="C1375">
        <v>2400</v>
      </c>
      <c r="D1375">
        <v>1</v>
      </c>
      <c r="E1375">
        <v>400</v>
      </c>
      <c r="F1375" s="80">
        <v>44536</v>
      </c>
      <c r="G1375" t="str">
        <f>IFERROR(IF((F1375-F1374)&gt;1,(LARGE(F1375:$F1375,1)-LARGE(F$1369:$F1375,2))-1,""),"")</f>
        <v/>
      </c>
    </row>
    <row r="1376" spans="1:7">
      <c r="B1376">
        <v>2400</v>
      </c>
      <c r="C1376">
        <v>2400</v>
      </c>
      <c r="D1376">
        <v>1</v>
      </c>
      <c r="E1376">
        <v>5000</v>
      </c>
      <c r="F1376" s="80">
        <v>44537</v>
      </c>
      <c r="G1376" t="str">
        <f>IFERROR(IF((F1376-F1375)&gt;1,(LARGE(F1376:$F1376,1)-LARGE(F$1369:$F1376,2))-1,""),"")</f>
        <v/>
      </c>
    </row>
    <row r="1377" spans="1:7">
      <c r="B1377">
        <v>2300</v>
      </c>
      <c r="C1377">
        <v>2300</v>
      </c>
      <c r="D1377">
        <v>1</v>
      </c>
      <c r="E1377">
        <v>40</v>
      </c>
      <c r="F1377" s="80">
        <v>44538</v>
      </c>
      <c r="G1377" t="str">
        <f>IFERROR(IF((F1377-F1376)&gt;1,(LARGE(F1377:$F1377,1)-LARGE(F$1369:$F1377,2))-1,""),"")</f>
        <v/>
      </c>
    </row>
    <row r="1378" spans="1:7">
      <c r="B1378">
        <v>2300</v>
      </c>
      <c r="C1378">
        <v>2300</v>
      </c>
      <c r="D1378">
        <v>1</v>
      </c>
      <c r="E1378">
        <v>1000</v>
      </c>
      <c r="F1378" s="80">
        <v>44540</v>
      </c>
      <c r="G1378">
        <f>IFERROR(IF((F1378-F1377)&gt;1,(LARGE(F1378:$F1378,1)-LARGE(F$1369:$F1378,2))-1,""),"")</f>
        <v>1</v>
      </c>
    </row>
    <row r="1379" spans="1:7">
      <c r="B1379">
        <v>2300</v>
      </c>
      <c r="C1379">
        <v>2300</v>
      </c>
      <c r="D1379">
        <v>3</v>
      </c>
      <c r="E1379">
        <v>10000</v>
      </c>
      <c r="F1379" s="80">
        <v>44541</v>
      </c>
      <c r="G1379" t="str">
        <f>IFERROR(IF((F1379-F1378)&gt;1,(LARGE(F1379:$F1379,1)-LARGE(F$1369:$F1379,2))-1,""),"")</f>
        <v/>
      </c>
    </row>
    <row r="1380" spans="1:7">
      <c r="B1380">
        <v>2300</v>
      </c>
      <c r="C1380">
        <v>2300</v>
      </c>
      <c r="D1380">
        <v>3</v>
      </c>
      <c r="E1380">
        <v>64000</v>
      </c>
      <c r="F1380" s="80">
        <v>44543</v>
      </c>
      <c r="G1380">
        <f>IFERROR(IF((F1380-F1379)&gt;1,(LARGE(F1380:$F1380,1)-LARGE(F$1369:$F1380,2))-1,""),"")</f>
        <v>1</v>
      </c>
    </row>
    <row r="1381" spans="1:7">
      <c r="B1381">
        <v>2400</v>
      </c>
      <c r="C1381">
        <v>2400</v>
      </c>
      <c r="D1381">
        <v>1</v>
      </c>
      <c r="E1381">
        <v>1395</v>
      </c>
      <c r="F1381" s="80">
        <v>44544</v>
      </c>
      <c r="G1381" t="str">
        <f>IFERROR(IF((F1381-F1380)&gt;1,(LARGE(F1381:$F1381,1)-LARGE(F$1369:$F1381,2))-1,""),"")</f>
        <v/>
      </c>
    </row>
    <row r="1382" spans="1:7">
      <c r="B1382">
        <v>4499</v>
      </c>
      <c r="C1382">
        <v>4499</v>
      </c>
      <c r="D1382">
        <v>3</v>
      </c>
      <c r="E1382">
        <v>10971</v>
      </c>
      <c r="F1382" s="80">
        <v>44545</v>
      </c>
      <c r="G1382" t="str">
        <f>IFERROR(IF((F1382-F1381)&gt;1,(LARGE(F1382:$F1382,1)-LARGE(F$1369:$F1382,2))-1,""),"")</f>
        <v/>
      </c>
    </row>
    <row r="1383" spans="1:7">
      <c r="A1383" s="75">
        <f>VLOOKUP(TradeSheet!A94,TypeIDs!B:C,2,FALSE)</f>
        <v>27339</v>
      </c>
      <c r="B1383" t="s">
        <v>47021</v>
      </c>
      <c r="C1383" t="s">
        <v>47022</v>
      </c>
      <c r="D1383" t="s">
        <v>47023</v>
      </c>
      <c r="E1383" t="s">
        <v>47024</v>
      </c>
      <c r="F1383" t="s">
        <v>47035</v>
      </c>
      <c r="G1383" t="s">
        <v>47034</v>
      </c>
    </row>
    <row r="1384" spans="1:7">
      <c r="A1384" s="75" t="str">
        <f>CONCATENATE(SwaggerURL,input093)</f>
        <v>https://esi.evetech.net/latest/markets/10000021/history/?datasource=tranquility&amp;type_id=27339</v>
      </c>
      <c r="B1384">
        <v>2787</v>
      </c>
      <c r="C1384">
        <v>2787</v>
      </c>
      <c r="D1384">
        <v>3</v>
      </c>
      <c r="E1384">
        <v>974</v>
      </c>
      <c r="F1384" s="80">
        <v>44534</v>
      </c>
      <c r="G1384" t="str">
        <f>IFERROR(IF((F1384-F1383)&gt;1,(LARGE(F1384:$F1384,1)-LARGE(F$1384:$F1384,2))-1,""),"")</f>
        <v/>
      </c>
    </row>
    <row r="1385" spans="1:7">
      <c r="A1385" s="3" t="s">
        <v>47031</v>
      </c>
      <c r="B1385">
        <v>2799</v>
      </c>
      <c r="C1385">
        <v>2799</v>
      </c>
      <c r="D1385">
        <v>3</v>
      </c>
      <c r="E1385">
        <v>2600</v>
      </c>
      <c r="F1385" s="80">
        <v>44535</v>
      </c>
      <c r="G1385" t="str">
        <f>IFERROR(IF((F1385-F1384)&gt;1,(LARGE(F1385:$F1385,1)-LARGE(F$1384:$F1385,2))-1,""),"")</f>
        <v/>
      </c>
    </row>
    <row r="1386" spans="1:7">
      <c r="A1386" s="3" t="e">
        <f>AVERAGE(H1384:H1397)</f>
        <v>#DIV/0!</v>
      </c>
      <c r="B1386">
        <v>3075</v>
      </c>
      <c r="C1386">
        <v>3075</v>
      </c>
      <c r="D1386">
        <v>2</v>
      </c>
      <c r="E1386">
        <v>5000</v>
      </c>
      <c r="F1386" s="80">
        <v>44536</v>
      </c>
      <c r="G1386" t="str">
        <f>IFERROR(IF((F1386-F1385)&gt;1,(LARGE(F1386:$F1386,1)-LARGE(F$1384:$F1386,2))-1,""),"")</f>
        <v/>
      </c>
    </row>
    <row r="1387" spans="1:7">
      <c r="A1387" s="3">
        <f>AVERAGE(E1384:E1397)</f>
        <v>12810.142857142857</v>
      </c>
      <c r="B1387">
        <v>3071</v>
      </c>
      <c r="C1387">
        <v>3071</v>
      </c>
      <c r="D1387">
        <v>1</v>
      </c>
      <c r="E1387">
        <v>518</v>
      </c>
      <c r="F1387" s="80">
        <v>44537</v>
      </c>
      <c r="G1387" t="str">
        <f>IFERROR(IF((F1387-F1386)&gt;1,(LARGE(F1387:$F1387,1)-LARGE(F$1384:$F1387,2))-1,""),"")</f>
        <v/>
      </c>
    </row>
    <row r="1388" spans="1:7">
      <c r="A1388" s="14" t="s">
        <v>47032</v>
      </c>
      <c r="B1388">
        <v>3069</v>
      </c>
      <c r="C1388">
        <v>3069</v>
      </c>
      <c r="D1388">
        <v>1</v>
      </c>
      <c r="E1388">
        <v>100</v>
      </c>
      <c r="F1388" s="80">
        <v>44538</v>
      </c>
      <c r="G1388" t="str">
        <f>IFERROR(IF((F1388-F1387)&gt;1,(LARGE(F1388:$F1388,1)-LARGE(F$1384:$F1388,2))-1,""),"")</f>
        <v/>
      </c>
    </row>
    <row r="1389" spans="1:7">
      <c r="A1389" s="14">
        <f>E1397</f>
        <v>1200</v>
      </c>
      <c r="B1389">
        <v>3068</v>
      </c>
      <c r="C1389">
        <v>3068</v>
      </c>
      <c r="D1389">
        <v>2</v>
      </c>
      <c r="E1389">
        <v>1090</v>
      </c>
      <c r="F1389" s="80">
        <v>44539</v>
      </c>
      <c r="G1389" t="str">
        <f>IFERROR(IF((F1389-F1388)&gt;1,(LARGE(F1389:$F1389,1)-LARGE(F$1384:$F1389,2))-1,""),"")</f>
        <v/>
      </c>
    </row>
    <row r="1390" spans="1:7">
      <c r="B1390">
        <v>3069</v>
      </c>
      <c r="C1390">
        <v>3069</v>
      </c>
      <c r="D1390">
        <v>2</v>
      </c>
      <c r="E1390">
        <v>3200</v>
      </c>
      <c r="F1390" s="80">
        <v>44540</v>
      </c>
      <c r="G1390" t="str">
        <f>IFERROR(IF((F1390-F1389)&gt;1,(LARGE(F1390:$F1390,1)-LARGE(F$1384:$F1390,2))-1,""),"")</f>
        <v/>
      </c>
    </row>
    <row r="1391" spans="1:7">
      <c r="B1391">
        <v>3069</v>
      </c>
      <c r="C1391">
        <v>3069</v>
      </c>
      <c r="D1391">
        <v>2</v>
      </c>
      <c r="E1391">
        <v>3200</v>
      </c>
      <c r="F1391" s="80">
        <v>44541</v>
      </c>
      <c r="G1391" t="str">
        <f>IFERROR(IF((F1391-F1390)&gt;1,(LARGE(F1391:$F1391,1)-LARGE(F$1384:$F1391,2))-1,""),"")</f>
        <v/>
      </c>
    </row>
    <row r="1392" spans="1:7">
      <c r="B1392">
        <v>3075</v>
      </c>
      <c r="C1392">
        <v>3075</v>
      </c>
      <c r="D1392">
        <v>5</v>
      </c>
      <c r="E1392">
        <v>111737</v>
      </c>
      <c r="F1392" s="80">
        <v>44543</v>
      </c>
      <c r="G1392">
        <f>IFERROR(IF((F1392-F1391)&gt;1,(LARGE(F1392:$F1392,1)-LARGE(F$1384:$F1392,2))-1,""),"")</f>
        <v>1</v>
      </c>
    </row>
    <row r="1393" spans="1:7">
      <c r="B1393">
        <v>4000</v>
      </c>
      <c r="C1393">
        <v>4000</v>
      </c>
      <c r="D1393">
        <v>7</v>
      </c>
      <c r="E1393">
        <v>24000</v>
      </c>
      <c r="F1393" s="80">
        <v>44544</v>
      </c>
      <c r="G1393" t="str">
        <f>IFERROR(IF((F1393-F1392)&gt;1,(LARGE(F1393:$F1393,1)-LARGE(F$1384:$F1393,2))-1,""),"")</f>
        <v/>
      </c>
    </row>
    <row r="1394" spans="1:7">
      <c r="B1394">
        <v>4500</v>
      </c>
      <c r="C1394">
        <v>4500</v>
      </c>
      <c r="D1394">
        <v>3</v>
      </c>
      <c r="E1394">
        <v>12923</v>
      </c>
      <c r="F1394" s="80">
        <v>44545</v>
      </c>
      <c r="G1394" t="str">
        <f>IFERROR(IF((F1394-F1393)&gt;1,(LARGE(F1394:$F1394,1)-LARGE(F$1384:$F1394,2))-1,""),"")</f>
        <v/>
      </c>
    </row>
    <row r="1395" spans="1:7">
      <c r="B1395">
        <v>3337</v>
      </c>
      <c r="C1395">
        <v>3337</v>
      </c>
      <c r="D1395">
        <v>3</v>
      </c>
      <c r="E1395">
        <v>9000</v>
      </c>
      <c r="F1395" s="80">
        <v>44546</v>
      </c>
      <c r="G1395" t="str">
        <f>IFERROR(IF((F1395-F1394)&gt;1,(LARGE(F1395:$F1395,1)-LARGE(F$1384:$F1395,2))-1,""),"")</f>
        <v/>
      </c>
    </row>
    <row r="1396" spans="1:7">
      <c r="B1396">
        <v>3337</v>
      </c>
      <c r="C1396">
        <v>3337</v>
      </c>
      <c r="D1396">
        <v>3</v>
      </c>
      <c r="E1396">
        <v>3800</v>
      </c>
      <c r="F1396" s="80">
        <v>44547</v>
      </c>
      <c r="G1396" t="str">
        <f>IFERROR(IF((F1396-F1395)&gt;1,(LARGE(F1396:$F1396,1)-LARGE(F$1384:$F1396,2))-1,""),"")</f>
        <v/>
      </c>
    </row>
    <row r="1397" spans="1:7">
      <c r="B1397">
        <v>3337</v>
      </c>
      <c r="C1397">
        <v>3337</v>
      </c>
      <c r="D1397">
        <v>3</v>
      </c>
      <c r="E1397">
        <v>1200</v>
      </c>
      <c r="F1397" s="80">
        <v>44548</v>
      </c>
      <c r="G1397" t="str">
        <f>IFERROR(IF((F1397-F1396)&gt;1,(LARGE(F1397:$F1397,1)-LARGE(F$1384:$F1397,2))-1,""),"")</f>
        <v/>
      </c>
    </row>
    <row r="1398" spans="1:7">
      <c r="A1398" s="75">
        <f>VLOOKUP(TradeSheet!A95,TypeIDs!B:C,2,FALSE)</f>
        <v>27359</v>
      </c>
      <c r="B1398" t="s">
        <v>47021</v>
      </c>
      <c r="C1398" t="s">
        <v>47022</v>
      </c>
      <c r="D1398" t="s">
        <v>47023</v>
      </c>
      <c r="E1398" t="s">
        <v>47024</v>
      </c>
      <c r="F1398" t="s">
        <v>47035</v>
      </c>
      <c r="G1398" t="s">
        <v>47034</v>
      </c>
    </row>
    <row r="1399" spans="1:7">
      <c r="A1399" s="75" t="str">
        <f>CONCATENATE(SwaggerURL,input094)</f>
        <v>https://esi.evetech.net/latest/markets/10000021/history/?datasource=tranquility&amp;type_id=27359</v>
      </c>
      <c r="B1399">
        <v>3056</v>
      </c>
      <c r="C1399">
        <v>3056</v>
      </c>
      <c r="D1399">
        <v>2</v>
      </c>
      <c r="E1399">
        <v>1753</v>
      </c>
      <c r="F1399" s="80">
        <v>44516</v>
      </c>
      <c r="G1399" t="str">
        <f>IFERROR(IF((F1399-F1398)&gt;1,(LARGE(F1399:$F1399,1)-LARGE(F$1399:$F1399,2))-1,""),"")</f>
        <v/>
      </c>
    </row>
    <row r="1400" spans="1:7">
      <c r="A1400" s="3" t="s">
        <v>47031</v>
      </c>
      <c r="B1400">
        <v>3057</v>
      </c>
      <c r="C1400">
        <v>3057</v>
      </c>
      <c r="D1400">
        <v>1</v>
      </c>
      <c r="E1400">
        <v>570</v>
      </c>
      <c r="F1400" s="80">
        <v>44519</v>
      </c>
      <c r="G1400">
        <f>IFERROR(IF((F1400-F1399)&gt;1,(LARGE(F1400:$F1400,1)-LARGE(F$1399:$F1400,2))-1,""),"")</f>
        <v>2</v>
      </c>
    </row>
    <row r="1401" spans="1:7">
      <c r="A1401" s="3" t="e">
        <f>AVERAGE(H1399:H1412)</f>
        <v>#DIV/0!</v>
      </c>
      <c r="B1401">
        <v>3078.5</v>
      </c>
      <c r="C1401">
        <v>3057</v>
      </c>
      <c r="D1401">
        <v>4</v>
      </c>
      <c r="E1401">
        <v>2000</v>
      </c>
      <c r="F1401" s="80">
        <v>44520</v>
      </c>
      <c r="G1401" t="str">
        <f>IFERROR(IF((F1401-F1400)&gt;1,(LARGE(F1401:$F1401,1)-LARGE(F$1399:$F1401,2))-1,""),"")</f>
        <v/>
      </c>
    </row>
    <row r="1402" spans="1:7">
      <c r="A1402" s="3">
        <f>AVERAGE(E1399:E1412)</f>
        <v>3376.6428571428573</v>
      </c>
      <c r="B1402">
        <v>3130</v>
      </c>
      <c r="C1402">
        <v>3130</v>
      </c>
      <c r="D1402">
        <v>1</v>
      </c>
      <c r="E1402">
        <v>5000</v>
      </c>
      <c r="F1402" s="80">
        <v>44521</v>
      </c>
      <c r="G1402" t="str">
        <f>IFERROR(IF((F1402-F1401)&gt;1,(LARGE(F1402:$F1402,1)-LARGE(F$1399:$F1402,2))-1,""),"")</f>
        <v/>
      </c>
    </row>
    <row r="1403" spans="1:7">
      <c r="A1403" s="14" t="s">
        <v>47032</v>
      </c>
      <c r="B1403">
        <v>3100</v>
      </c>
      <c r="C1403">
        <v>3100</v>
      </c>
      <c r="D1403">
        <v>1</v>
      </c>
      <c r="E1403">
        <v>2000</v>
      </c>
      <c r="F1403" s="80">
        <v>44522</v>
      </c>
      <c r="G1403" t="str">
        <f>IFERROR(IF((F1403-F1402)&gt;1,(LARGE(F1403:$F1403,1)-LARGE(F$1399:$F1403,2))-1,""),"")</f>
        <v/>
      </c>
    </row>
    <row r="1404" spans="1:7">
      <c r="A1404" s="14">
        <f>E1412</f>
        <v>15509</v>
      </c>
      <c r="B1404">
        <v>3099</v>
      </c>
      <c r="C1404">
        <v>3099</v>
      </c>
      <c r="D1404">
        <v>3</v>
      </c>
      <c r="E1404">
        <v>2481</v>
      </c>
      <c r="F1404" s="80">
        <v>44524</v>
      </c>
      <c r="G1404">
        <f>IFERROR(IF((F1404-F1403)&gt;1,(LARGE(F1404:$F1404,1)-LARGE(F$1399:$F1404,2))-1,""),"")</f>
        <v>1</v>
      </c>
    </row>
    <row r="1405" spans="1:7">
      <c r="B1405">
        <v>3099</v>
      </c>
      <c r="C1405">
        <v>3099</v>
      </c>
      <c r="D1405">
        <v>1</v>
      </c>
      <c r="E1405">
        <v>570</v>
      </c>
      <c r="F1405" s="80">
        <v>44525</v>
      </c>
      <c r="G1405" t="str">
        <f>IFERROR(IF((F1405-F1404)&gt;1,(LARGE(F1405:$F1405,1)-LARGE(F$1399:$F1405,2))-1,""),"")</f>
        <v/>
      </c>
    </row>
    <row r="1406" spans="1:7">
      <c r="B1406">
        <v>3099</v>
      </c>
      <c r="C1406">
        <v>3099</v>
      </c>
      <c r="D1406">
        <v>1</v>
      </c>
      <c r="E1406">
        <v>570</v>
      </c>
      <c r="F1406" s="80">
        <v>44527</v>
      </c>
      <c r="G1406">
        <f>IFERROR(IF((F1406-F1405)&gt;1,(LARGE(F1406:$F1406,1)-LARGE(F$1399:$F1406,2))-1,""),"")</f>
        <v>1</v>
      </c>
    </row>
    <row r="1407" spans="1:7">
      <c r="B1407">
        <v>2990</v>
      </c>
      <c r="C1407">
        <v>2990</v>
      </c>
      <c r="D1407">
        <v>1</v>
      </c>
      <c r="E1407">
        <v>2000</v>
      </c>
      <c r="F1407" s="80">
        <v>44532</v>
      </c>
      <c r="G1407">
        <f>IFERROR(IF((F1407-F1406)&gt;1,(LARGE(F1407:$F1407,1)-LARGE(F$1399:$F1407,2))-1,""),"")</f>
        <v>4</v>
      </c>
    </row>
    <row r="1408" spans="1:7">
      <c r="B1408">
        <v>3057</v>
      </c>
      <c r="C1408">
        <v>3057</v>
      </c>
      <c r="D1408">
        <v>7</v>
      </c>
      <c r="E1408">
        <v>6320</v>
      </c>
      <c r="F1408" s="80">
        <v>44534</v>
      </c>
      <c r="G1408">
        <f>IFERROR(IF((F1408-F1407)&gt;1,(LARGE(F1408:$F1408,1)-LARGE(F$1399:$F1408,2))-1,""),"")</f>
        <v>1</v>
      </c>
    </row>
    <row r="1409" spans="1:7">
      <c r="B1409">
        <v>3041</v>
      </c>
      <c r="C1409">
        <v>3041</v>
      </c>
      <c r="D1409">
        <v>3</v>
      </c>
      <c r="E1409">
        <v>5480</v>
      </c>
      <c r="F1409" s="80">
        <v>44536</v>
      </c>
      <c r="G1409">
        <f>IFERROR(IF((F1409-F1408)&gt;1,(LARGE(F1409:$F1409,1)-LARGE(F$1399:$F1409,2))-1,""),"")</f>
        <v>1</v>
      </c>
    </row>
    <row r="1410" spans="1:7">
      <c r="B1410">
        <v>3041</v>
      </c>
      <c r="C1410">
        <v>3041</v>
      </c>
      <c r="D1410">
        <v>1</v>
      </c>
      <c r="E1410">
        <v>1200</v>
      </c>
      <c r="F1410" s="80">
        <v>44539</v>
      </c>
      <c r="G1410">
        <f>IFERROR(IF((F1410-F1409)&gt;1,(LARGE(F1410:$F1410,1)-LARGE(F$1399:$F1410,2))-1,""),"")</f>
        <v>2</v>
      </c>
    </row>
    <row r="1411" spans="1:7">
      <c r="B1411">
        <v>3040</v>
      </c>
      <c r="C1411">
        <v>3040</v>
      </c>
      <c r="D1411">
        <v>4</v>
      </c>
      <c r="E1411">
        <v>1820</v>
      </c>
      <c r="F1411" s="80">
        <v>44547</v>
      </c>
      <c r="G1411">
        <f>IFERROR(IF((F1411-F1410)&gt;1,(LARGE(F1411:$F1411,1)-LARGE(F$1399:$F1411,2))-1,""),"")</f>
        <v>7</v>
      </c>
    </row>
    <row r="1412" spans="1:7">
      <c r="B1412">
        <v>3057</v>
      </c>
      <c r="C1412">
        <v>3057</v>
      </c>
      <c r="D1412">
        <v>9</v>
      </c>
      <c r="E1412">
        <v>15509</v>
      </c>
      <c r="F1412" s="80">
        <v>44548</v>
      </c>
      <c r="G1412" t="str">
        <f>IFERROR(IF((F1412-F1411)&gt;1,(LARGE(F1412:$F1412,1)-LARGE(F$1399:$F1412,2))-1,""),"")</f>
        <v/>
      </c>
    </row>
    <row r="1413" spans="1:7">
      <c r="A1413" s="75">
        <f>VLOOKUP(TradeSheet!A96,TypeIDs!B:C,2,FALSE)</f>
        <v>27345</v>
      </c>
      <c r="B1413" t="s">
        <v>47021</v>
      </c>
      <c r="C1413" t="s">
        <v>47022</v>
      </c>
      <c r="D1413" t="s">
        <v>47023</v>
      </c>
      <c r="E1413" t="s">
        <v>47024</v>
      </c>
      <c r="F1413" t="s">
        <v>47035</v>
      </c>
      <c r="G1413" t="s">
        <v>47034</v>
      </c>
    </row>
    <row r="1414" spans="1:7">
      <c r="A1414" s="75" t="str">
        <f>CONCATENATE(SwaggerURL,input095)</f>
        <v>https://esi.evetech.net/latest/markets/10000021/history/?datasource=tranquility&amp;type_id=27345</v>
      </c>
      <c r="B1414">
        <v>2547</v>
      </c>
      <c r="C1414">
        <v>2547</v>
      </c>
      <c r="D1414">
        <v>2</v>
      </c>
      <c r="E1414">
        <v>800</v>
      </c>
      <c r="F1414" s="80">
        <v>44514</v>
      </c>
      <c r="G1414" t="str">
        <f>IFERROR(IF((F1414-F1413)&gt;1,(LARGE(F1414:$F1414,1)-LARGE(F$1414:$F1414,2))-1,""),"")</f>
        <v/>
      </c>
    </row>
    <row r="1415" spans="1:7">
      <c r="A1415" s="3" t="s">
        <v>47031</v>
      </c>
      <c r="B1415">
        <v>2547</v>
      </c>
      <c r="C1415">
        <v>2547</v>
      </c>
      <c r="D1415">
        <v>1</v>
      </c>
      <c r="E1415">
        <v>744</v>
      </c>
      <c r="F1415" s="80">
        <v>44515</v>
      </c>
      <c r="G1415" t="str">
        <f>IFERROR(IF((F1415-F1414)&gt;1,(LARGE(F1415:$F1415,1)-LARGE(F$1414:$F1415,2))-1,""),"")</f>
        <v/>
      </c>
    </row>
    <row r="1416" spans="1:7">
      <c r="A1416" s="3" t="e">
        <f>AVERAGE(H1414:H1427)</f>
        <v>#DIV/0!</v>
      </c>
      <c r="B1416">
        <v>2546</v>
      </c>
      <c r="C1416">
        <v>2546</v>
      </c>
      <c r="D1416">
        <v>3</v>
      </c>
      <c r="E1416">
        <v>3000</v>
      </c>
      <c r="F1416" s="80">
        <v>44516</v>
      </c>
      <c r="G1416" t="str">
        <f>IFERROR(IF((F1416-F1415)&gt;1,(LARGE(F1416:$F1416,1)-LARGE(F$1414:$F1416,2))-1,""),"")</f>
        <v/>
      </c>
    </row>
    <row r="1417" spans="1:7">
      <c r="A1417" s="3">
        <f>AVERAGE(E1414:E1427)</f>
        <v>2650.6428571428573</v>
      </c>
      <c r="B1417">
        <v>2547</v>
      </c>
      <c r="C1417">
        <v>2547</v>
      </c>
      <c r="D1417">
        <v>2</v>
      </c>
      <c r="E1417">
        <v>1370</v>
      </c>
      <c r="F1417" s="80">
        <v>44517</v>
      </c>
      <c r="G1417" t="str">
        <f>IFERROR(IF((F1417-F1416)&gt;1,(LARGE(F1417:$F1417,1)-LARGE(F$1414:$F1417,2))-1,""),"")</f>
        <v/>
      </c>
    </row>
    <row r="1418" spans="1:7">
      <c r="A1418" s="14" t="s">
        <v>47032</v>
      </c>
      <c r="B1418">
        <v>2547</v>
      </c>
      <c r="C1418">
        <v>2547</v>
      </c>
      <c r="D1418">
        <v>1</v>
      </c>
      <c r="E1418">
        <v>1000</v>
      </c>
      <c r="F1418" s="80">
        <v>44519</v>
      </c>
      <c r="G1418">
        <f>IFERROR(IF((F1418-F1417)&gt;1,(LARGE(F1418:$F1418,1)-LARGE(F$1414:$F1418,2))-1,""),"")</f>
        <v>1</v>
      </c>
    </row>
    <row r="1419" spans="1:7">
      <c r="A1419" s="14">
        <f>E1427</f>
        <v>12516</v>
      </c>
      <c r="B1419">
        <v>2547</v>
      </c>
      <c r="C1419">
        <v>2547</v>
      </c>
      <c r="D1419">
        <v>2</v>
      </c>
      <c r="E1419">
        <v>2000</v>
      </c>
      <c r="F1419" s="80">
        <v>44520</v>
      </c>
      <c r="G1419" t="str">
        <f>IFERROR(IF((F1419-F1418)&gt;1,(LARGE(F1419:$F1419,1)-LARGE(F$1414:$F1419,2))-1,""),"")</f>
        <v/>
      </c>
    </row>
    <row r="1420" spans="1:7">
      <c r="B1420">
        <v>2547</v>
      </c>
      <c r="C1420">
        <v>2547</v>
      </c>
      <c r="D1420">
        <v>1</v>
      </c>
      <c r="E1420">
        <v>2000</v>
      </c>
      <c r="F1420" s="80">
        <v>44522</v>
      </c>
      <c r="G1420">
        <f>IFERROR(IF((F1420-F1419)&gt;1,(LARGE(F1420:$F1420,1)-LARGE(F$1414:$F1420,2))-1,""),"")</f>
        <v>1</v>
      </c>
    </row>
    <row r="1421" spans="1:7">
      <c r="B1421">
        <v>2546</v>
      </c>
      <c r="C1421">
        <v>2546</v>
      </c>
      <c r="D1421">
        <v>1</v>
      </c>
      <c r="E1421">
        <v>1111</v>
      </c>
      <c r="F1421" s="80">
        <v>44524</v>
      </c>
      <c r="G1421">
        <f>IFERROR(IF((F1421-F1420)&gt;1,(LARGE(F1421:$F1421,1)-LARGE(F$1414:$F1421,2))-1,""),"")</f>
        <v>1</v>
      </c>
    </row>
    <row r="1422" spans="1:7">
      <c r="B1422">
        <v>2547</v>
      </c>
      <c r="C1422">
        <v>2547</v>
      </c>
      <c r="D1422">
        <v>1</v>
      </c>
      <c r="E1422">
        <v>2400</v>
      </c>
      <c r="F1422" s="80">
        <v>44531</v>
      </c>
      <c r="G1422">
        <f>IFERROR(IF((F1422-F1421)&gt;1,(LARGE(F1422:$F1422,1)-LARGE(F$1414:$F1422,2))-1,""),"")</f>
        <v>6</v>
      </c>
    </row>
    <row r="1423" spans="1:7">
      <c r="B1423">
        <v>2546</v>
      </c>
      <c r="C1423">
        <v>2546</v>
      </c>
      <c r="D1423">
        <v>1</v>
      </c>
      <c r="E1423">
        <v>480</v>
      </c>
      <c r="F1423" s="80">
        <v>44534</v>
      </c>
      <c r="G1423">
        <f>IFERROR(IF((F1423-F1422)&gt;1,(LARGE(F1423:$F1423,1)-LARGE(F$1414:$F1423,2))-1,""),"")</f>
        <v>2</v>
      </c>
    </row>
    <row r="1424" spans="1:7">
      <c r="B1424">
        <v>2535</v>
      </c>
      <c r="C1424">
        <v>2535</v>
      </c>
      <c r="D1424">
        <v>1</v>
      </c>
      <c r="E1424">
        <v>5000</v>
      </c>
      <c r="F1424" s="80">
        <v>44536</v>
      </c>
      <c r="G1424">
        <f>IFERROR(IF((F1424-F1423)&gt;1,(LARGE(F1424:$F1424,1)-LARGE(F$1414:$F1424,2))-1,""),"")</f>
        <v>1</v>
      </c>
    </row>
    <row r="1425" spans="1:7">
      <c r="B1425">
        <v>2528</v>
      </c>
      <c r="C1425">
        <v>2528</v>
      </c>
      <c r="D1425">
        <v>2</v>
      </c>
      <c r="E1425">
        <v>500</v>
      </c>
      <c r="F1425" s="80">
        <v>44545</v>
      </c>
      <c r="G1425">
        <f>IFERROR(IF((F1425-F1424)&gt;1,(LARGE(F1425:$F1425,1)-LARGE(F$1414:$F1425,2))-1,""),"")</f>
        <v>8</v>
      </c>
    </row>
    <row r="1426" spans="1:7">
      <c r="B1426">
        <v>2766</v>
      </c>
      <c r="C1426">
        <v>2766</v>
      </c>
      <c r="D1426">
        <v>3</v>
      </c>
      <c r="E1426">
        <v>4188</v>
      </c>
      <c r="F1426" s="80">
        <v>44547</v>
      </c>
      <c r="G1426">
        <f>IFERROR(IF((F1426-F1425)&gt;1,(LARGE(F1426:$F1426,1)-LARGE(F$1414:$F1426,2))-1,""),"")</f>
        <v>1</v>
      </c>
    </row>
    <row r="1427" spans="1:7">
      <c r="B1427">
        <v>2766</v>
      </c>
      <c r="C1427">
        <v>2766</v>
      </c>
      <c r="D1427">
        <v>8</v>
      </c>
      <c r="E1427">
        <v>12516</v>
      </c>
      <c r="F1427" s="80">
        <v>44548</v>
      </c>
      <c r="G1427" t="str">
        <f>IFERROR(IF((F1427-F1426)&gt;1,(LARGE(F1427:$F1427,1)-LARGE(F$1414:$F1427,2))-1,""),"")</f>
        <v/>
      </c>
    </row>
    <row r="1428" spans="1:7">
      <c r="A1428" s="75">
        <f>VLOOKUP(TradeSheet!A97,TypeIDs!B:C,2,FALSE)</f>
        <v>56748</v>
      </c>
      <c r="B1428" t="s">
        <v>47021</v>
      </c>
      <c r="C1428" t="s">
        <v>47022</v>
      </c>
      <c r="D1428" t="s">
        <v>47023</v>
      </c>
      <c r="E1428" t="s">
        <v>47024</v>
      </c>
      <c r="F1428" t="s">
        <v>47035</v>
      </c>
      <c r="G1428" t="s">
        <v>47034</v>
      </c>
    </row>
    <row r="1429" spans="1:7">
      <c r="A1429" s="75" t="str">
        <f>CONCATENATE(SwaggerURL,input096)</f>
        <v>https://esi.evetech.net/latest/markets/10000021/history/?datasource=tranquility&amp;type_id=56748</v>
      </c>
      <c r="B1429">
        <v>185509.76000000001</v>
      </c>
      <c r="C1429">
        <v>181200</v>
      </c>
      <c r="D1429">
        <v>4</v>
      </c>
      <c r="E1429">
        <v>41</v>
      </c>
      <c r="F1429" s="80">
        <v>44516</v>
      </c>
      <c r="G1429" t="str">
        <f>IFERROR(IF((F1429-F1428)&gt;1,(LARGE(F1429:$F1429,1)-LARGE(F$1429:$F1429,2))-1,""),"")</f>
        <v/>
      </c>
    </row>
    <row r="1430" spans="1:7">
      <c r="A1430" s="3" t="s">
        <v>47031</v>
      </c>
      <c r="B1430">
        <v>186015.07</v>
      </c>
      <c r="C1430">
        <v>185000</v>
      </c>
      <c r="D1430">
        <v>5</v>
      </c>
      <c r="E1430">
        <v>73</v>
      </c>
      <c r="F1430" s="80">
        <v>44517</v>
      </c>
      <c r="G1430" t="str">
        <f>IFERROR(IF((F1430-F1429)&gt;1,(LARGE(F1430:$F1430,1)-LARGE(F$1429:$F1430,2))-1,""),"")</f>
        <v/>
      </c>
    </row>
    <row r="1431" spans="1:7">
      <c r="A1431" s="3" t="e">
        <f>AVERAGE(H1429:H1442)</f>
        <v>#DIV/0!</v>
      </c>
      <c r="B1431">
        <v>183000</v>
      </c>
      <c r="C1431">
        <v>183000</v>
      </c>
      <c r="D1431">
        <v>1</v>
      </c>
      <c r="E1431">
        <v>5</v>
      </c>
      <c r="F1431" s="80">
        <v>44520</v>
      </c>
      <c r="G1431">
        <f>IFERROR(IF((F1431-F1430)&gt;1,(LARGE(F1431:$F1431,1)-LARGE(F$1429:$F1431,2))-1,""),"")</f>
        <v>2</v>
      </c>
    </row>
    <row r="1432" spans="1:7">
      <c r="A1432" s="3">
        <f>AVERAGE(E1429:E1442)</f>
        <v>46.214285714285715</v>
      </c>
      <c r="B1432">
        <v>180000</v>
      </c>
      <c r="C1432">
        <v>180000</v>
      </c>
      <c r="D1432">
        <v>1</v>
      </c>
      <c r="E1432">
        <v>10</v>
      </c>
      <c r="F1432" s="80">
        <v>44523</v>
      </c>
      <c r="G1432">
        <f>IFERROR(IF((F1432-F1431)&gt;1,(LARGE(F1432:$F1432,1)-LARGE(F$1429:$F1432,2))-1,""),"")</f>
        <v>2</v>
      </c>
    </row>
    <row r="1433" spans="1:7">
      <c r="A1433" s="14" t="s">
        <v>47032</v>
      </c>
      <c r="B1433">
        <v>180000</v>
      </c>
      <c r="C1433">
        <v>180000</v>
      </c>
      <c r="D1433">
        <v>1</v>
      </c>
      <c r="E1433">
        <v>1</v>
      </c>
      <c r="F1433" s="80">
        <v>44524</v>
      </c>
      <c r="G1433" t="str">
        <f>IFERROR(IF((F1433-F1432)&gt;1,(LARGE(F1433:$F1433,1)-LARGE(F$1429:$F1433,2))-1,""),"")</f>
        <v/>
      </c>
    </row>
    <row r="1434" spans="1:7">
      <c r="A1434" s="14">
        <f>E1442</f>
        <v>165</v>
      </c>
      <c r="B1434">
        <v>175000</v>
      </c>
      <c r="C1434">
        <v>175000</v>
      </c>
      <c r="D1434">
        <v>2</v>
      </c>
      <c r="E1434">
        <v>22</v>
      </c>
      <c r="F1434" s="80">
        <v>44528</v>
      </c>
      <c r="G1434">
        <f>IFERROR(IF((F1434-F1433)&gt;1,(LARGE(F1434:$F1434,1)-LARGE(F$1429:$F1434,2))-1,""),"")</f>
        <v>3</v>
      </c>
    </row>
    <row r="1435" spans="1:7">
      <c r="B1435">
        <v>173960</v>
      </c>
      <c r="C1435">
        <v>173900</v>
      </c>
      <c r="D1435">
        <v>2</v>
      </c>
      <c r="E1435">
        <v>25</v>
      </c>
      <c r="F1435" s="80">
        <v>44532</v>
      </c>
      <c r="G1435">
        <f>IFERROR(IF((F1435-F1434)&gt;1,(LARGE(F1435:$F1435,1)-LARGE(F$1429:$F1435,2))-1,""),"")</f>
        <v>3</v>
      </c>
    </row>
    <row r="1436" spans="1:7">
      <c r="B1436">
        <v>159900</v>
      </c>
      <c r="C1436">
        <v>159900</v>
      </c>
      <c r="D1436">
        <v>2</v>
      </c>
      <c r="E1436">
        <v>25</v>
      </c>
      <c r="F1436" s="80">
        <v>44538</v>
      </c>
      <c r="G1436">
        <f>IFERROR(IF((F1436-F1435)&gt;1,(LARGE(F1436:$F1436,1)-LARGE(F$1429:$F1436,2))-1,""),"")</f>
        <v>5</v>
      </c>
    </row>
    <row r="1437" spans="1:7">
      <c r="B1437">
        <v>158942.85999999999</v>
      </c>
      <c r="C1437">
        <v>158900</v>
      </c>
      <c r="D1437">
        <v>2</v>
      </c>
      <c r="E1437">
        <v>35</v>
      </c>
      <c r="F1437" s="80">
        <v>44539</v>
      </c>
      <c r="G1437" t="str">
        <f>IFERROR(IF((F1437-F1436)&gt;1,(LARGE(F1437:$F1437,1)-LARGE(F$1429:$F1437,2))-1,""),"")</f>
        <v/>
      </c>
    </row>
    <row r="1438" spans="1:7">
      <c r="B1438">
        <v>150000</v>
      </c>
      <c r="C1438">
        <v>150000</v>
      </c>
      <c r="D1438">
        <v>1</v>
      </c>
      <c r="E1438">
        <v>10</v>
      </c>
      <c r="F1438" s="80">
        <v>44543</v>
      </c>
      <c r="G1438">
        <f>IFERROR(IF((F1438-F1437)&gt;1,(LARGE(F1438:$F1438,1)-LARGE(F$1429:$F1438,2))-1,""),"")</f>
        <v>3</v>
      </c>
    </row>
    <row r="1439" spans="1:7">
      <c r="B1439">
        <v>149757.14000000001</v>
      </c>
      <c r="C1439">
        <v>145000</v>
      </c>
      <c r="D1439">
        <v>4</v>
      </c>
      <c r="E1439">
        <v>70</v>
      </c>
      <c r="F1439" s="80">
        <v>44545</v>
      </c>
      <c r="G1439">
        <f>IFERROR(IF((F1439-F1438)&gt;1,(LARGE(F1439:$F1439,1)-LARGE(F$1429:$F1439,2))-1,""),"")</f>
        <v>1</v>
      </c>
    </row>
    <row r="1440" spans="1:7">
      <c r="B1440">
        <v>168700</v>
      </c>
      <c r="C1440">
        <v>168700</v>
      </c>
      <c r="D1440">
        <v>9</v>
      </c>
      <c r="E1440">
        <v>135</v>
      </c>
      <c r="F1440" s="80">
        <v>44546</v>
      </c>
      <c r="G1440" t="str">
        <f>IFERROR(IF((F1440-F1439)&gt;1,(LARGE(F1440:$F1440,1)-LARGE(F$1429:$F1440,2))-1,""),"")</f>
        <v/>
      </c>
    </row>
    <row r="1441" spans="1:7">
      <c r="B1441">
        <v>168700</v>
      </c>
      <c r="C1441">
        <v>168700</v>
      </c>
      <c r="D1441">
        <v>1</v>
      </c>
      <c r="E1441">
        <v>30</v>
      </c>
      <c r="F1441" s="80">
        <v>44547</v>
      </c>
      <c r="G1441" t="str">
        <f>IFERROR(IF((F1441-F1440)&gt;1,(LARGE(F1441:$F1441,1)-LARGE(F$1429:$F1441,2))-1,""),"")</f>
        <v/>
      </c>
    </row>
    <row r="1442" spans="1:7">
      <c r="B1442">
        <v>168700</v>
      </c>
      <c r="C1442">
        <v>168700</v>
      </c>
      <c r="D1442">
        <v>7</v>
      </c>
      <c r="E1442">
        <v>165</v>
      </c>
      <c r="F1442" s="80">
        <v>44548</v>
      </c>
      <c r="G1442" t="str">
        <f>IFERROR(IF((F1442-F1441)&gt;1,(LARGE(F1442:$F1442,1)-LARGE(F$1429:$F1442,2))-1,""),"")</f>
        <v/>
      </c>
    </row>
    <row r="1443" spans="1:7">
      <c r="A1443" s="75">
        <f>VLOOKUP(TradeSheet!A98,TypeIDs!B:C,2,FALSE)</f>
        <v>22778</v>
      </c>
      <c r="B1443" t="s">
        <v>47021</v>
      </c>
      <c r="C1443" t="s">
        <v>47022</v>
      </c>
      <c r="D1443" t="s">
        <v>47023</v>
      </c>
      <c r="E1443" t="s">
        <v>47024</v>
      </c>
      <c r="F1443" t="s">
        <v>47035</v>
      </c>
      <c r="G1443" t="s">
        <v>47034</v>
      </c>
    </row>
    <row r="1444" spans="1:7">
      <c r="A1444" s="75" t="str">
        <f>CONCATENATE(SwaggerURL,input097)</f>
        <v>https://esi.evetech.net/latest/markets/10000021/history/?datasource=tranquility&amp;type_id=22778</v>
      </c>
      <c r="B1444">
        <v>69410</v>
      </c>
      <c r="C1444">
        <v>69410</v>
      </c>
      <c r="D1444">
        <v>14</v>
      </c>
      <c r="E1444">
        <v>694</v>
      </c>
      <c r="F1444" s="80">
        <v>44532</v>
      </c>
      <c r="G1444" t="str">
        <f>IFERROR(IF((F1444-F1443)&gt;1,(LARGE(F1444:$F1444,1)-LARGE(F$1444:$F1444,2))-1,""),"")</f>
        <v/>
      </c>
    </row>
    <row r="1445" spans="1:7">
      <c r="A1445" s="3" t="s">
        <v>47031</v>
      </c>
      <c r="B1445">
        <v>69420</v>
      </c>
      <c r="C1445">
        <v>69420</v>
      </c>
      <c r="D1445">
        <v>2</v>
      </c>
      <c r="E1445">
        <v>51</v>
      </c>
      <c r="F1445" s="80">
        <v>44533</v>
      </c>
      <c r="G1445" t="str">
        <f>IFERROR(IF((F1445-F1444)&gt;1,(LARGE(F1445:$F1445,1)-LARGE(F$1444:$F1445,2))-1,""),"")</f>
        <v/>
      </c>
    </row>
    <row r="1446" spans="1:7">
      <c r="A1446" s="3" t="e">
        <f>AVERAGE(H1444:H1457)</f>
        <v>#DIV/0!</v>
      </c>
      <c r="B1446">
        <v>68575.61</v>
      </c>
      <c r="C1446">
        <v>67990</v>
      </c>
      <c r="D1446">
        <v>5</v>
      </c>
      <c r="E1446">
        <v>98</v>
      </c>
      <c r="F1446" s="80">
        <v>44534</v>
      </c>
      <c r="G1446" t="str">
        <f>IFERROR(IF((F1446-F1445)&gt;1,(LARGE(F1446:$F1446,1)-LARGE(F$1444:$F1446,2))-1,""),"")</f>
        <v/>
      </c>
    </row>
    <row r="1447" spans="1:7">
      <c r="A1447" s="3">
        <f>AVERAGE(E1444:E1457)</f>
        <v>192.21428571428572</v>
      </c>
      <c r="B1447">
        <v>69420</v>
      </c>
      <c r="C1447">
        <v>69420</v>
      </c>
      <c r="D1447">
        <v>2</v>
      </c>
      <c r="E1447">
        <v>23</v>
      </c>
      <c r="F1447" s="80">
        <v>44535</v>
      </c>
      <c r="G1447" t="str">
        <f>IFERROR(IF((F1447-F1446)&gt;1,(LARGE(F1447:$F1447,1)-LARGE(F$1444:$F1447,2))-1,""),"")</f>
        <v/>
      </c>
    </row>
    <row r="1448" spans="1:7">
      <c r="A1448" s="14" t="s">
        <v>47032</v>
      </c>
      <c r="B1448">
        <v>69420</v>
      </c>
      <c r="C1448">
        <v>69420</v>
      </c>
      <c r="D1448">
        <v>4</v>
      </c>
      <c r="E1448">
        <v>103</v>
      </c>
      <c r="F1448" s="80">
        <v>44538</v>
      </c>
      <c r="G1448">
        <f>IFERROR(IF((F1448-F1447)&gt;1,(LARGE(F1448:$F1448,1)-LARGE(F$1444:$F1448,2))-1,""),"")</f>
        <v>2</v>
      </c>
    </row>
    <row r="1449" spans="1:7">
      <c r="A1449" s="14">
        <f>E1457</f>
        <v>220</v>
      </c>
      <c r="B1449">
        <v>69000</v>
      </c>
      <c r="C1449">
        <v>69000</v>
      </c>
      <c r="D1449">
        <v>4</v>
      </c>
      <c r="E1449">
        <v>129</v>
      </c>
      <c r="F1449" s="80">
        <v>44539</v>
      </c>
      <c r="G1449" t="str">
        <f>IFERROR(IF((F1449-F1448)&gt;1,(LARGE(F1449:$F1449,1)-LARGE(F$1444:$F1449,2))-1,""),"")</f>
        <v/>
      </c>
    </row>
    <row r="1450" spans="1:7">
      <c r="B1450">
        <v>69420</v>
      </c>
      <c r="C1450">
        <v>69420</v>
      </c>
      <c r="D1450">
        <v>6</v>
      </c>
      <c r="E1450">
        <v>155</v>
      </c>
      <c r="F1450" s="80">
        <v>44542</v>
      </c>
      <c r="G1450">
        <f>IFERROR(IF((F1450-F1449)&gt;1,(LARGE(F1450:$F1450,1)-LARGE(F$1444:$F1450,2))-1,""),"")</f>
        <v>2</v>
      </c>
    </row>
    <row r="1451" spans="1:7">
      <c r="B1451">
        <v>69420</v>
      </c>
      <c r="C1451">
        <v>69420</v>
      </c>
      <c r="D1451">
        <v>6</v>
      </c>
      <c r="E1451">
        <v>306</v>
      </c>
      <c r="F1451" s="80">
        <v>44543</v>
      </c>
      <c r="G1451" t="str">
        <f>IFERROR(IF((F1451-F1450)&gt;1,(LARGE(F1451:$F1451,1)-LARGE(F$1444:$F1451,2))-1,""),"")</f>
        <v/>
      </c>
    </row>
    <row r="1452" spans="1:7">
      <c r="B1452">
        <v>500</v>
      </c>
      <c r="C1452">
        <v>500</v>
      </c>
      <c r="D1452">
        <v>1</v>
      </c>
      <c r="E1452">
        <v>3</v>
      </c>
      <c r="F1452" s="80">
        <v>44544</v>
      </c>
      <c r="G1452" t="str">
        <f>IFERROR(IF((F1452-F1451)&gt;1,(LARGE(F1452:$F1452,1)-LARGE(F$1444:$F1452,2))-1,""),"")</f>
        <v/>
      </c>
    </row>
    <row r="1453" spans="1:7">
      <c r="B1453">
        <v>69358.649999999994</v>
      </c>
      <c r="C1453">
        <v>69000</v>
      </c>
      <c r="D1453">
        <v>5</v>
      </c>
      <c r="E1453">
        <v>89</v>
      </c>
      <c r="F1453" s="80">
        <v>44545</v>
      </c>
      <c r="G1453" t="str">
        <f>IFERROR(IF((F1453-F1452)&gt;1,(LARGE(F1453:$F1453,1)-LARGE(F$1444:$F1453,2))-1,""),"")</f>
        <v/>
      </c>
    </row>
    <row r="1454" spans="1:7">
      <c r="B1454">
        <v>69420</v>
      </c>
      <c r="C1454">
        <v>69420</v>
      </c>
      <c r="D1454">
        <v>10</v>
      </c>
      <c r="E1454">
        <v>313</v>
      </c>
      <c r="F1454" s="80">
        <v>44546</v>
      </c>
      <c r="G1454" t="str">
        <f>IFERROR(IF((F1454-F1453)&gt;1,(LARGE(F1454:$F1454,1)-LARGE(F$1444:$F1454,2))-1,""),"")</f>
        <v/>
      </c>
    </row>
    <row r="1455" spans="1:7">
      <c r="B1455">
        <v>68000</v>
      </c>
      <c r="C1455">
        <v>68000</v>
      </c>
      <c r="D1455">
        <v>4</v>
      </c>
      <c r="E1455">
        <v>193</v>
      </c>
      <c r="F1455" s="80">
        <v>44547</v>
      </c>
      <c r="G1455" t="str">
        <f>IFERROR(IF((F1455-F1454)&gt;1,(LARGE(F1455:$F1455,1)-LARGE(F$1444:$F1455,2))-1,""),"")</f>
        <v/>
      </c>
    </row>
    <row r="1456" spans="1:7">
      <c r="B1456">
        <v>69420</v>
      </c>
      <c r="C1456">
        <v>69420</v>
      </c>
      <c r="D1456">
        <v>9</v>
      </c>
      <c r="E1456">
        <v>314</v>
      </c>
      <c r="F1456" s="80">
        <v>44548</v>
      </c>
      <c r="G1456" t="str">
        <f>IFERROR(IF((F1456-F1455)&gt;1,(LARGE(F1456:$F1456,1)-LARGE(F$1444:$F1456,2))-1,""),"")</f>
        <v/>
      </c>
    </row>
    <row r="1457" spans="1:7">
      <c r="B1457">
        <v>69420</v>
      </c>
      <c r="C1457">
        <v>69420</v>
      </c>
      <c r="D1457">
        <v>3</v>
      </c>
      <c r="E1457">
        <v>220</v>
      </c>
      <c r="F1457" s="80">
        <v>44549</v>
      </c>
      <c r="G1457" t="str">
        <f>IFERROR(IF((F1457-F1456)&gt;1,(LARGE(F1457:$F1457,1)-LARGE(F$1444:$F1457,2))-1,""),"")</f>
        <v/>
      </c>
    </row>
    <row r="1458" spans="1:7">
      <c r="A1458" s="75">
        <f>VLOOKUP(TradeSheet!A99,TypeIDs!B:C,2,FALSE)</f>
        <v>30028</v>
      </c>
      <c r="B1458" t="s">
        <v>47021</v>
      </c>
      <c r="C1458" t="s">
        <v>47022</v>
      </c>
      <c r="D1458" t="s">
        <v>47023</v>
      </c>
      <c r="E1458" t="s">
        <v>47024</v>
      </c>
      <c r="F1458" t="s">
        <v>47035</v>
      </c>
      <c r="G1458" t="s">
        <v>47034</v>
      </c>
    </row>
    <row r="1459" spans="1:7">
      <c r="A1459" s="75" t="str">
        <f>CONCATENATE(SwaggerURL,input098)</f>
        <v>https://esi.evetech.net/latest/markets/10000021/history/?datasource=tranquility&amp;type_id=30028</v>
      </c>
      <c r="B1459">
        <v>75000</v>
      </c>
      <c r="C1459">
        <v>75000</v>
      </c>
      <c r="D1459">
        <v>1</v>
      </c>
      <c r="E1459">
        <v>8</v>
      </c>
      <c r="F1459" s="80">
        <v>44529</v>
      </c>
      <c r="G1459" t="str">
        <f>IFERROR(IF((F1459-F1458)&gt;1,(LARGE(F1459:$F1459,1)-LARGE(F$1459:$F1459,2))-1,""),"")</f>
        <v/>
      </c>
    </row>
    <row r="1460" spans="1:7">
      <c r="A1460" s="3" t="s">
        <v>47031</v>
      </c>
      <c r="B1460">
        <v>74990</v>
      </c>
      <c r="C1460">
        <v>74990</v>
      </c>
      <c r="D1460">
        <v>2</v>
      </c>
      <c r="E1460">
        <v>32</v>
      </c>
      <c r="F1460" s="80">
        <v>44530</v>
      </c>
      <c r="G1460" t="str">
        <f>IFERROR(IF((F1460-F1459)&gt;1,(LARGE(F1460:$F1460,1)-LARGE(F$1459:$F1460,2))-1,""),"")</f>
        <v/>
      </c>
    </row>
    <row r="1461" spans="1:7">
      <c r="A1461" s="3" t="e">
        <f>AVERAGE(H1459:H1472)</f>
        <v>#DIV/0!</v>
      </c>
      <c r="B1461">
        <v>74940</v>
      </c>
      <c r="C1461">
        <v>74940</v>
      </c>
      <c r="D1461">
        <v>1</v>
      </c>
      <c r="E1461">
        <v>16</v>
      </c>
      <c r="F1461" s="80">
        <v>44532</v>
      </c>
      <c r="G1461">
        <f>IFERROR(IF((F1461-F1460)&gt;1,(LARGE(F1461:$F1461,1)-LARGE(F$1459:$F1461,2))-1,""),"")</f>
        <v>1</v>
      </c>
    </row>
    <row r="1462" spans="1:7">
      <c r="A1462" s="3">
        <f>AVERAGE(E1459:E1472)</f>
        <v>16.571428571428573</v>
      </c>
      <c r="B1462">
        <v>74940</v>
      </c>
      <c r="C1462">
        <v>74940</v>
      </c>
      <c r="D1462">
        <v>1</v>
      </c>
      <c r="E1462">
        <v>16</v>
      </c>
      <c r="F1462" s="80">
        <v>44533</v>
      </c>
      <c r="G1462" t="str">
        <f>IFERROR(IF((F1462-F1461)&gt;1,(LARGE(F1462:$F1462,1)-LARGE(F$1459:$F1462,2))-1,""),"")</f>
        <v/>
      </c>
    </row>
    <row r="1463" spans="1:7">
      <c r="A1463" s="14" t="s">
        <v>47032</v>
      </c>
      <c r="B1463">
        <v>74900</v>
      </c>
      <c r="C1463">
        <v>74900</v>
      </c>
      <c r="D1463">
        <v>1</v>
      </c>
      <c r="E1463">
        <v>8</v>
      </c>
      <c r="F1463" s="80">
        <v>44534</v>
      </c>
      <c r="G1463" t="str">
        <f>IFERROR(IF((F1463-F1462)&gt;1,(LARGE(F1463:$F1463,1)-LARGE(F$1459:$F1463,2))-1,""),"")</f>
        <v/>
      </c>
    </row>
    <row r="1464" spans="1:7">
      <c r="A1464" s="14">
        <f>E1472</f>
        <v>16</v>
      </c>
      <c r="B1464">
        <v>74900</v>
      </c>
      <c r="C1464">
        <v>74900</v>
      </c>
      <c r="D1464">
        <v>2</v>
      </c>
      <c r="E1464">
        <v>32</v>
      </c>
      <c r="F1464" s="80">
        <v>44535</v>
      </c>
      <c r="G1464" t="str">
        <f>IFERROR(IF((F1464-F1463)&gt;1,(LARGE(F1464:$F1464,1)-LARGE(F$1459:$F1464,2))-1,""),"")</f>
        <v/>
      </c>
    </row>
    <row r="1465" spans="1:7">
      <c r="B1465">
        <v>72490</v>
      </c>
      <c r="C1465">
        <v>72490</v>
      </c>
      <c r="D1465">
        <v>1</v>
      </c>
      <c r="E1465">
        <v>16</v>
      </c>
      <c r="F1465" s="80">
        <v>44538</v>
      </c>
      <c r="G1465">
        <f>IFERROR(IF((F1465-F1464)&gt;1,(LARGE(F1465:$F1465,1)-LARGE(F$1459:$F1465,2))-1,""),"")</f>
        <v>2</v>
      </c>
    </row>
    <row r="1466" spans="1:7">
      <c r="B1466">
        <v>70490</v>
      </c>
      <c r="C1466">
        <v>70490</v>
      </c>
      <c r="D1466">
        <v>1</v>
      </c>
      <c r="E1466">
        <v>8</v>
      </c>
      <c r="F1466" s="80">
        <v>44541</v>
      </c>
      <c r="G1466">
        <f>IFERROR(IF((F1466-F1465)&gt;1,(LARGE(F1466:$F1466,1)-LARGE(F$1459:$F1466,2))-1,""),"")</f>
        <v>2</v>
      </c>
    </row>
    <row r="1467" spans="1:7">
      <c r="B1467">
        <v>70000</v>
      </c>
      <c r="C1467">
        <v>70000</v>
      </c>
      <c r="D1467">
        <v>1</v>
      </c>
      <c r="E1467">
        <v>16</v>
      </c>
      <c r="F1467" s="80">
        <v>44542</v>
      </c>
      <c r="G1467" t="str">
        <f>IFERROR(IF((F1467-F1466)&gt;1,(LARGE(F1467:$F1467,1)-LARGE(F$1459:$F1467,2))-1,""),"")</f>
        <v/>
      </c>
    </row>
    <row r="1468" spans="1:7">
      <c r="B1468">
        <v>69970</v>
      </c>
      <c r="C1468">
        <v>69950</v>
      </c>
      <c r="D1468">
        <v>3</v>
      </c>
      <c r="E1468">
        <v>32</v>
      </c>
      <c r="F1468" s="80">
        <v>44544</v>
      </c>
      <c r="G1468">
        <f>IFERROR(IF((F1468-F1467)&gt;1,(LARGE(F1468:$F1468,1)-LARGE(F$1459:$F1468,2))-1,""),"")</f>
        <v>1</v>
      </c>
    </row>
    <row r="1469" spans="1:7">
      <c r="B1469">
        <v>69500</v>
      </c>
      <c r="C1469">
        <v>69500</v>
      </c>
      <c r="D1469">
        <v>1</v>
      </c>
      <c r="E1469">
        <v>8</v>
      </c>
      <c r="F1469" s="80">
        <v>44545</v>
      </c>
      <c r="G1469" t="str">
        <f>IFERROR(IF((F1469-F1468)&gt;1,(LARGE(F1469:$F1469,1)-LARGE(F$1459:$F1469,2))-1,""),"")</f>
        <v/>
      </c>
    </row>
    <row r="1470" spans="1:7">
      <c r="B1470">
        <v>72510</v>
      </c>
      <c r="C1470">
        <v>72510</v>
      </c>
      <c r="D1470">
        <v>1</v>
      </c>
      <c r="E1470">
        <v>8</v>
      </c>
      <c r="F1470" s="80">
        <v>44546</v>
      </c>
      <c r="G1470" t="str">
        <f>IFERROR(IF((F1470-F1469)&gt;1,(LARGE(F1470:$F1470,1)-LARGE(F$1459:$F1470,2))-1,""),"")</f>
        <v/>
      </c>
    </row>
    <row r="1471" spans="1:7">
      <c r="B1471">
        <v>69500</v>
      </c>
      <c r="C1471">
        <v>69500</v>
      </c>
      <c r="D1471">
        <v>1</v>
      </c>
      <c r="E1471">
        <v>16</v>
      </c>
      <c r="F1471" s="80">
        <v>44547</v>
      </c>
      <c r="G1471" t="str">
        <f>IFERROR(IF((F1471-F1470)&gt;1,(LARGE(F1471:$F1471,1)-LARGE(F$1459:$F1471,2))-1,""),"")</f>
        <v/>
      </c>
    </row>
    <row r="1472" spans="1:7">
      <c r="B1472">
        <v>69500</v>
      </c>
      <c r="C1472">
        <v>69500</v>
      </c>
      <c r="D1472">
        <v>1</v>
      </c>
      <c r="E1472">
        <v>16</v>
      </c>
      <c r="F1472" s="80">
        <v>44548</v>
      </c>
      <c r="G1472" t="str">
        <f>IFERROR(IF((F1472-F1471)&gt;1,(LARGE(F1472:$F1472,1)-LARGE(F$1459:$F1472,2))-1,""),"")</f>
        <v/>
      </c>
    </row>
    <row r="1473" spans="1:7">
      <c r="A1473" s="75">
        <f>VLOOKUP(TradeSheet!A100,TypeIDs!B:C,2,FALSE)</f>
        <v>30013</v>
      </c>
      <c r="B1473" t="s">
        <v>47021</v>
      </c>
      <c r="C1473" t="s">
        <v>47022</v>
      </c>
      <c r="D1473" t="s">
        <v>47023</v>
      </c>
      <c r="E1473" t="s">
        <v>47024</v>
      </c>
      <c r="F1473" t="s">
        <v>47035</v>
      </c>
      <c r="G1473" t="s">
        <v>47034</v>
      </c>
    </row>
    <row r="1474" spans="1:7">
      <c r="A1474" s="75" t="str">
        <f>CONCATENATE(SwaggerURL,input099)</f>
        <v>https://esi.evetech.net/latest/markets/10000021/history/?datasource=tranquility&amp;type_id=30013</v>
      </c>
      <c r="B1474">
        <v>44790</v>
      </c>
      <c r="C1474">
        <v>44790</v>
      </c>
      <c r="D1474">
        <v>1</v>
      </c>
      <c r="E1474">
        <v>8</v>
      </c>
      <c r="F1474" s="80">
        <v>44530</v>
      </c>
      <c r="G1474" t="str">
        <f>IFERROR(IF((F1474-F1473)&gt;1,(LARGE(F1474:$F1474,1)-LARGE(F$1474:$F1474,2))-1,""),"")</f>
        <v/>
      </c>
    </row>
    <row r="1475" spans="1:7">
      <c r="A1475" s="3" t="s">
        <v>47031</v>
      </c>
      <c r="B1475">
        <v>44766.67</v>
      </c>
      <c r="C1475">
        <v>44760</v>
      </c>
      <c r="D1475">
        <v>2</v>
      </c>
      <c r="E1475">
        <v>24</v>
      </c>
      <c r="F1475" s="80">
        <v>44531</v>
      </c>
      <c r="G1475" t="str">
        <f>IFERROR(IF((F1475-F1474)&gt;1,(LARGE(F1475:$F1475,1)-LARGE(F$1474:$F1475,2))-1,""),"")</f>
        <v/>
      </c>
    </row>
    <row r="1476" spans="1:7">
      <c r="A1476" s="3" t="e">
        <f>AVERAGE(H1474:H1487)</f>
        <v>#DIV/0!</v>
      </c>
      <c r="B1476">
        <v>44477.78</v>
      </c>
      <c r="C1476">
        <v>44300</v>
      </c>
      <c r="D1476">
        <v>3</v>
      </c>
      <c r="E1476">
        <v>18</v>
      </c>
      <c r="F1476" s="80">
        <v>44532</v>
      </c>
      <c r="G1476" t="str">
        <f>IFERROR(IF((F1476-F1475)&gt;1,(LARGE(F1476:$F1476,1)-LARGE(F$1474:$F1476,2))-1,""),"")</f>
        <v/>
      </c>
    </row>
    <row r="1477" spans="1:7">
      <c r="A1477" s="3">
        <f>AVERAGE(E1474:E1487)</f>
        <v>23.285714285714285</v>
      </c>
      <c r="B1477">
        <v>44400</v>
      </c>
      <c r="C1477">
        <v>44400</v>
      </c>
      <c r="D1477">
        <v>2</v>
      </c>
      <c r="E1477">
        <v>32</v>
      </c>
      <c r="F1477" s="80">
        <v>44534</v>
      </c>
      <c r="G1477">
        <f>IFERROR(IF((F1477-F1476)&gt;1,(LARGE(F1477:$F1477,1)-LARGE(F$1474:$F1477,2))-1,""),"")</f>
        <v>1</v>
      </c>
    </row>
    <row r="1478" spans="1:7">
      <c r="A1478" s="14" t="s">
        <v>47032</v>
      </c>
      <c r="B1478">
        <v>44400</v>
      </c>
      <c r="C1478">
        <v>44400</v>
      </c>
      <c r="D1478">
        <v>2</v>
      </c>
      <c r="E1478">
        <v>16</v>
      </c>
      <c r="F1478" s="80">
        <v>44535</v>
      </c>
      <c r="G1478" t="str">
        <f>IFERROR(IF((F1478-F1477)&gt;1,(LARGE(F1478:$F1478,1)-LARGE(F$1474:$F1478,2))-1,""),"")</f>
        <v/>
      </c>
    </row>
    <row r="1479" spans="1:7">
      <c r="A1479" s="14">
        <f>E1487</f>
        <v>24</v>
      </c>
      <c r="B1479">
        <v>44000</v>
      </c>
      <c r="C1479">
        <v>44000</v>
      </c>
      <c r="D1479">
        <v>1</v>
      </c>
      <c r="E1479">
        <v>16</v>
      </c>
      <c r="F1479" s="80">
        <v>44537</v>
      </c>
      <c r="G1479">
        <f>IFERROR(IF((F1479-F1478)&gt;1,(LARGE(F1479:$F1479,1)-LARGE(F$1474:$F1479,2))-1,""),"")</f>
        <v>1</v>
      </c>
    </row>
    <row r="1480" spans="1:7">
      <c r="B1480">
        <v>43990</v>
      </c>
      <c r="C1480">
        <v>43990</v>
      </c>
      <c r="D1480">
        <v>1</v>
      </c>
      <c r="E1480">
        <v>32</v>
      </c>
      <c r="F1480" s="80">
        <v>44538</v>
      </c>
      <c r="G1480" t="str">
        <f>IFERROR(IF((F1480-F1479)&gt;1,(LARGE(F1480:$F1480,1)-LARGE(F$1474:$F1480,2))-1,""),"")</f>
        <v/>
      </c>
    </row>
    <row r="1481" spans="1:7">
      <c r="B1481">
        <v>43222.22</v>
      </c>
      <c r="C1481">
        <v>43000</v>
      </c>
      <c r="D1481">
        <v>3</v>
      </c>
      <c r="E1481">
        <v>36</v>
      </c>
      <c r="F1481" s="80">
        <v>44539</v>
      </c>
      <c r="G1481" t="str">
        <f>IFERROR(IF((F1481-F1480)&gt;1,(LARGE(F1481:$F1481,1)-LARGE(F$1474:$F1481,2))-1,""),"")</f>
        <v/>
      </c>
    </row>
    <row r="1482" spans="1:7">
      <c r="B1482">
        <v>41500</v>
      </c>
      <c r="C1482">
        <v>41500</v>
      </c>
      <c r="D1482">
        <v>1</v>
      </c>
      <c r="E1482">
        <v>8</v>
      </c>
      <c r="F1482" s="80">
        <v>44540</v>
      </c>
      <c r="G1482" t="str">
        <f>IFERROR(IF((F1482-F1481)&gt;1,(LARGE(F1482:$F1482,1)-LARGE(F$1474:$F1482,2))-1,""),"")</f>
        <v/>
      </c>
    </row>
    <row r="1483" spans="1:7">
      <c r="B1483">
        <v>41000</v>
      </c>
      <c r="C1483">
        <v>41000</v>
      </c>
      <c r="D1483">
        <v>1</v>
      </c>
      <c r="E1483">
        <v>16</v>
      </c>
      <c r="F1483" s="80">
        <v>44541</v>
      </c>
      <c r="G1483" t="str">
        <f>IFERROR(IF((F1483-F1482)&gt;1,(LARGE(F1483:$F1483,1)-LARGE(F$1474:$F1483,2))-1,""),"")</f>
        <v/>
      </c>
    </row>
    <row r="1484" spans="1:7">
      <c r="B1484">
        <v>41000</v>
      </c>
      <c r="C1484">
        <v>41000</v>
      </c>
      <c r="D1484">
        <v>3</v>
      </c>
      <c r="E1484">
        <v>32</v>
      </c>
      <c r="F1484" s="80">
        <v>44542</v>
      </c>
      <c r="G1484" t="str">
        <f>IFERROR(IF((F1484-F1483)&gt;1,(LARGE(F1484:$F1484,1)-LARGE(F$1474:$F1484,2))-1,""),"")</f>
        <v/>
      </c>
    </row>
    <row r="1485" spans="1:7">
      <c r="B1485">
        <v>39650</v>
      </c>
      <c r="C1485">
        <v>39500</v>
      </c>
      <c r="D1485">
        <v>2</v>
      </c>
      <c r="E1485">
        <v>24</v>
      </c>
      <c r="F1485" s="80">
        <v>44543</v>
      </c>
      <c r="G1485" t="str">
        <f>IFERROR(IF((F1485-F1484)&gt;1,(LARGE(F1485:$F1485,1)-LARGE(F$1474:$F1485,2))-1,""),"")</f>
        <v/>
      </c>
    </row>
    <row r="1486" spans="1:7">
      <c r="B1486">
        <v>39460</v>
      </c>
      <c r="C1486">
        <v>39200</v>
      </c>
      <c r="D1486">
        <v>4</v>
      </c>
      <c r="E1486">
        <v>40</v>
      </c>
      <c r="F1486" s="80">
        <v>44546</v>
      </c>
      <c r="G1486">
        <f>IFERROR(IF((F1486-F1485)&gt;1,(LARGE(F1486:$F1486,1)-LARGE(F$1474:$F1486,2))-1,""),"")</f>
        <v>2</v>
      </c>
    </row>
    <row r="1487" spans="1:7">
      <c r="B1487">
        <v>39000</v>
      </c>
      <c r="C1487">
        <v>39000</v>
      </c>
      <c r="D1487">
        <v>1</v>
      </c>
      <c r="E1487">
        <v>24</v>
      </c>
      <c r="F1487" s="80">
        <v>44548</v>
      </c>
      <c r="G1487">
        <f>IFERROR(IF((F1487-F1486)&gt;1,(LARGE(F1487:$F1487,1)-LARGE(F$1474:$F1487,2))-1,""),"")</f>
        <v>1</v>
      </c>
    </row>
    <row r="1488" spans="1:7">
      <c r="A1488" s="75">
        <f>VLOOKUP(TradeSheet!A101,TypeIDs!B:C,2,FALSE)</f>
        <v>30486</v>
      </c>
      <c r="B1488" t="s">
        <v>47021</v>
      </c>
      <c r="C1488" t="s">
        <v>47022</v>
      </c>
      <c r="D1488" t="s">
        <v>47023</v>
      </c>
      <c r="E1488" t="s">
        <v>47024</v>
      </c>
      <c r="F1488" t="s">
        <v>47035</v>
      </c>
      <c r="G1488" t="s">
        <v>47034</v>
      </c>
    </row>
    <row r="1489" spans="1:10">
      <c r="A1489" s="75" t="str">
        <f>CONCATENATE(SwaggerURL,input100)</f>
        <v>https://esi.evetech.net/latest/markets/10000021/history/?datasource=tranquility&amp;type_id=30486</v>
      </c>
      <c r="B1489">
        <v>536000</v>
      </c>
      <c r="C1489">
        <v>536000</v>
      </c>
      <c r="D1489">
        <v>2</v>
      </c>
      <c r="E1489">
        <v>16</v>
      </c>
      <c r="F1489" s="80">
        <v>44532</v>
      </c>
      <c r="G1489" t="str">
        <f>IFERROR(IF((F1489-F1488)&gt;1,(LARGE(F1489:$F1489,1)-LARGE(F$1489:$F1489,2))-1,""),"")</f>
        <v/>
      </c>
      <c r="H1489" s="80"/>
      <c r="I1489" t="str">
        <f t="array" ref="I1489">IFERROR((LARGE($H$1489:H1489,1)-LARGE($H$1489:H1489,2)-1),"")</f>
        <v/>
      </c>
      <c r="J1489" t="str">
        <f t="array" ref="J1489">IFERROR((LARGE(#REF!,1)-LARGE(#REF!,2)-1),"")</f>
        <v/>
      </c>
    </row>
    <row r="1490" spans="1:10">
      <c r="A1490" s="3" t="s">
        <v>47031</v>
      </c>
      <c r="B1490">
        <v>500000</v>
      </c>
      <c r="C1490">
        <v>500000</v>
      </c>
      <c r="D1490">
        <v>2</v>
      </c>
      <c r="E1490">
        <v>16</v>
      </c>
      <c r="F1490" s="80">
        <v>44533</v>
      </c>
      <c r="G1490" t="str">
        <f>IFERROR(IF((F1490-F1489)&gt;1,(LARGE(F1490:$F1490,1)-LARGE(F$1489:$F1490,2))-1,""),"")</f>
        <v/>
      </c>
      <c r="H1490" s="80"/>
      <c r="I1490" t="str">
        <f t="array" ref="I1490">IFERROR((LARGE($H$1489:H1490,1)-LARGE($H$1489:H1490,2)-1),"")</f>
        <v/>
      </c>
      <c r="J1490" t="str">
        <f t="array" ref="J1490">IFERROR((LARGE(#REF!,1)-LARGE(#REF!,2)-1),"")</f>
        <v/>
      </c>
    </row>
    <row r="1491" spans="1:10">
      <c r="A1491" s="3">
        <f>AVERAGE(G1489:G1502)</f>
        <v>1.5</v>
      </c>
      <c r="B1491">
        <v>533800</v>
      </c>
      <c r="C1491">
        <v>533800</v>
      </c>
      <c r="D1491">
        <v>4</v>
      </c>
      <c r="E1491">
        <v>56</v>
      </c>
      <c r="F1491" s="80">
        <v>44536</v>
      </c>
      <c r="G1491">
        <f>IFERROR(IF((F1491-F1490)&gt;1,(LARGE(F1491:$F1491,1)-LARGE(F$1489:$F1491,2))-1,""),"")</f>
        <v>2</v>
      </c>
      <c r="H1491" s="80"/>
      <c r="I1491" t="str">
        <f t="array" ref="I1491">IFERROR((LARGE($H$1489:H1491,1)-LARGE($H$1489:H1491,2)-1),"")</f>
        <v/>
      </c>
      <c r="J1491" t="str">
        <f t="array" ref="J1491">IFERROR((LARGE(#REF!,1)-LARGE(#REF!,2)-1),"")</f>
        <v/>
      </c>
    </row>
    <row r="1492" spans="1:10">
      <c r="A1492" s="3">
        <f>AVERAGE(D1489:D1502)</f>
        <v>3.0714285714285716</v>
      </c>
      <c r="B1492">
        <v>533800</v>
      </c>
      <c r="C1492">
        <v>533800</v>
      </c>
      <c r="D1492">
        <v>3</v>
      </c>
      <c r="E1492">
        <v>16</v>
      </c>
      <c r="F1492" s="80">
        <v>44538</v>
      </c>
      <c r="G1492">
        <f>IFERROR(IF((F1492-F1491)&gt;1,(LARGE(F1492:$F1492,1)-LARGE(F$1489:$F1492,2))-1,""),"")</f>
        <v>1</v>
      </c>
      <c r="H1492" s="80"/>
      <c r="I1492" t="str">
        <f t="array" ref="I1492">IFERROR((LARGE($H$1489:H1492,1)-LARGE($H$1489:H1492,2)-1),"")</f>
        <v/>
      </c>
      <c r="J1492" t="str">
        <f t="array" ref="J1492">IFERROR((LARGE(#REF!,1)-LARGE(#REF!,2)-1),"")</f>
        <v/>
      </c>
    </row>
    <row r="1493" spans="1:10">
      <c r="A1493" s="14" t="s">
        <v>47032</v>
      </c>
      <c r="B1493">
        <v>533825</v>
      </c>
      <c r="C1493">
        <v>533800</v>
      </c>
      <c r="D1493">
        <v>2</v>
      </c>
      <c r="E1493">
        <v>8</v>
      </c>
      <c r="F1493" s="80">
        <v>44539</v>
      </c>
      <c r="G1493" t="str">
        <f>IFERROR(IF((F1493-F1492)&gt;1,(LARGE(F1493:$F1493,1)-LARGE(F$1489:$F1493,2))-1,""),"")</f>
        <v/>
      </c>
      <c r="H1493" s="80"/>
      <c r="I1493" t="str">
        <f t="array" ref="I1493">IFERROR((LARGE($H$1489:H1493,1)-LARGE($H$1489:H1493,2)-1),"")</f>
        <v/>
      </c>
      <c r="J1493" t="str">
        <f t="array" ref="J1493">IFERROR((LARGE(#REF!,1)-LARGE(#REF!,2)-1),"")</f>
        <v/>
      </c>
    </row>
    <row r="1494" spans="1:10">
      <c r="A1494" s="14">
        <f>D1502</f>
        <v>4</v>
      </c>
      <c r="B1494">
        <v>221906</v>
      </c>
      <c r="C1494">
        <v>13910</v>
      </c>
      <c r="D1494">
        <v>2</v>
      </c>
      <c r="E1494">
        <v>40</v>
      </c>
      <c r="F1494" s="80">
        <v>44540</v>
      </c>
      <c r="G1494" t="str">
        <f>IFERROR(IF((F1494-F1493)&gt;1,(LARGE(F1494:$F1494,1)-LARGE(F$1489:$F1494,2))-1,""),"")</f>
        <v/>
      </c>
      <c r="H1494" s="80"/>
      <c r="I1494" t="str">
        <f t="array" ref="I1494">IFERROR((LARGE($H$1489:H1494,1)-LARGE($H$1489:H1494,2)-1),"")</f>
        <v/>
      </c>
      <c r="J1494" t="str">
        <f t="array" ref="J1494">IFERROR((LARGE(#REF!,1)-LARGE(#REF!,2)-1),"")</f>
        <v/>
      </c>
    </row>
    <row r="1495" spans="1:10">
      <c r="B1495">
        <v>535403.56999999995</v>
      </c>
      <c r="C1495">
        <v>533900</v>
      </c>
      <c r="D1495">
        <v>7</v>
      </c>
      <c r="E1495">
        <v>56</v>
      </c>
      <c r="F1495" s="80">
        <v>44541</v>
      </c>
      <c r="G1495" t="str">
        <f>IFERROR(IF((F1495-F1494)&gt;1,(LARGE(F1495:$F1495,1)-LARGE(F$1489:$F1495,2))-1,""),"")</f>
        <v/>
      </c>
      <c r="H1495" s="80"/>
      <c r="I1495" t="str">
        <f t="array" ref="I1495">IFERROR((LARGE($H$1489:H1495,1)-LARGE($H$1489:H1495,2)-1),"")</f>
        <v/>
      </c>
      <c r="J1495" t="str">
        <f t="array" ref="J1495">IFERROR((LARGE(#REF!,1)-LARGE(#REF!,2)-1),"")</f>
        <v/>
      </c>
    </row>
    <row r="1496" spans="1:10">
      <c r="B1496">
        <v>536000</v>
      </c>
      <c r="C1496">
        <v>536000</v>
      </c>
      <c r="D1496">
        <v>3</v>
      </c>
      <c r="E1496">
        <v>32</v>
      </c>
      <c r="F1496" s="80">
        <v>44542</v>
      </c>
      <c r="G1496" t="str">
        <f>IFERROR(IF((F1496-F1495)&gt;1,(LARGE(F1496:$F1496,1)-LARGE(F$1489:$F1496,2))-1,""),"")</f>
        <v/>
      </c>
      <c r="H1496" s="80"/>
      <c r="I1496" t="str">
        <f t="array" ref="I1496">IFERROR((LARGE($H$1489:H1496,1)-LARGE($H$1489:H1496,2)-1),"")</f>
        <v/>
      </c>
      <c r="J1496" t="str">
        <f t="array" ref="J1496">IFERROR((LARGE(#REF!,1)-LARGE(#REF!,2)-1),"")</f>
        <v/>
      </c>
    </row>
    <row r="1497" spans="1:10">
      <c r="B1497">
        <v>535500</v>
      </c>
      <c r="C1497">
        <v>535000</v>
      </c>
      <c r="D1497">
        <v>2</v>
      </c>
      <c r="E1497">
        <v>16</v>
      </c>
      <c r="F1497" s="80">
        <v>44543</v>
      </c>
      <c r="G1497" t="str">
        <f>IFERROR(IF((F1497-F1496)&gt;1,(LARGE(F1497:$F1497,1)-LARGE(F$1489:$F1497,2))-1,""),"")</f>
        <v/>
      </c>
      <c r="H1497" s="80"/>
      <c r="I1497" t="str">
        <f t="array" ref="I1497">IFERROR((LARGE($H$1489:H1497,1)-LARGE($H$1489:H1497,2)-1),"")</f>
        <v/>
      </c>
      <c r="J1497" t="str">
        <f t="array" ref="J1497">IFERROR((LARGE(#REF!,1)-LARGE(#REF!,2)-1),"")</f>
        <v/>
      </c>
    </row>
    <row r="1498" spans="1:10">
      <c r="B1498">
        <v>536000</v>
      </c>
      <c r="C1498">
        <v>536000</v>
      </c>
      <c r="D1498">
        <v>1</v>
      </c>
      <c r="E1498">
        <v>8</v>
      </c>
      <c r="F1498" s="80">
        <v>44544</v>
      </c>
      <c r="G1498" t="str">
        <f>IFERROR(IF((F1498-F1497)&gt;1,(LARGE(F1498:$F1498,1)-LARGE(F$1489:$F1498,2))-1,""),"")</f>
        <v/>
      </c>
      <c r="H1498" s="80"/>
      <c r="I1498" t="str">
        <f t="array" ref="I1498">IFERROR((LARGE($H$1489:H1498,1)-LARGE($H$1489:H1498,2)-1),"")</f>
        <v/>
      </c>
      <c r="J1498" t="str">
        <f t="array" ref="J1498">IFERROR((LARGE(#REF!,1)-LARGE(#REF!,2)-1),"")</f>
        <v/>
      </c>
    </row>
    <row r="1499" spans="1:10">
      <c r="B1499">
        <v>536000</v>
      </c>
      <c r="C1499">
        <v>536000</v>
      </c>
      <c r="D1499">
        <v>6</v>
      </c>
      <c r="E1499">
        <v>88</v>
      </c>
      <c r="F1499" s="80">
        <v>44545</v>
      </c>
      <c r="G1499" t="str">
        <f>IFERROR(IF((F1499-F1498)&gt;1,(LARGE(F1499:$F1499,1)-LARGE(F$1489:$F1499,2))-1,""),"")</f>
        <v/>
      </c>
      <c r="H1499" s="80"/>
      <c r="I1499" t="str">
        <f t="array" ref="I1499">IFERROR((LARGE($H$1489:H1499,1)-LARGE($H$1489:H1499,2)-1),"")</f>
        <v/>
      </c>
      <c r="J1499" t="str">
        <f t="array" ref="J1499">IFERROR((LARGE(#REF!,1)-LARGE(#REF!,2)-1),"")</f>
        <v/>
      </c>
    </row>
    <row r="1500" spans="1:10">
      <c r="B1500">
        <v>536000</v>
      </c>
      <c r="C1500">
        <v>536000</v>
      </c>
      <c r="D1500">
        <v>4</v>
      </c>
      <c r="E1500">
        <v>40</v>
      </c>
      <c r="F1500" s="80">
        <v>44546</v>
      </c>
      <c r="G1500" t="str">
        <f>IFERROR(IF((F1500-F1499)&gt;1,(LARGE(F1500:$F1500,1)-LARGE(F$1489:$F1500,2))-1,""),"")</f>
        <v/>
      </c>
      <c r="H1500" s="80"/>
      <c r="I1500" t="str">
        <f t="array" ref="I1500">IFERROR((LARGE($H$1489:H1500,1)-LARGE($H$1489:H1500,2)-1),"")</f>
        <v/>
      </c>
      <c r="J1500" t="str">
        <f t="array" ref="J1500">IFERROR((LARGE(#REF!,1)-LARGE(#REF!,2)-1),"")</f>
        <v/>
      </c>
    </row>
    <row r="1501" spans="1:10">
      <c r="B1501">
        <v>536000</v>
      </c>
      <c r="C1501">
        <v>536000</v>
      </c>
      <c r="D1501">
        <v>1</v>
      </c>
      <c r="E1501">
        <v>16</v>
      </c>
      <c r="F1501" s="80">
        <v>44547</v>
      </c>
      <c r="G1501" t="str">
        <f>IFERROR(IF((F1501-F1500)&gt;1,(LARGE(F1501:$F1501,1)-LARGE(F$1489:$F1501,2))-1,""),"")</f>
        <v/>
      </c>
      <c r="H1501" s="80"/>
      <c r="I1501" t="str">
        <f t="array" ref="I1501">IFERROR((LARGE($H$1489:H1501,1)-LARGE($H$1489:H1501,2)-1),"")</f>
        <v/>
      </c>
      <c r="J1501" t="str">
        <f t="array" ref="J1501">IFERROR((LARGE(#REF!,1)-LARGE(#REF!,2)-1),"")</f>
        <v/>
      </c>
    </row>
    <row r="1502" spans="1:10">
      <c r="B1502">
        <v>536000</v>
      </c>
      <c r="C1502">
        <v>536000</v>
      </c>
      <c r="D1502">
        <v>4</v>
      </c>
      <c r="E1502">
        <v>48</v>
      </c>
      <c r="F1502" s="80">
        <v>44548</v>
      </c>
      <c r="G1502" t="str">
        <f>IFERROR(IF((F1502-F1501)&gt;1,(LARGE(F1502:$F1502,1)-LARGE(F$1489:$F1502,2))-1,""),"")</f>
        <v/>
      </c>
      <c r="H1502" s="80"/>
      <c r="I1502" t="str">
        <f t="array" ref="I1502">IFERROR((LARGE($H$1489:H1502,1)-LARGE($H$1489:H1502,2)-1),"")</f>
        <v/>
      </c>
      <c r="J1502" t="str">
        <f t="array" ref="J1502">IFERROR((LARGE(#REF!,1)-LARGE(#REF!,2)-1),"")</f>
        <v/>
      </c>
    </row>
  </sheetData>
  <mergeCells count="1">
    <mergeCell ref="I3:M3"/>
  </mergeCells>
  <pageMargins left="0.7" right="0.7" top="0.75" bottom="0.75" header="0.3" footer="0.3"/>
  <pageSetup orientation="portrait" r:id="rId1"/>
  <tableParts count="10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94"/>
  <sheetViews>
    <sheetView topLeftCell="A40" zoomScale="145" zoomScaleNormal="145" workbookViewId="0">
      <selection activeCell="B53" sqref="B53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99" t="s">
        <v>6</v>
      </c>
      <c r="F12" s="99"/>
      <c r="G12" s="99"/>
      <c r="H12" s="99"/>
      <c r="I12" s="99"/>
      <c r="J12" s="99"/>
    </row>
    <row r="13" spans="2:10">
      <c r="C13" s="1">
        <v>35</v>
      </c>
      <c r="E13" s="99"/>
      <c r="F13" s="99"/>
      <c r="G13" s="99"/>
      <c r="H13" s="99"/>
      <c r="I13" s="99"/>
      <c r="J13" s="99"/>
    </row>
    <row r="14" spans="2:10">
      <c r="C14" s="1">
        <v>36</v>
      </c>
      <c r="E14" s="99"/>
      <c r="F14" s="99"/>
      <c r="G14" s="99"/>
      <c r="H14" s="99"/>
      <c r="I14" s="99"/>
      <c r="J14" s="99"/>
    </row>
    <row r="15" spans="2:10">
      <c r="C15" s="1">
        <v>37</v>
      </c>
      <c r="E15" s="99"/>
      <c r="F15" s="99"/>
      <c r="G15" s="99"/>
      <c r="H15" s="99"/>
      <c r="I15" s="99"/>
      <c r="J15" s="99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99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99"/>
      <c r="C23">
        <v>11.5</v>
      </c>
      <c r="D23">
        <v>251452125</v>
      </c>
    </row>
    <row r="24" spans="2:11">
      <c r="B24" s="99"/>
      <c r="C24">
        <v>55</v>
      </c>
      <c r="D24">
        <v>105004444</v>
      </c>
    </row>
    <row r="25" spans="2:11">
      <c r="B25" s="99"/>
      <c r="C25">
        <v>75</v>
      </c>
      <c r="D25">
        <v>83671111</v>
      </c>
    </row>
    <row r="26" spans="2:11">
      <c r="B26" s="99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  <row r="69" spans="3:4">
      <c r="C69" s="86"/>
      <c r="D69" s="86"/>
    </row>
    <row r="70" spans="3:4">
      <c r="C70" s="86"/>
      <c r="D70" s="86"/>
    </row>
    <row r="71" spans="3:4">
      <c r="C71" s="86"/>
      <c r="D71" s="86"/>
    </row>
    <row r="72" spans="3:4">
      <c r="C72" s="86"/>
      <c r="D72" s="86"/>
    </row>
    <row r="73" spans="3:4">
      <c r="C73" s="86"/>
      <c r="D73" s="86"/>
    </row>
    <row r="74" spans="3:4">
      <c r="C74" s="86"/>
      <c r="D74" s="86"/>
    </row>
    <row r="75" spans="3:4">
      <c r="C75" s="86"/>
      <c r="D75" s="86"/>
    </row>
    <row r="77" spans="3:4">
      <c r="C77" s="86"/>
      <c r="D77" s="86"/>
    </row>
    <row r="78" spans="3:4">
      <c r="C78" s="86"/>
      <c r="D78" s="86"/>
    </row>
    <row r="79" spans="3:4">
      <c r="C79" s="86"/>
      <c r="D79" s="86"/>
    </row>
    <row r="80" spans="3:4">
      <c r="C80" s="86"/>
      <c r="D80" s="86"/>
    </row>
    <row r="81" spans="3:4">
      <c r="C81" s="86"/>
      <c r="D81" s="86"/>
    </row>
    <row r="82" spans="3:4">
      <c r="C82" s="86"/>
      <c r="D82" s="86"/>
    </row>
    <row r="83" spans="3:4">
      <c r="C83" s="86"/>
      <c r="D83" s="86"/>
    </row>
    <row r="84" spans="3:4">
      <c r="C84" s="86"/>
      <c r="D84" s="86"/>
    </row>
    <row r="86" spans="3:4">
      <c r="C86" s="86"/>
      <c r="D86" s="86"/>
    </row>
    <row r="89" spans="3:4">
      <c r="C89" s="86"/>
      <c r="D89" s="86"/>
    </row>
    <row r="92" spans="3:4">
      <c r="C92" s="86"/>
      <c r="D92" s="86"/>
    </row>
    <row r="93" spans="3:4">
      <c r="C93" s="86"/>
      <c r="D93" s="86"/>
    </row>
    <row r="94" spans="3:4">
      <c r="D94" s="86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211</vt:i4>
      </vt:variant>
    </vt:vector>
  </HeadingPairs>
  <TitlesOfParts>
    <vt:vector size="217" baseType="lpstr">
      <vt:lpstr>TradeSheet</vt:lpstr>
      <vt:lpstr>Buylist</vt:lpstr>
      <vt:lpstr>TypeIDs</vt:lpstr>
      <vt:lpstr>TargetInput</vt:lpstr>
      <vt:lpstr>AverageVolume</vt:lpstr>
      <vt:lpstr>Tutorial</vt:lpstr>
      <vt:lpstr>CurrentDate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input099</vt:lpstr>
      <vt:lpstr>input100</vt:lpstr>
      <vt:lpstr>Jita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swagURL099</vt:lpstr>
      <vt:lpstr>swagURL100</vt:lpstr>
      <vt:lpstr>swagURL3</vt:lpstr>
      <vt:lpstr>Target</vt:lpstr>
      <vt:lpstr>TaxRate</vt:lpstr>
      <vt:lpstr>TimeZone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2021-12-20T02:15:34Z</dcterms:modified>
</cp:coreProperties>
</file>